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970" windowWidth="1557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8" sheetId="106" state="hidden" r:id="rId23"/>
    <sheet name="AUDITCHECK" sheetId="36"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 name="Data" sheetId="183" state="hidden"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P741" i="183" l="1"/>
  <c r="C4" i="3"/>
  <c r="C268" i="5"/>
  <c r="J329" i="29"/>
  <c r="I329" i="29"/>
  <c r="H329" i="29"/>
  <c r="G329" i="29"/>
  <c r="F329" i="29"/>
  <c r="E329" i="29"/>
  <c r="D329" i="29"/>
  <c r="C329" i="29"/>
  <c r="J328" i="29"/>
  <c r="I328" i="29"/>
  <c r="H328" i="29"/>
  <c r="G328" i="29"/>
  <c r="F328" i="29"/>
  <c r="E328" i="29"/>
  <c r="D328" i="29"/>
  <c r="C328" i="29"/>
  <c r="J327" i="29"/>
  <c r="I327" i="29"/>
  <c r="H327" i="29"/>
  <c r="G327" i="29"/>
  <c r="F327" i="29"/>
  <c r="D327" i="29"/>
  <c r="C327" i="29"/>
  <c r="J326" i="29"/>
  <c r="I326" i="29"/>
  <c r="H326" i="29"/>
  <c r="G326" i="29"/>
  <c r="F326" i="29"/>
  <c r="E326" i="29"/>
  <c r="D326" i="29"/>
  <c r="C326" i="29"/>
  <c r="J325" i="29"/>
  <c r="I325" i="29"/>
  <c r="H325" i="29"/>
  <c r="G325" i="29"/>
  <c r="F325" i="29"/>
  <c r="E325" i="29"/>
  <c r="D325" i="29"/>
  <c r="C325" i="29"/>
  <c r="P749" i="183"/>
  <c r="E327" i="29" s="1"/>
  <c r="J324" i="29"/>
  <c r="I324" i="29"/>
  <c r="H324" i="29"/>
  <c r="G324" i="29"/>
  <c r="F324" i="29"/>
  <c r="E324" i="29"/>
  <c r="D324" i="29"/>
  <c r="C324" i="29"/>
  <c r="J323" i="29"/>
  <c r="I323" i="29"/>
  <c r="H323" i="29"/>
  <c r="G323" i="29"/>
  <c r="F323" i="29"/>
  <c r="E323" i="29"/>
  <c r="D323" i="29"/>
  <c r="P739" i="183"/>
  <c r="C323" i="29" s="1"/>
  <c r="J322" i="29"/>
  <c r="I322" i="29"/>
  <c r="H322" i="29"/>
  <c r="G322" i="29"/>
  <c r="F322" i="29"/>
  <c r="E322" i="29"/>
  <c r="D322" i="29"/>
  <c r="C322" i="29" l="1"/>
  <c r="C321" i="29"/>
  <c r="J321" i="29"/>
  <c r="I321" i="29"/>
  <c r="H321" i="29"/>
  <c r="G321" i="29"/>
  <c r="F321" i="29"/>
  <c r="E321" i="29"/>
  <c r="D321" i="29"/>
  <c r="J320" i="29"/>
  <c r="I320" i="29"/>
  <c r="H320" i="29"/>
  <c r="G320" i="29"/>
  <c r="F320" i="29"/>
  <c r="E320" i="29"/>
  <c r="D320" i="29"/>
  <c r="C320" i="29"/>
  <c r="J319" i="29"/>
  <c r="I319" i="29"/>
  <c r="H319" i="29"/>
  <c r="G319" i="29"/>
  <c r="F319" i="29"/>
  <c r="E319" i="29"/>
  <c r="D319" i="29"/>
  <c r="C319" i="29"/>
  <c r="H309" i="29"/>
  <c r="H308" i="29"/>
  <c r="H307" i="29"/>
  <c r="H306" i="29"/>
  <c r="E309" i="29"/>
  <c r="E308" i="29"/>
  <c r="E307" i="29"/>
  <c r="E306" i="29"/>
  <c r="J302" i="29"/>
  <c r="I302" i="29"/>
  <c r="H302" i="29"/>
  <c r="G302" i="29"/>
  <c r="F302" i="29"/>
  <c r="E302" i="29"/>
  <c r="D302" i="29"/>
  <c r="C302" i="29"/>
  <c r="J301" i="29"/>
  <c r="I301" i="29"/>
  <c r="H301" i="29"/>
  <c r="G301" i="29"/>
  <c r="F301" i="29"/>
  <c r="D301" i="29"/>
  <c r="C301" i="29"/>
  <c r="D282" i="29"/>
  <c r="G5" i="3"/>
  <c r="D237" i="29"/>
  <c r="D236" i="29"/>
  <c r="D235" i="29"/>
  <c r="D234" i="29"/>
  <c r="D233" i="29"/>
  <c r="D232" i="29"/>
  <c r="D242" i="29"/>
  <c r="D241" i="29"/>
  <c r="D240" i="29"/>
  <c r="D284" i="29"/>
  <c r="D283" i="29"/>
  <c r="D278" i="29"/>
  <c r="D276" i="29"/>
  <c r="D275" i="29"/>
  <c r="D274" i="29"/>
  <c r="D273" i="29"/>
  <c r="D272" i="29"/>
  <c r="D269" i="29"/>
  <c r="D268" i="29"/>
  <c r="D267" i="29"/>
  <c r="D266" i="29"/>
  <c r="D265" i="29"/>
  <c r="D264" i="29"/>
  <c r="D263" i="29"/>
  <c r="D256" i="29"/>
  <c r="D255" i="29"/>
  <c r="D254" i="29"/>
  <c r="D253" i="29"/>
  <c r="D252" i="29"/>
  <c r="D251" i="29"/>
  <c r="D250" i="29"/>
  <c r="D249" i="29"/>
  <c r="D248" i="29"/>
  <c r="D247" i="29"/>
  <c r="D246" i="29"/>
  <c r="D228" i="29"/>
  <c r="D227" i="29"/>
  <c r="D226" i="29"/>
  <c r="D225" i="29"/>
  <c r="D224" i="29"/>
  <c r="D223" i="29"/>
  <c r="D222" i="29"/>
  <c r="D221" i="29"/>
  <c r="D220" i="29"/>
  <c r="D219" i="29"/>
  <c r="D218" i="29"/>
  <c r="D216" i="29"/>
  <c r="J182" i="29"/>
  <c r="I182" i="29"/>
  <c r="H182" i="29"/>
  <c r="G182" i="29"/>
  <c r="F182" i="29"/>
  <c r="E182" i="29"/>
  <c r="D182" i="29"/>
  <c r="C182" i="29"/>
  <c r="F152" i="5"/>
  <c r="F151" i="5"/>
  <c r="C55" i="29"/>
  <c r="E49" i="29"/>
  <c r="C196" i="5"/>
  <c r="C194" i="5"/>
  <c r="C145" i="5"/>
  <c r="C117" i="5"/>
  <c r="C77" i="5"/>
  <c r="J128" i="29"/>
  <c r="I128" i="29"/>
  <c r="H128" i="29"/>
  <c r="G128" i="29"/>
  <c r="F128" i="29"/>
  <c r="E128" i="29"/>
  <c r="D128" i="29"/>
  <c r="C128" i="29"/>
  <c r="G126" i="29"/>
  <c r="J125" i="29"/>
  <c r="I125" i="29"/>
  <c r="H125" i="29"/>
  <c r="G125" i="29"/>
  <c r="F125" i="29"/>
  <c r="E125" i="29"/>
  <c r="D125" i="29"/>
  <c r="C125" i="29"/>
  <c r="J124" i="29"/>
  <c r="I124" i="29"/>
  <c r="H124" i="29"/>
  <c r="G124" i="29"/>
  <c r="F124" i="29"/>
  <c r="E124" i="29"/>
  <c r="D124" i="29"/>
  <c r="C124" i="29"/>
  <c r="J123" i="29"/>
  <c r="I123" i="29"/>
  <c r="H123" i="29"/>
  <c r="G123" i="29"/>
  <c r="F123" i="29"/>
  <c r="E123" i="29"/>
  <c r="D123" i="29"/>
  <c r="C123" i="29"/>
  <c r="J120" i="29"/>
  <c r="I120" i="29"/>
  <c r="H120" i="29"/>
  <c r="G120" i="29"/>
  <c r="F120" i="29"/>
  <c r="E120" i="29"/>
  <c r="D120" i="29"/>
  <c r="C120" i="29"/>
  <c r="J122" i="29"/>
  <c r="I122" i="29"/>
  <c r="H122" i="29"/>
  <c r="G122" i="29"/>
  <c r="F122" i="29"/>
  <c r="E122" i="29"/>
  <c r="D122" i="29"/>
  <c r="C122" i="29"/>
  <c r="J4" i="3"/>
  <c r="F4" i="3"/>
  <c r="F5" i="3"/>
  <c r="C5" i="3" l="1"/>
  <c r="L6" i="29"/>
  <c r="L5" i="29" l="1"/>
  <c r="L329" i="29"/>
  <c r="L319" i="29"/>
  <c r="L302" i="29"/>
  <c r="L301" i="29"/>
  <c r="L288" i="29"/>
  <c r="L260" i="29"/>
  <c r="L294" i="29"/>
  <c r="L292" i="29"/>
  <c r="L291" i="29"/>
  <c r="L290" i="29"/>
  <c r="L289" i="29"/>
  <c r="L284" i="29"/>
  <c r="L283" i="29"/>
  <c r="L282" i="29"/>
  <c r="L280" i="29"/>
  <c r="L278" i="29"/>
  <c r="L276" i="29"/>
  <c r="L275" i="29"/>
  <c r="L274" i="29"/>
  <c r="L273" i="29"/>
  <c r="L272" i="29"/>
  <c r="L263" i="29"/>
  <c r="L265" i="29"/>
  <c r="L269" i="29"/>
  <c r="L268" i="29"/>
  <c r="L267" i="29"/>
  <c r="L266" i="29"/>
  <c r="L264" i="29"/>
  <c r="L259" i="29"/>
  <c r="L245" i="29"/>
  <c r="L252" i="29"/>
  <c r="L247" i="29"/>
  <c r="L246" i="29"/>
  <c r="L242" i="29"/>
  <c r="L241" i="29"/>
  <c r="L240" i="29"/>
  <c r="L237" i="29"/>
  <c r="L236" i="29"/>
  <c r="L235" i="29"/>
  <c r="L234" i="29"/>
  <c r="L233" i="29"/>
  <c r="L232" i="29"/>
  <c r="L228" i="29"/>
  <c r="L227" i="29"/>
  <c r="L226" i="29"/>
  <c r="L225" i="29"/>
  <c r="L224" i="29"/>
  <c r="L223" i="29"/>
  <c r="L222" i="29"/>
  <c r="L221" i="29"/>
  <c r="L220" i="29"/>
  <c r="L219" i="29"/>
  <c r="L218" i="29"/>
  <c r="L217" i="29"/>
  <c r="L216" i="29"/>
  <c r="L183" i="29"/>
  <c r="L182" i="29"/>
  <c r="L180" i="29"/>
  <c r="L150" i="29"/>
  <c r="L148" i="29"/>
  <c r="L146" i="29"/>
  <c r="L145" i="29"/>
  <c r="L144" i="29"/>
  <c r="L143" i="29"/>
  <c r="L142" i="29"/>
  <c r="L138" i="29"/>
  <c r="L136" i="29"/>
  <c r="L135" i="29"/>
  <c r="L134" i="29"/>
  <c r="L133" i="29"/>
  <c r="L128" i="29"/>
  <c r="L126" i="29"/>
  <c r="L125" i="29"/>
  <c r="L124" i="29"/>
  <c r="L123" i="29"/>
  <c r="L122" i="29"/>
  <c r="L120" i="29"/>
  <c r="L113" i="29"/>
  <c r="L111" i="29"/>
  <c r="L109" i="29"/>
  <c r="L108" i="29"/>
  <c r="L107" i="29"/>
  <c r="L106" i="29"/>
  <c r="L105" i="29"/>
  <c r="L101" i="29"/>
  <c r="L99" i="29"/>
  <c r="L98" i="29"/>
  <c r="L97" i="29"/>
  <c r="L96" i="29"/>
  <c r="L95" i="29"/>
  <c r="L94" i="29"/>
  <c r="L93" i="29"/>
  <c r="L91" i="29"/>
  <c r="L90" i="29"/>
  <c r="L89" i="29"/>
  <c r="L88" i="29"/>
  <c r="L87" i="29"/>
  <c r="L86" i="29"/>
  <c r="L85" i="29"/>
  <c r="L83" i="29"/>
  <c r="L82" i="29"/>
  <c r="L81" i="29"/>
  <c r="L80" i="29"/>
  <c r="L79" i="29"/>
  <c r="L78" i="29"/>
  <c r="L75" i="29"/>
  <c r="L73" i="29"/>
  <c r="L71" i="29"/>
  <c r="L70" i="29"/>
  <c r="L69" i="29"/>
  <c r="L68" i="29"/>
  <c r="L67" i="29"/>
  <c r="L64" i="29"/>
  <c r="L63" i="29"/>
  <c r="L62" i="29"/>
  <c r="L61" i="29"/>
  <c r="L60" i="29"/>
  <c r="L59" i="29"/>
  <c r="L56" i="29"/>
  <c r="L55" i="29"/>
  <c r="L52" i="29"/>
  <c r="L51" i="29"/>
  <c r="L50" i="29"/>
  <c r="L49" i="29"/>
  <c r="L46" i="29"/>
  <c r="L45" i="29"/>
  <c r="L44" i="29"/>
  <c r="L41" i="29"/>
  <c r="L40" i="29"/>
  <c r="L39" i="29"/>
  <c r="L38" i="29"/>
  <c r="L37" i="29"/>
  <c r="L36" i="29"/>
  <c r="L7" i="29"/>
  <c r="L8" i="29"/>
  <c r="L9" i="29"/>
  <c r="L10" i="29"/>
  <c r="L11" i="29"/>
  <c r="L12" i="29"/>
  <c r="L13" i="29"/>
  <c r="L14" i="29"/>
  <c r="L15" i="29"/>
  <c r="L16" i="29"/>
  <c r="L17" i="29"/>
  <c r="L18" i="29"/>
  <c r="L19" i="29"/>
  <c r="L20" i="29"/>
  <c r="L21" i="29"/>
  <c r="L22" i="29"/>
  <c r="L23" i="29"/>
  <c r="L24" i="29"/>
  <c r="L25" i="29"/>
  <c r="L26" i="29"/>
  <c r="L27" i="29"/>
  <c r="L28" i="29"/>
  <c r="L29" i="29"/>
  <c r="L30" i="29"/>
  <c r="L31" i="29"/>
  <c r="L32" i="29"/>
  <c r="D260" i="29"/>
  <c r="J183" i="29"/>
  <c r="I183" i="29"/>
  <c r="H183" i="29"/>
  <c r="G183" i="29"/>
  <c r="F183" i="29"/>
  <c r="E183" i="29"/>
  <c r="D183" i="29"/>
  <c r="C183" i="29"/>
  <c r="I180" i="29"/>
  <c r="J180" i="29"/>
  <c r="H180" i="29"/>
  <c r="G180" i="29"/>
  <c r="F180" i="29"/>
  <c r="E180" i="29"/>
  <c r="D180" i="29"/>
  <c r="C180" i="29"/>
  <c r="H148" i="29"/>
  <c r="H146" i="29"/>
  <c r="H145" i="29"/>
  <c r="H144" i="29"/>
  <c r="H143" i="29"/>
  <c r="H142" i="29"/>
  <c r="H138" i="29"/>
  <c r="H136" i="29"/>
  <c r="H135" i="29"/>
  <c r="H134" i="29"/>
  <c r="H133" i="29"/>
  <c r="E138" i="29"/>
  <c r="E136" i="29"/>
  <c r="E135" i="29"/>
  <c r="E134" i="29"/>
  <c r="E133" i="29"/>
  <c r="I126" i="29"/>
  <c r="Z3" i="183"/>
  <c r="C49" i="29" l="1"/>
  <c r="C203" i="5"/>
  <c r="C158" i="5"/>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F36" i="181"/>
  <c r="G36" i="181" s="1"/>
  <c r="E36" i="181"/>
  <c r="F35" i="181"/>
  <c r="G35" i="181" s="1"/>
  <c r="E35" i="181"/>
  <c r="F34" i="181"/>
  <c r="G34" i="181" s="1"/>
  <c r="E34" i="18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3" l="1"/>
  <c r="B2" i="174"/>
  <c r="A2" i="170"/>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D7765" i="106" s="1"/>
  <c r="B7764" i="106"/>
  <c r="D7764" i="106" s="1"/>
  <c r="J85" i="28"/>
  <c r="B7758" i="106" s="1"/>
  <c r="D7758" i="106" s="1"/>
  <c r="J88" i="28"/>
  <c r="K6" i="29"/>
  <c r="B7763" i="106" s="1"/>
  <c r="B7762" i="106"/>
  <c r="K12" i="12"/>
  <c r="K23" i="12"/>
  <c r="K24" i="12" s="1"/>
  <c r="B7733" i="106" s="1"/>
  <c r="D7733" i="106" s="1"/>
  <c r="J12" i="12"/>
  <c r="J21" i="12"/>
  <c r="J23" i="12" s="1"/>
  <c r="B7729" i="106"/>
  <c r="D7729" i="106" s="1"/>
  <c r="B7734" i="106"/>
  <c r="D7734" i="106" s="1"/>
  <c r="B7726" i="106"/>
  <c r="D7726" i="106" s="1"/>
  <c r="D76" i="36"/>
  <c r="F162" i="34"/>
  <c r="B30" i="36"/>
  <c r="B33" i="36" s="1"/>
  <c r="B43" i="36" s="1"/>
  <c r="B56" i="36" s="1"/>
  <c r="B66" i="36" s="1"/>
  <c r="B70" i="36" s="1"/>
  <c r="B74" i="36" s="1"/>
  <c r="D73" i="36"/>
  <c r="C191" i="5"/>
  <c r="C201" i="5"/>
  <c r="C211" i="5"/>
  <c r="C216" i="5"/>
  <c r="C224" i="5"/>
  <c r="C228" i="5"/>
  <c r="C259" i="5"/>
  <c r="B7761" i="106"/>
  <c r="D7761" i="106" s="1"/>
  <c r="L127" i="29"/>
  <c r="L129" i="29" s="1"/>
  <c r="L139" i="29"/>
  <c r="L149" i="29"/>
  <c r="I7" i="145"/>
  <c r="I6" i="145"/>
  <c r="D78" i="36"/>
  <c r="K75" i="29"/>
  <c r="K130" i="29"/>
  <c r="K185" i="29"/>
  <c r="K122" i="29"/>
  <c r="F15" i="145" s="1"/>
  <c r="F19" i="145" s="1"/>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9" i="106"/>
  <c r="D7079" i="106" s="1"/>
  <c r="B7081" i="106"/>
  <c r="D7081" i="106" s="1"/>
  <c r="B7082" i="106"/>
  <c r="D7082" i="106" s="1"/>
  <c r="B7083" i="106"/>
  <c r="D7083" i="106" s="1"/>
  <c r="B7085" i="106"/>
  <c r="D7085" i="106" s="1"/>
  <c r="B7086" i="106"/>
  <c r="D7086"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69" i="36"/>
  <c r="D71" i="36"/>
  <c r="D72" i="36"/>
  <c r="D79" i="36"/>
  <c r="B64" i="127"/>
  <c r="B65" i="127"/>
  <c r="D26" i="108"/>
  <c r="F26" i="108"/>
  <c r="E27" i="108"/>
  <c r="G27" i="108"/>
  <c r="F31" i="108"/>
  <c r="F36" i="108"/>
  <c r="F37" i="108"/>
  <c r="G28" i="108"/>
  <c r="E29" i="108"/>
  <c r="E30" i="108"/>
  <c r="G30"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E109" i="5"/>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c r="D5161" i="106" s="1"/>
  <c r="D140" i="5"/>
  <c r="B5383" i="106" s="1"/>
  <c r="D5383" i="106" s="1"/>
  <c r="G140" i="5"/>
  <c r="G172" i="5" s="1"/>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s="1"/>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B4396" i="106"/>
  <c r="D4396" i="106" s="1"/>
  <c r="F191" i="5"/>
  <c r="F128" i="34" s="1"/>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E4" i="4"/>
  <c r="B2630" i="106" s="1"/>
  <c r="D2630" i="106" s="1"/>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J22" i="37"/>
  <c r="L22" i="37"/>
  <c r="D24" i="37"/>
  <c r="B4270" i="106" s="1"/>
  <c r="D4270" i="106" s="1"/>
  <c r="F131" i="34"/>
  <c r="F130" i="34"/>
  <c r="F111" i="34"/>
  <c r="B5847" i="106"/>
  <c r="D5847" i="106" s="1"/>
  <c r="B5752" i="106"/>
  <c r="D5752" i="106" s="1"/>
  <c r="K274" i="5"/>
  <c r="G173" i="5" l="1"/>
  <c r="B5778" i="106" s="1"/>
  <c r="D5778" i="106" s="1"/>
  <c r="B5770" i="106"/>
  <c r="D5770" i="106" s="1"/>
  <c r="F21" i="8"/>
  <c r="F127" i="34"/>
  <c r="F136" i="34"/>
  <c r="I274" i="5"/>
  <c r="G352" i="29"/>
  <c r="L15" i="11"/>
  <c r="B3459" i="106" s="1"/>
  <c r="D3459" i="106" s="1"/>
  <c r="F106" i="34"/>
  <c r="H109" i="5"/>
  <c r="B6025" i="106" s="1"/>
  <c r="D6025" i="106" s="1"/>
  <c r="G5" i="4"/>
  <c r="B3409" i="106" s="1"/>
  <c r="D3409" i="106" s="1"/>
  <c r="B7041" i="106"/>
  <c r="D7041" i="106" s="1"/>
  <c r="K173" i="5"/>
  <c r="K6" i="4" s="1"/>
  <c r="B3570" i="106" s="1"/>
  <c r="D3570" i="106" s="1"/>
  <c r="F172" i="5"/>
  <c r="B5644" i="106" s="1"/>
  <c r="D5644" i="106" s="1"/>
  <c r="J77" i="4"/>
  <c r="B6262" i="106" s="1"/>
  <c r="D6262" i="106" s="1"/>
  <c r="C172" i="5"/>
  <c r="B5214" i="106" s="1"/>
  <c r="D5214" i="106" s="1"/>
  <c r="K76" i="4"/>
  <c r="B3586" i="106" s="1"/>
  <c r="D3586" i="106" s="1"/>
  <c r="G29" i="108"/>
  <c r="E26" i="108"/>
  <c r="B3488" i="106"/>
  <c r="D3488" i="106" s="1"/>
  <c r="B7078" i="106"/>
  <c r="D7078" i="106" s="1"/>
  <c r="K184" i="29"/>
  <c r="F13" i="4" s="1"/>
  <c r="B2596" i="106" s="1"/>
  <c r="D2596" i="106" s="1"/>
  <c r="G15" i="145"/>
  <c r="F70" i="34"/>
  <c r="F66" i="34"/>
  <c r="E38" i="108"/>
  <c r="F28" i="108"/>
  <c r="G26" i="108"/>
  <c r="B1274" i="106"/>
  <c r="D1274" i="106" s="1"/>
  <c r="F71" i="34"/>
  <c r="E28" i="108"/>
  <c r="G38" i="108"/>
  <c r="B7047" i="106"/>
  <c r="D7047" i="106" s="1"/>
  <c r="I342" i="29"/>
  <c r="B7222" i="106" s="1"/>
  <c r="D7222" i="106" s="1"/>
  <c r="B5096" i="106"/>
  <c r="D5096" i="106" s="1"/>
  <c r="C109" i="5"/>
  <c r="B5121" i="106" s="1"/>
  <c r="D5121" i="106" s="1"/>
  <c r="D109" i="5"/>
  <c r="B5356" i="106" s="1"/>
  <c r="D5356" i="106" s="1"/>
  <c r="J129" i="29"/>
  <c r="B7038" i="106" s="1"/>
  <c r="D7038" i="106" s="1"/>
  <c r="K285" i="29"/>
  <c r="B3724" i="106" s="1"/>
  <c r="D3724" i="106" s="1"/>
  <c r="L13" i="11"/>
  <c r="B2060" i="106" s="1"/>
  <c r="D2060" i="106" s="1"/>
  <c r="L5" i="11"/>
  <c r="F19" i="7"/>
  <c r="B1807" i="106" s="1"/>
  <c r="D1807" i="106" s="1"/>
  <c r="D11" i="37"/>
  <c r="D31" i="36"/>
  <c r="H29" i="118"/>
  <c r="K28" i="118" s="1"/>
  <c r="O27" i="118" s="1"/>
  <c r="O29" i="118" s="1"/>
  <c r="L312" i="29"/>
  <c r="B3649" i="106"/>
  <c r="D3649" i="106" s="1"/>
  <c r="G367" i="29"/>
  <c r="B7235" i="106"/>
  <c r="D7235" i="106" s="1"/>
  <c r="H365" i="29"/>
  <c r="B3621" i="106"/>
  <c r="D3621" i="106" s="1"/>
  <c r="C367" i="29"/>
  <c r="L342" i="29"/>
  <c r="B1329" i="106"/>
  <c r="D1329" i="106" s="1"/>
  <c r="F61" i="34"/>
  <c r="L367" i="29"/>
  <c r="K350" i="29"/>
  <c r="C342" i="29"/>
  <c r="B7216" i="106" s="1"/>
  <c r="D7216" i="106" s="1"/>
  <c r="B1410" i="106"/>
  <c r="D1410" i="106" s="1"/>
  <c r="G210" i="29"/>
  <c r="B1223" i="106"/>
  <c r="D1223" i="106" s="1"/>
  <c r="F36" i="34"/>
  <c r="F27" i="108"/>
  <c r="H4" i="4"/>
  <c r="B2655" i="106" s="1"/>
  <c r="D2655" i="106" s="1"/>
  <c r="H173" i="5"/>
  <c r="G109" i="5"/>
  <c r="B6024" i="106" s="1"/>
  <c r="D6024" i="106" s="1"/>
  <c r="C173" i="5"/>
  <c r="B5223" i="106" s="1"/>
  <c r="D5223" i="106" s="1"/>
  <c r="B1746" i="106"/>
  <c r="D1746" i="106" s="1"/>
  <c r="D13" i="7"/>
  <c r="B3726" i="106" s="1"/>
  <c r="D3726" i="106" s="1"/>
  <c r="D12" i="7"/>
  <c r="B1769" i="106" s="1"/>
  <c r="D1769" i="106" s="1"/>
  <c r="D4" i="7"/>
  <c r="B1760" i="106" s="1"/>
  <c r="D1760" i="106" s="1"/>
  <c r="D11" i="7"/>
  <c r="B1768" i="106" s="1"/>
  <c r="D1768" i="106" s="1"/>
  <c r="D7" i="7"/>
  <c r="B1763" i="106" s="1"/>
  <c r="D1763" i="106" s="1"/>
  <c r="D15" i="7"/>
  <c r="B1772" i="106" s="1"/>
  <c r="D1772" i="106" s="1"/>
  <c r="D5" i="7"/>
  <c r="B1761" i="106" s="1"/>
  <c r="D1761" i="106" s="1"/>
  <c r="D9" i="7"/>
  <c r="B1767" i="106" s="1"/>
  <c r="D1767" i="106" s="1"/>
  <c r="D17" i="7"/>
  <c r="B4104" i="106" s="1"/>
  <c r="D410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7270" i="106"/>
  <c r="F274" i="5" l="1"/>
  <c r="F275" i="5" s="1"/>
  <c r="B2059" i="106"/>
  <c r="D2059" i="106" s="1"/>
  <c r="M19" i="3"/>
  <c r="B276" i="106" s="1"/>
  <c r="D276" i="106" s="1"/>
  <c r="D274" i="5"/>
  <c r="B2058" i="106"/>
  <c r="D2058" i="106" s="1"/>
  <c r="M18" i="3"/>
  <c r="B275" i="106" s="1"/>
  <c r="D275" i="106" s="1"/>
  <c r="B1879" i="106"/>
  <c r="D1879" i="106" s="1"/>
  <c r="H22" i="37"/>
  <c r="B2057" i="106"/>
  <c r="D2057" i="106" s="1"/>
  <c r="M17" i="3"/>
  <c r="B274" i="106" s="1"/>
  <c r="D274" i="106" s="1"/>
  <c r="B2056" i="106"/>
  <c r="D2056" i="106" s="1"/>
  <c r="M16" i="3"/>
  <c r="B1381" i="106"/>
  <c r="D1381" i="106" s="1"/>
  <c r="H151" i="29"/>
  <c r="B1273" i="106" s="1"/>
  <c r="D1273" i="106" s="1"/>
  <c r="F41" i="108"/>
  <c r="G43" i="108" s="1"/>
  <c r="C4" i="4"/>
  <c r="B2551" i="106" s="1"/>
  <c r="D2551" i="106" s="1"/>
  <c r="D4" i="4"/>
  <c r="B2564" i="106" s="1"/>
  <c r="D2564" i="106" s="1"/>
  <c r="F73" i="34"/>
  <c r="G15" i="4"/>
  <c r="B6032" i="106" s="1"/>
  <c r="D6032" i="106" s="1"/>
  <c r="L16" i="11"/>
  <c r="B2061" i="106" s="1"/>
  <c r="D2061" i="106" s="1"/>
  <c r="B2031" i="106"/>
  <c r="D2031" i="106" s="1"/>
  <c r="B3670" i="106"/>
  <c r="D3670" i="106" s="1"/>
  <c r="K352" i="29"/>
  <c r="K367" i="29" s="1"/>
  <c r="H367" i="29"/>
  <c r="B3660" i="106" s="1"/>
  <c r="D3660" i="106" s="1"/>
  <c r="B7242" i="106"/>
  <c r="D7242" i="106" s="1"/>
  <c r="L114" i="29"/>
  <c r="K342" i="29"/>
  <c r="F13" i="34" s="1"/>
  <c r="B1365" i="106"/>
  <c r="D1365" i="106" s="1"/>
  <c r="F65" i="34"/>
  <c r="C114" i="29"/>
  <c r="B757" i="106" s="1"/>
  <c r="D757" i="106" s="1"/>
  <c r="B5906" i="106"/>
  <c r="D5906" i="106" s="1"/>
  <c r="H6" i="4"/>
  <c r="B2656" i="106" s="1"/>
  <c r="D2656" i="106" s="1"/>
  <c r="G4" i="4"/>
  <c r="B2603" i="106" s="1"/>
  <c r="D2603" i="106" s="1"/>
  <c r="F6" i="4"/>
  <c r="B2593" i="106" s="1"/>
  <c r="D2593" i="106" s="1"/>
  <c r="C6" i="4"/>
  <c r="B2553" i="106" s="1"/>
  <c r="D2553" i="106" s="1"/>
  <c r="H8" i="4"/>
  <c r="B2658" i="106" s="1"/>
  <c r="D2658"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273" i="106" l="1"/>
  <c r="D273" i="106" s="1"/>
  <c r="M23" i="3"/>
  <c r="B7224" i="106"/>
  <c r="D7224" i="106" s="1"/>
  <c r="K13" i="4"/>
  <c r="B3572" i="106" s="1"/>
  <c r="D3572" i="106" s="1"/>
  <c r="B3672" i="106"/>
  <c r="D3672" i="106" s="1"/>
  <c r="H10" i="4"/>
  <c r="B4127" i="106" s="1"/>
  <c r="D4127" i="106" s="1"/>
  <c r="J17" i="4"/>
  <c r="B6227" i="106" s="1"/>
  <c r="D6227" i="106" s="1"/>
  <c r="J8" i="4"/>
  <c r="J10" i="4" s="1"/>
  <c r="B6225" i="106" s="1"/>
  <c r="D6225" i="106" s="1"/>
  <c r="F8" i="4"/>
  <c r="F10" i="4" s="1"/>
  <c r="B4125" i="106" s="1"/>
  <c r="D412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B279" i="106" l="1"/>
  <c r="D279" i="106" s="1"/>
  <c r="M40" i="3"/>
  <c r="J19" i="4"/>
  <c r="B6229" i="106" s="1"/>
  <c r="D6229" i="106" s="1"/>
  <c r="D8" i="4"/>
  <c r="C8" i="146" s="1"/>
  <c r="J20" i="4"/>
  <c r="J78" i="4" s="1"/>
  <c r="F76" i="34"/>
  <c r="B2595" i="106"/>
  <c r="D2595" i="106" s="1"/>
  <c r="D10" i="171"/>
  <c r="D19" i="171" s="1"/>
  <c r="D32" i="171" s="1"/>
  <c r="D49" i="171" s="1"/>
  <c r="D8" i="146"/>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80" i="106" l="1"/>
  <c r="D280" i="106" s="1"/>
  <c r="M41" i="3"/>
  <c r="D10" i="4"/>
  <c r="B4123" i="106" s="1"/>
  <c r="D4123" i="106" s="1"/>
  <c r="B2568" i="106"/>
  <c r="D2568" i="106" s="1"/>
  <c r="D20" i="4"/>
  <c r="D78" i="4"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B2574" i="106"/>
  <c r="D2574" i="106" s="1"/>
  <c r="F8" i="146"/>
  <c r="B281" i="106" l="1"/>
  <c r="D281" i="106" s="1"/>
  <c r="D54" i="36"/>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<sst xmlns="http://schemas.openxmlformats.org/spreadsheetml/2006/main" count="7971" uniqueCount="3393">
  <si>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</si>
  <si>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</si>
  <si>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</si>
  <si>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</si>
  <si>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</si>
  <si>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</si>
  <si>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</si>
  <si>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</si>
  <si>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</si>
  <si>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</si>
  <si>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</si>
  <si>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</si>
  <si>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</si>
  <si>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</si>
  <si>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</si>
  <si>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</si>
  <si>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</si>
  <si>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</si>
  <si>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</si>
  <si>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</si>
  <si>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</si>
  <si>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</si>
  <si>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</si>
  <si>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</si>
  <si>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</si>
  <si>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</si>
  <si>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</si>
  <si>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</si>
  <si>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</si>
  <si>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</si>
  <si>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</si>
  <si>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</si>
  <si>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</si>
  <si>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</si>
  <si>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</si>
  <si>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</si>
  <si>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</si>
  <si>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</si>
  <si>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</si>
  <si>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</si>
  <si>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</si>
  <si>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</si>
  <si>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</si>
  <si>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</si>
  <si>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</si>
  <si>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</si>
  <si>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</si>
  <si>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</si>
  <si>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</si>
  <si>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</si>
  <si>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</si>
  <si>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</si>
  <si>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</si>
  <si>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</si>
  <si>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</si>
  <si>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</si>
  <si>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</si>
  <si>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</si>
  <si>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</si>
  <si>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</si>
  <si>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</si>
  <si>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</si>
  <si>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</si>
  <si>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</si>
  <si>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</si>
  <si>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</si>
  <si>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</si>
  <si>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</si>
  <si>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</si>
  <si>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</si>
  <si>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</si>
  <si>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</si>
  <si>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</si>
  <si>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</si>
  <si>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</si>
  <si>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</si>
  <si>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</si>
  <si>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</si>
  <si>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</si>
  <si>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</si>
  <si>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</si>
  <si>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</si>
  <si>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</si>
  <si>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</si>
  <si>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</si>
  <si>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</si>
  <si>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</si>
  <si>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</si>
  <si>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</si>
  <si>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</si>
  <si>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</si>
  <si>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</si>
  <si>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</si>
  <si>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</si>
  <si>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</si>
  <si>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</si>
  <si>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</si>
  <si>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</si>
  <si>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</si>
  <si>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</si>
  <si>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</si>
  <si>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</si>
  <si>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</si>
  <si>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</si>
  <si>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</si>
  <si>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</si>
  <si>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</si>
  <si>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</si>
  <si>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</si>
  <si>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</si>
  <si>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</si>
  <si>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</si>
  <si>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</si>
  <si>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</si>
  <si>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</si>
  <si>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</si>
  <si>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</si>
  <si>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</si>
  <si>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</si>
  <si>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</si>
  <si>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</si>
  <si>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</si>
  <si>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</si>
  <si>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</si>
  <si>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</si>
  <si>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</si>
  <si>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</si>
  <si>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</si>
  <si>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</si>
  <si>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</si>
  <si>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</si>
  <si>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</si>
  <si>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</si>
  <si>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</si>
  <si>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</si>
  <si>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</si>
  <si>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</si>
  <si>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</si>
  <si>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</si>
  <si>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</si>
  <si>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</si>
  <si>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</si>
  <si>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</si>
  <si>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</si>
  <si>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</si>
  <si>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</si>
  <si>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</si>
  <si>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</si>
  <si>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</si>
  <si>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</si>
  <si>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</si>
  <si>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</si>
  <si>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</si>
  <si>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</si>
  <si>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</si>
  <si>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</si>
  <si>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</si>
  <si>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</si>
  <si>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</si>
  <si>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</si>
  <si>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</si>
  <si>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</si>
  <si>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</si>
  <si>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</si>
  <si>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</si>
  <si>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</si>
  <si>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</si>
  <si>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</si>
  <si>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</si>
  <si>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</si>
  <si>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</si>
  <si>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</si>
  <si>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</si>
  <si>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</si>
  <si>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</si>
  <si>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</si>
  <si>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</si>
  <si>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</si>
  <si>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</si>
  <si>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</si>
  <si>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</si>
  <si>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</si>
  <si>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</si>
  <si>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</si>
  <si>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</si>
  <si>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</si>
  <si>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</si>
  <si>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</si>
  <si>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</si>
  <si>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</si>
  <si>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</si>
  <si>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</si>
  <si>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</si>
  <si>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</si>
  <si>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</si>
  <si>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</si>
  <si>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</si>
  <si>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</si>
  <si>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</si>
  <si>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</si>
  <si>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</si>
  <si>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</si>
  <si>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</si>
  <si>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</si>
  <si>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</si>
  <si>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</si>
  <si>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</si>
  <si>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</si>
  <si>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</si>
  <si>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</si>
  <si>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</si>
  <si>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</si>
  <si>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</si>
  <si>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</si>
  <si>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</si>
  <si>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</si>
  <si>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</si>
  <si>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</si>
  <si>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</si>
  <si>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</si>
  <si>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</si>
  <si>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</si>
  <si>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</si>
  <si>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</si>
  <si>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</si>
  <si>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</si>
  <si>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</si>
  <si>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</si>
  <si>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</si>
  <si>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</si>
  <si>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</si>
  <si>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</si>
  <si>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</si>
  <si>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</si>
  <si>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</si>
  <si>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</si>
  <si>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</si>
  <si>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</si>
  <si>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</si>
  <si>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</si>
  <si>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</si>
  <si>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</si>
  <si>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</si>
  <si>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</si>
  <si>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</si>
  <si>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</si>
  <si>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</si>
  <si>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</si>
  <si>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</si>
  <si>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</si>
  <si>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</si>
  <si>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</si>
  <si>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</si>
  <si>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</si>
  <si>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</si>
  <si>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</si>
  <si>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</si>
  <si>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</si>
  <si>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</si>
  <si>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</si>
  <si>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</si>
  <si>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</si>
  <si>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</si>
  <si>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</si>
  <si>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</si>
  <si>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</si>
  <si>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</si>
  <si>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</si>
  <si>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</si>
  <si>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</si>
  <si>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</si>
  <si>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</si>
  <si>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</si>
  <si>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</si>
  <si>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</si>
  <si>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</si>
  <si>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</si>
  <si>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</si>
  <si>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</si>
  <si>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</si>
  <si>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</si>
  <si>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</si>
  <si>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</si>
  <si>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</si>
  <si>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</si>
  <si>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</si>
  <si>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</si>
  <si>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</si>
  <si>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</si>
  <si>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</si>
  <si>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</si>
  <si>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</si>
  <si>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</si>
  <si>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</si>
  <si>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</si>
  <si>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</si>
  <si>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</si>
  <si>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</si>
  <si>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</si>
  <si>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</si>
  <si>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</si>
  <si>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</si>
  <si>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</si>
  <si>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</si>
  <si>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</si>
  <si>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</si>
  <si>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</si>
  <si>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</si>
  <si>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</si>
  <si>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</si>
  <si>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</si>
  <si>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</si>
  <si>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</si>
  <si>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</si>
  <si>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</si>
  <si>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</si>
  <si>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</si>
  <si>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</si>
  <si>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</si>
  <si>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</si>
  <si>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</si>
  <si>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</si>
  <si>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</si>
  <si>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</si>
  <si>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</si>
  <si>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</si>
  <si>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</si>
  <si>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</si>
  <si>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</si>
  <si>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</si>
  <si>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</si>
  <si>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</si>
  <si>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</si>
  <si>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</si>
  <si>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</si>
  <si>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</si>
  <si>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</si>
  <si>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</si>
  <si>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</si>
  <si>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</si>
  <si>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</si>
  <si>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</si>
  <si>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</si>
  <si>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</si>
  <si>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</si>
  <si>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</si>
  <si>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</si>
  <si>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</si>
  <si>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</si>
  <si>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</si>
  <si>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</si>
  <si>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</si>
  <si>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</si>
  <si>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</si>
  <si>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</si>
  <si>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</si>
  <si>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</si>
  <si>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</si>
  <si>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</si>
  <si>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</si>
  <si>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</si>
  <si>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</si>
  <si>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</si>
  <si>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</si>
  <si>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</si>
  <si>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</si>
  <si>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</si>
  <si>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</si>
  <si>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</si>
  <si>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</si>
  <si>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</si>
  <si>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</si>
  <si>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</si>
  <si>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</si>
  <si>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</si>
  <si>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</si>
  <si>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</si>
  <si>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</si>
  <si>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</si>
  <si>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</si>
  <si>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</si>
  <si>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</si>
  <si>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</si>
  <si>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</si>
  <si>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</si>
  <si>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</si>
  <si>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</si>
  <si>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</si>
  <si>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</si>
  <si>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</si>
  <si>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</si>
  <si>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</si>
  <si>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</si>
  <si>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</si>
  <si>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</si>
  <si>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</si>
  <si>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</si>
  <si>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</si>
  <si>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</si>
  <si>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</si>
  <si>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</si>
  <si>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</si>
  <si>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</si>
  <si>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</si>
  <si>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</si>
  <si>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</si>
  <si>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</si>
  <si>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</si>
  <si>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</si>
  <si>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</si>
  <si>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</si>
  <si>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</si>
  <si>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</si>
  <si>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</si>
  <si>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</si>
  <si>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</si>
  <si>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</si>
  <si>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</si>
  <si>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</si>
  <si>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</si>
  <si>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</si>
  <si>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</si>
  <si>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</si>
  <si>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</si>
  <si>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</si>
  <si>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</si>
  <si>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</si>
  <si>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</si>
  <si>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</si>
  <si>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</si>
  <si>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</si>
  <si>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</si>
  <si>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</si>
  <si>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</si>
  <si>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</si>
  <si>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</si>
  <si>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</si>
  <si>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</si>
  <si>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</si>
  <si>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</si>
  <si>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</si>
  <si>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</si>
  <si>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</si>
  <si>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</si>
  <si>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</si>
  <si>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</si>
  <si>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</si>
  <si>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</si>
  <si>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</si>
  <si>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</si>
  <si>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</si>
  <si>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</si>
  <si>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</si>
  <si>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</si>
  <si>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</si>
  <si>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</si>
  <si>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</si>
  <si>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</si>
  <si>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</si>
  <si>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</si>
  <si>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</si>
  <si>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</si>
  <si>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</si>
  <si>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</si>
  <si>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</si>
  <si>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</si>
  <si>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</si>
  <si>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</si>
  <si>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</si>
  <si>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</si>
  <si>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</si>
  <si>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</si>
  <si>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</si>
  <si>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</si>
  <si>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</si>
  <si>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</si>
  <si>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</si>
  <si>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</si>
  <si>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</si>
  <si>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</si>
  <si>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</si>
  <si>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</si>
  <si>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</si>
  <si>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</si>
  <si>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</si>
  <si>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</si>
  <si>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</si>
  <si>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</si>
  <si>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</si>
  <si>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</si>
  <si>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</si>
  <si>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</si>
  <si>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</si>
  <si>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</si>
  <si>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</si>
  <si>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</si>
  <si>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</si>
  <si>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</si>
  <si>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</si>
  <si>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</si>
  <si>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</si>
  <si>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</si>
  <si>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</si>
  <si>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</si>
  <si>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</si>
  <si>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</si>
  <si>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</si>
  <si>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</si>
  <si>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</si>
  <si>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</si>
  <si>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</si>
  <si>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</si>
  <si>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</si>
  <si>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</si>
  <si>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</si>
  <si>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</si>
  <si>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</si>
  <si>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</si>
  <si>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</si>
  <si>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</si>
  <si>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</si>
  <si>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</si>
  <si>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</si>
  <si>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</si>
  <si>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</si>
  <si>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</si>
  <si>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</si>
  <si>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</si>
  <si>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</si>
  <si>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</si>
  <si>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</si>
  <si>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</si>
  <si>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</si>
  <si>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</si>
  <si>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</si>
  <si>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</si>
  <si>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</si>
  <si>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</si>
  <si>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</si>
  <si>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</si>
  <si>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</si>
  <si>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</si>
  <si>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</si>
  <si>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</si>
  <si>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</si>
  <si>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</si>
  <si>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</si>
  <si>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</si>
  <si>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</si>
  <si>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</si>
  <si>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</si>
  <si>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</si>
  <si>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</si>
  <si>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</si>
  <si>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</si>
  <si>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</si>
  <si>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</si>
  <si>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</si>
  <si>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</si>
  <si>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</si>
  <si>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</si>
  <si>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</si>
  <si>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</si>
  <si>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</si>
  <si>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</si>
  <si>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</si>
  <si>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</si>
  <si>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</si>
  <si>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</si>
  <si>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</si>
  <si>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</si>
  <si>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</si>
  <si>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</si>
  <si>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</si>
  <si>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</si>
  <si>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</si>
  <si>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</si>
  <si>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</si>
  <si>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</si>
  <si>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</si>
  <si>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</si>
  <si>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</si>
  <si>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</si>
  <si>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</si>
  <si>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</si>
  <si>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</si>
  <si>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</si>
  <si>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</si>
  <si>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</si>
  <si>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</si>
  <si>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</si>
  <si>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</si>
  <si>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</si>
  <si>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</si>
  <si>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</si>
  <si>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</si>
  <si>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</si>
  <si>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</si>
  <si>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</si>
  <si>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</si>
  <si>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</si>
  <si>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</si>
  <si>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</si>
  <si>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</si>
  <si>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</si>
  <si>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</si>
  <si>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</si>
  <si>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</si>
  <si>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</si>
  <si>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</si>
  <si>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</si>
  <si>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</si>
  <si>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</si>
  <si>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</si>
  <si>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</si>
  <si>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</si>
  <si>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</si>
  <si>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</si>
  <si>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</si>
  <si>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</si>
  <si>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</si>
  <si>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</si>
  <si>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</si>
  <si>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</si>
  <si>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</si>
  <si>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</si>
  <si>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</si>
  <si>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</si>
  <si>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</si>
  <si>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</si>
  <si>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</si>
  <si>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</si>
  <si>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</si>
  <si>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</si>
  <si>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</si>
  <si>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</si>
  <si>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</si>
  <si>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</si>
  <si>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</si>
  <si>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</si>
  <si>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</si>
  <si>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</si>
  <si>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</si>
  <si>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</si>
  <si>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</si>
  <si>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</si>
  <si>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</si>
  <si>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</si>
  <si>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</si>
  <si>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</si>
  <si>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</si>
  <si>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</si>
  <si>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</si>
  <si>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</si>
  <si>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</si>
  <si>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</si>
  <si>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</si>
  <si>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</si>
  <si>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</si>
  <si>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</si>
  <si>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</si>
  <si>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</si>
  <si>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</si>
  <si>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</si>
  <si>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</si>
  <si>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</si>
  <si>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</si>
  <si>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</si>
  <si>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</si>
  <si>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</si>
  <si>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</si>
  <si>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</si>
  <si>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</si>
  <si>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</si>
  <si>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</si>
  <si>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</si>
  <si>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</si>
  <si>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</si>
  <si>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</si>
  <si>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</si>
  <si>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</si>
  <si>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</si>
  <si>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</si>
  <si>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</si>
  <si>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</si>
  <si>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</si>
  <si>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</si>
  <si>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</si>
  <si>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</si>
  <si>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</si>
  <si>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</si>
  <si>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</si>
  <si>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</si>
  <si>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</si>
  <si>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</si>
  <si>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</si>
  <si>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</si>
  <si>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</si>
  <si>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</si>
  <si>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</si>
  <si>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</si>
  <si>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</si>
  <si>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</si>
  <si>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</si>
  <si>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</si>
  <si>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</si>
  <si>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</si>
  <si>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</si>
  <si>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</si>
  <si>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</si>
  <si>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</si>
  <si>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</si>
  <si>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</si>
  <si>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</si>
  <si>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</si>
  <si>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</si>
  <si>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</si>
  <si>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</si>
  <si>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</si>
  <si>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</si>
  <si>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</si>
  <si>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</si>
  <si>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</si>
  <si>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</si>
  <si>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</si>
  <si>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</si>
  <si>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</si>
  <si>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</si>
  <si>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</si>
  <si>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</si>
  <si>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</si>
  <si>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</si>
  <si>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</si>
  <si>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</si>
  <si>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</si>
  <si>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</si>
  <si>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</si>
  <si>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</si>
  <si>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</si>
  <si>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</si>
  <si>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</si>
  <si>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</si>
  <si>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</si>
  <si>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</si>
  <si>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</si>
  <si>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</si>
  <si>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</si>
  <si>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</si>
  <si>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</si>
  <si>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</si>
  <si>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</si>
  <si>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</si>
  <si>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</si>
  <si>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</si>
  <si>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</si>
  <si>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</si>
  <si>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</si>
  <si>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</si>
  <si>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</si>
  <si>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</si>
  <si>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</si>
  <si>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</si>
  <si>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</si>
  <si>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</si>
  <si>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</si>
  <si>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</si>
  <si>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</si>
  <si>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</si>
  <si>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</si>
  <si>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</si>
  <si>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</si>
  <si>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</si>
  <si>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</si>
  <si>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</si>
  <si>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</si>
  <si>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</si>
  <si>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</si>
  <si>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</si>
  <si>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</si>
  <si>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</si>
  <si>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</si>
  <si>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</si>
  <si>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</si>
  <si>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</si>
  <si>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</si>
  <si>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</si>
  <si>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</si>
  <si>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</si>
  <si>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</si>
  <si>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</si>
  <si>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</si>
  <si>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</si>
  <si>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</si>
  <si>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</si>
  <si>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</si>
  <si>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</si>
  <si>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</si>
  <si>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</si>
  <si>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</si>
  <si>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</si>
  <si>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</si>
  <si>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</si>
  <si>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</si>
  <si>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</si>
  <si>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</si>
  <si>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</si>
  <si>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</si>
  <si>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</si>
  <si>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</si>
  <si>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</si>
  <si>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</si>
  <si>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</si>
  <si>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</si>
  <si>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</si>
  <si>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</si>
  <si>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</si>
  <si>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</si>
  <si>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</si>
  <si>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</si>
  <si>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</si>
  <si>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</si>
  <si>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</si>
  <si>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</si>
  <si>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</si>
  <si>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</si>
  <si>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</si>
  <si>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</si>
  <si>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</si>
  <si>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</si>
  <si>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</si>
  <si>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</si>
  <si>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</si>
  <si>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</si>
  <si>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</si>
  <si>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</si>
  <si>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</si>
  <si>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</si>
  <si>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</si>
  <si>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</si>
  <si>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</si>
  <si>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</si>
  <si>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</si>
  <si>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</si>
  <si>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</si>
  <si>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</si>
  <si>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</si>
  <si>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</si>
  <si>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</si>
  <si>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</si>
  <si>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</si>
  <si>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</si>
  <si>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</si>
  <si>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</si>
  <si>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</si>
  <si>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</si>
  <si>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</si>
  <si>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</si>
  <si>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</si>
  <si>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</si>
  <si>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</si>
  <si>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</si>
  <si>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</si>
  <si>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</si>
  <si>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</si>
  <si>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</si>
  <si>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</si>
  <si>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</si>
  <si>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</si>
  <si>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</si>
  <si>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</si>
  <si>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</si>
  <si>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</si>
  <si>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</si>
  <si>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</si>
  <si>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</si>
  <si>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</si>
  <si>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</si>
  <si>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</si>
  <si>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</si>
  <si>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</si>
  <si>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</si>
  <si>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</si>
  <si>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</si>
  <si>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</si>
  <si>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</si>
  <si>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</si>
  <si>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</si>
  <si>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</si>
  <si>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</si>
  <si>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</si>
  <si>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</si>
  <si>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</si>
  <si>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</si>
  <si>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</si>
  <si>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</si>
  <si>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</si>
  <si>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</si>
  <si>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</si>
  <si>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</si>
  <si>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</si>
  <si>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</si>
  <si>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</si>
  <si>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</si>
  <si>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</si>
  <si>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</si>
  <si>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</si>
  <si>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</si>
  <si>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</si>
  <si>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</si>
  <si>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</si>
  <si>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</si>
  <si>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</si>
  <si>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</si>
  <si>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</si>
  <si>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</si>
  <si>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</si>
  <si>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</si>
  <si>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</si>
  <si>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</si>
  <si>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</si>
  <si>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</si>
  <si>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</si>
  <si>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</si>
  <si>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</si>
  <si>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</si>
  <si>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</si>
  <si>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</si>
  <si>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</si>
  <si>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</si>
  <si>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</si>
  <si>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</si>
  <si>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</si>
  <si>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</si>
  <si>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</si>
  <si>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</si>
  <si>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</si>
  <si>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</si>
  <si>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</si>
  <si>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</si>
  <si>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</si>
  <si>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</si>
  <si>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</si>
  <si>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</si>
  <si>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</si>
  <si>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</si>
  <si>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</si>
  <si>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</si>
  <si>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</si>
  <si>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</si>
  <si>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</si>
  <si>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</si>
  <si>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</si>
  <si>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</si>
  <si>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</si>
  <si>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</si>
  <si>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</si>
  <si>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</si>
  <si>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</si>
  <si>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</si>
  <si>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</si>
  <si>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</si>
  <si>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</si>
  <si>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</si>
  <si>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</si>
  <si>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</si>
  <si>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</si>
  <si>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</si>
  <si>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</si>
  <si>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</si>
  <si>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</si>
  <si>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</si>
  <si>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</si>
  <si>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</si>
  <si>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</si>
  <si>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</si>
  <si>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</si>
  <si>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</si>
  <si>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</si>
  <si>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</si>
  <si>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</si>
  <si>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</si>
  <si>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</si>
  <si>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</si>
  <si>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</si>
  <si>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</si>
  <si>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</si>
  <si>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</si>
  <si>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</si>
  <si>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</si>
  <si>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</si>
  <si>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</si>
  <si>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</si>
  <si>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</si>
  <si>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</si>
  <si>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</si>
  <si>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</si>
  <si>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</si>
  <si>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</si>
  <si>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</si>
  <si>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</si>
  <si>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</si>
  <si>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</si>
  <si>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</si>
  <si>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</si>
  <si>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</si>
  <si>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</si>
  <si>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</si>
  <si>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</si>
  <si>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</si>
  <si>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</si>
  <si>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</si>
  <si>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</si>
  <si>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</si>
  <si>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</si>
  <si>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</si>
  <si>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</si>
  <si>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</si>
  <si>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</si>
  <si>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</si>
  <si>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</si>
  <si>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</si>
  <si>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</si>
  <si>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</si>
  <si>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</si>
  <si>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</si>
  <si>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</si>
  <si>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</si>
  <si>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</si>
  <si>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</si>
  <si>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</si>
  <si>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</si>
  <si>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</si>
  <si>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</si>
  <si>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</si>
  <si>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</si>
  <si>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</si>
  <si>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</si>
  <si>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</si>
  <si>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</si>
  <si>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</si>
  <si>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</si>
  <si>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</si>
  <si>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</si>
  <si>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</si>
  <si>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</si>
  <si>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</si>
  <si>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</si>
  <si>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</si>
  <si>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</si>
  <si>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</si>
  <si>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</si>
  <si>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</si>
  <si>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</si>
  <si>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</si>
  <si>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</si>
  <si>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</si>
  <si>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</si>
  <si>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</si>
  <si>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</si>
  <si>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</si>
  <si>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</si>
  <si>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</si>
  <si>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</si>
  <si>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</si>
  <si>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</si>
  <si>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</si>
  <si>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</si>
  <si>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</si>
  <si>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</si>
  <si>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</si>
  <si>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</si>
  <si>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</si>
  <si>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</si>
  <si>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</si>
  <si>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</si>
  <si>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</si>
  <si>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</si>
  <si>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</si>
  <si>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</si>
  <si>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</si>
  <si>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</si>
  <si>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</si>
  <si>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</si>
  <si>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</si>
  <si>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</si>
  <si>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</si>
  <si>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</si>
  <si>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</si>
  <si>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</si>
  <si>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</si>
  <si>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</si>
  <si>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</si>
  <si>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</si>
  <si>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</si>
  <si>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</si>
  <si>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</si>
  <si>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</si>
  <si>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</si>
  <si>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</si>
  <si>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</si>
  <si>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</si>
  <si>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</si>
  <si>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</si>
  <si>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</si>
  <si>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</si>
  <si>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</si>
  <si>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</si>
  <si>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</si>
  <si>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</si>
  <si>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</si>
  <si>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</si>
  <si>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</si>
  <si>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</si>
  <si>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</si>
  <si>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</si>
  <si>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</si>
  <si>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</si>
  <si>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</si>
  <si>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</si>
  <si>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</si>
  <si>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</si>
  <si>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</si>
  <si>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</si>
  <si>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</si>
  <si>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</si>
  <si>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</si>
  <si>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</si>
  <si>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</si>
  <si>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</si>
  <si>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</si>
  <si>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</si>
  <si>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</si>
  <si>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</si>
  <si>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</si>
  <si>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</si>
  <si>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</si>
  <si>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</si>
  <si>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</si>
  <si>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</si>
  <si>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</si>
  <si>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</si>
  <si>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</si>
  <si>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</si>
  <si>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</si>
  <si>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</si>
  <si>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</si>
  <si>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</si>
  <si>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</si>
  <si>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</si>
  <si>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</si>
  <si>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</si>
  <si>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</si>
  <si>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</si>
  <si>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</si>
  <si>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</si>
  <si>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</si>
  <si>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</si>
  <si>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</si>
  <si>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</si>
  <si>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</si>
  <si>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</si>
  <si>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</si>
  <si>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</si>
  <si>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</si>
  <si>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</si>
  <si>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</si>
  <si>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</si>
  <si>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</si>
  <si>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</si>
  <si>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</si>
  <si>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</si>
  <si>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</si>
  <si>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</si>
  <si>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</si>
  <si>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</si>
  <si>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</si>
  <si>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</si>
  <si>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</si>
  <si>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</si>
  <si>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</si>
  <si>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</si>
  <si>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</si>
  <si>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</si>
  <si>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</si>
  <si>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</si>
  <si>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</si>
  <si>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</si>
  <si>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</si>
  <si>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</si>
  <si>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</si>
  <si>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</si>
  <si>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</si>
  <si>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</si>
  <si>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</si>
  <si>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</si>
  <si>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</si>
  <si>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</si>
  <si>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</si>
  <si>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</si>
  <si>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</si>
  <si>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</si>
  <si>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</si>
  <si>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</si>
  <si>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</si>
  <si>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</si>
  <si>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</si>
  <si>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</si>
  <si>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</si>
  <si>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</si>
  <si>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</si>
  <si>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</si>
  <si>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</si>
  <si>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</si>
  <si>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</si>
  <si>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</si>
  <si>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</si>
  <si>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</si>
  <si>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</si>
  <si>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</si>
  <si>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</si>
  <si>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</si>
  <si>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</si>
  <si>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</si>
  <si>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</si>
  <si>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</si>
  <si>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</si>
  <si>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</si>
  <si>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</si>
  <si>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</si>
  <si>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</si>
  <si>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</si>
  <si>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</si>
  <si>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</si>
  <si>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</si>
  <si>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</si>
  <si>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</si>
  <si>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</si>
  <si>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</si>
  <si>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</si>
  <si>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</si>
  <si>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</si>
  <si>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</si>
  <si>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</si>
  <si>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</si>
  <si>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</si>
  <si>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</si>
  <si>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</si>
  <si>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</si>
  <si>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</si>
  <si>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</si>
  <si>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</si>
  <si>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</si>
  <si>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</si>
  <si>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</si>
  <si>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</si>
  <si>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</si>
  <si>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</si>
  <si>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</si>
  <si>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</si>
  <si>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</si>
  <si>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</si>
  <si>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</si>
  <si>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</si>
  <si>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</si>
  <si>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</si>
  <si>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</si>
  <si>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</si>
  <si>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</si>
  <si>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</si>
  <si>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</si>
  <si>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</si>
  <si>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</si>
  <si>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</si>
  <si>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</si>
  <si>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</si>
  <si>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</si>
  <si>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</si>
  <si>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</si>
  <si>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</si>
  <si>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</si>
  <si>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</si>
  <si>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</si>
  <si>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</si>
  <si>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</si>
  <si>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</si>
  <si>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</si>
  <si>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</si>
  <si>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</si>
  <si>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</si>
  <si>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</si>
  <si>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</si>
  <si>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</si>
  <si>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</si>
  <si>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</si>
  <si>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</si>
  <si>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</si>
  <si>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</si>
  <si>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</si>
  <si>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</si>
  <si>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</si>
  <si>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</si>
  <si>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</si>
  <si>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</si>
  <si>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</si>
  <si>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</si>
  <si>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</si>
  <si>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</si>
  <si>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</si>
  <si>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</si>
  <si>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</si>
  <si>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</si>
  <si>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</si>
  <si>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</si>
  <si>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</si>
  <si>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</si>
  <si>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</si>
  <si>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</si>
  <si>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</si>
  <si>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</si>
  <si>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</si>
  <si>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</si>
  <si>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</si>
  <si>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</si>
  <si>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</si>
  <si>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</si>
  <si>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</si>
  <si>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</si>
  <si>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</si>
  <si>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</si>
  <si>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</si>
  <si>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</si>
  <si>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</si>
  <si>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</si>
  <si>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</si>
  <si>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</si>
  <si>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</si>
  <si>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</si>
  <si>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</si>
  <si>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</si>
  <si>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</si>
  <si>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</si>
  <si>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</si>
  <si>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</si>
  <si>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</si>
  <si>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</si>
  <si>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</si>
  <si>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</si>
  <si>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</si>
  <si>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</si>
  <si>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</si>
  <si>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</si>
  <si>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</si>
  <si>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</si>
  <si>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</si>
  <si>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</si>
  <si>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</si>
  <si>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</si>
  <si>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</si>
  <si>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</si>
  <si>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</si>
  <si>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</si>
  <si>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</si>
  <si>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</si>
  <si>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</si>
  <si>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</si>
  <si>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</si>
  <si>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</si>
  <si>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</si>
  <si>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</si>
  <si>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</si>
  <si>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</si>
  <si>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</si>
  <si>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</si>
  <si>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</si>
  <si>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</si>
  <si>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</si>
  <si>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</si>
  <si>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</si>
  <si>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</si>
  <si>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</si>
  <si>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</si>
  <si>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</si>
  <si>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</si>
  <si>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</si>
  <si>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</si>
  <si>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</si>
  <si>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</si>
  <si>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</si>
  <si>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</si>
  <si>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</si>
  <si>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</si>
  <si>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</si>
  <si>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</si>
  <si>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</si>
  <si>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</si>
  <si>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</si>
  <si>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</si>
  <si>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</si>
  <si>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</si>
  <si>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</si>
  <si>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</si>
  <si>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</si>
  <si>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</si>
  <si>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</si>
  <si>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</si>
  <si>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</si>
  <si>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</si>
  <si>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</si>
  <si>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</si>
  <si>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</si>
  <si>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</si>
  <si>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</si>
  <si>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</si>
  <si>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</si>
  <si>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</si>
  <si>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</si>
  <si>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</si>
  <si>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</si>
  <si>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</si>
  <si>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</si>
  <si>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</si>
  <si>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</si>
  <si>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</si>
  <si>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</si>
  <si>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</si>
  <si>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</si>
  <si>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</si>
  <si>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</si>
  <si>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</si>
  <si>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</si>
  <si>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</si>
  <si>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</si>
  <si>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</si>
  <si>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</si>
  <si>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</si>
  <si>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</si>
  <si>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</si>
  <si>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</si>
  <si>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</si>
  <si>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</si>
  <si>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</si>
  <si>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</si>
  <si>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</si>
  <si>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</si>
  <si>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</si>
  <si>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</si>
  <si>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</si>
  <si>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</si>
  <si>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</si>
  <si>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</si>
  <si>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</si>
  <si>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</si>
  <si>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</si>
  <si>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</si>
  <si>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</si>
  <si>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</si>
  <si>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</si>
  <si>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</si>
  <si>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</si>
  <si>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</si>
  <si>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</si>
  <si>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</si>
  <si>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</si>
  <si>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</si>
  <si>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</si>
  <si>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</si>
  <si>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</si>
  <si>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</si>
  <si>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</si>
  <si>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</si>
  <si>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</si>
  <si>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</si>
  <si>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</si>
  <si>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</si>
  <si>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</si>
  <si>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</si>
  <si>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</si>
  <si>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</si>
  <si>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</si>
  <si>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</si>
  <si>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</si>
  <si>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</si>
  <si>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</si>
  <si>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</si>
  <si>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</si>
  <si>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</si>
  <si>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</si>
  <si>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</si>
  <si>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</si>
  <si>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</si>
  <si>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</si>
  <si>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</si>
  <si>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</si>
  <si>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</si>
  <si>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</si>
  <si>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</si>
  <si>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</si>
  <si>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</si>
  <si>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</si>
  <si>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</si>
  <si>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</si>
  <si>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</si>
  <si>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</si>
  <si>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</si>
  <si>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</si>
  <si>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</si>
  <si>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</si>
  <si>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</si>
  <si>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</si>
  <si>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</si>
  <si>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</si>
  <si>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</si>
  <si>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</si>
  <si>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</si>
  <si>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</si>
  <si>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</si>
  <si>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</si>
  <si>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</si>
  <si>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</si>
  <si>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</si>
  <si>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</si>
  <si>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</si>
  <si>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</si>
  <si>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</si>
  <si>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</si>
  <si>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</si>
  <si>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</si>
  <si>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</si>
  <si>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</si>
  <si>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</si>
  <si>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</si>
  <si>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</si>
  <si>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</si>
  <si>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</si>
  <si>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</si>
  <si>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</si>
  <si>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</si>
  <si>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</si>
  <si>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</si>
  <si>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</si>
  <si>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</si>
  <si>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</si>
  <si>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</si>
  <si>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</si>
  <si>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</si>
  <si>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</si>
  <si>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</si>
  <si>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</si>
  <si>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</si>
  <si>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</si>
  <si>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</si>
  <si>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</si>
  <si>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</si>
  <si>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</si>
  <si>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</si>
  <si>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</si>
  <si>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</si>
  <si>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</si>
  <si>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</si>
  <si>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</si>
  <si>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</si>
  <si>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</si>
  <si>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</si>
  <si>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</si>
  <si>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</si>
  <si>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</si>
  <si>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</si>
  <si>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</si>
  <si>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</si>
  <si>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</si>
  <si>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</si>
  <si>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</si>
  <si>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</si>
  <si>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</si>
  <si>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</si>
  <si>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</si>
  <si>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</si>
  <si>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</si>
  <si>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</si>
  <si>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</si>
  <si>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</si>
  <si>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</si>
  <si>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</si>
  <si>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</si>
  <si>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</si>
  <si>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</si>
  <si>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</si>
  <si>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</si>
  <si>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</si>
  <si>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</si>
  <si>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</si>
  <si>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</si>
  <si>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</si>
  <si>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</si>
  <si>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</si>
  <si>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</si>
  <si>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</si>
  <si>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</si>
  <si>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</si>
  <si>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</si>
  <si>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</si>
  <si>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</si>
  <si>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</si>
  <si>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</si>
  <si>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</si>
  <si>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</si>
  <si>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</si>
  <si>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</si>
  <si>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</si>
  <si>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</si>
  <si>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</si>
  <si>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</si>
  <si>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</si>
  <si>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</si>
  <si>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</si>
  <si>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</si>
  <si>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</si>
  <si>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</si>
  <si>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</si>
  <si>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</si>
  <si>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</si>
  <si>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</si>
  <si>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</si>
  <si>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</si>
  <si>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</si>
  <si>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</si>
  <si>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</si>
  <si>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</si>
  <si>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</si>
  <si>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</si>
  <si>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</si>
  <si>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</si>
  <si>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</si>
  <si>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</si>
  <si>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</si>
  <si>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</si>
  <si>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</si>
  <si>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</si>
  <si>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</si>
  <si>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</si>
  <si>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</si>
  <si>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</si>
  <si>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</si>
  <si>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</si>
  <si>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</si>
  <si>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</si>
  <si>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</si>
  <si>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</si>
  <si>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</si>
  <si>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</si>
  <si>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</si>
  <si>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</si>
  <si>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</si>
  <si>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</si>
  <si>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</si>
  <si>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</si>
  <si>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</si>
  <si>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</si>
  <si>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</si>
  <si>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</si>
  <si>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</si>
  <si>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</si>
  <si>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</si>
  <si>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</si>
  <si>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</si>
  <si>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</si>
  <si>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</si>
  <si>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</si>
  <si>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</si>
  <si>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</si>
  <si>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</si>
  <si>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</si>
  <si>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</si>
  <si>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</si>
  <si>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</si>
  <si>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</si>
  <si>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</si>
  <si>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</si>
  <si>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</si>
  <si>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</si>
  <si>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</si>
  <si>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</si>
  <si>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</si>
  <si>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</si>
  <si>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</si>
  <si>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</si>
  <si>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</si>
  <si>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</si>
  <si>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</si>
  <si>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</si>
  <si>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</si>
  <si>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</si>
  <si>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</si>
  <si>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</si>
  <si>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</si>
  <si>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</si>
  <si>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</si>
  <si>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</si>
  <si>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</si>
  <si>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</si>
  <si>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</si>
  <si>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</si>
  <si>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</si>
  <si>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</si>
  <si>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</si>
  <si>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</si>
  <si>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</si>
  <si>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</si>
  <si>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</si>
  <si>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</si>
  <si>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</si>
  <si>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</si>
  <si>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</si>
  <si>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</si>
  <si>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</si>
  <si>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</si>
  <si>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</si>
  <si>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</si>
  <si>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</si>
  <si>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</si>
  <si>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</si>
  <si>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</si>
  <si>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</si>
  <si>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</si>
  <si>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</si>
  <si>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</si>
  <si>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</si>
  <si>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</si>
  <si>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</si>
  <si>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</si>
  <si>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</si>
  <si>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</si>
  <si>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</si>
  <si>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</si>
  <si>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</si>
  <si>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</si>
  <si>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</si>
  <si>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</si>
  <si>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</si>
  <si>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</si>
  <si>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</si>
  <si>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</si>
  <si>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</si>
  <si>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</si>
  <si>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</si>
  <si>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</si>
  <si>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</si>
  <si>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</si>
  <si>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</si>
  <si>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</si>
  <si>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</si>
  <si>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</si>
  <si>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</si>
  <si>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</si>
  <si>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</si>
  <si>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</si>
  <si>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</si>
  <si>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</si>
  <si>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</si>
  <si>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</si>
  <si>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</si>
  <si>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</si>
  <si>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</si>
  <si>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</si>
  <si>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</si>
  <si>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</si>
  <si>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</si>
  <si>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</si>
  <si>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</si>
  <si>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</si>
  <si>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</si>
  <si>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</si>
  <si>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</si>
  <si>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</si>
  <si>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</si>
  <si>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</si>
  <si>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</si>
  <si>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</si>
  <si>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</si>
  <si>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</si>
  <si>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</si>
  <si>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</si>
  <si>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</si>
  <si>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</si>
  <si>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</si>
  <si>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</si>
  <si>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</si>
  <si>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</si>
  <si>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</si>
  <si>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</si>
  <si>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</si>
  <si>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</si>
  <si>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</si>
  <si>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</si>
  <si>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</si>
  <si>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</si>
  <si>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</si>
  <si>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</si>
  <si>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</si>
  <si>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</si>
  <si>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</si>
  <si>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</si>
  <si>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</si>
  <si>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</si>
  <si>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</si>
  <si>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</si>
  <si>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</si>
  <si>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</si>
  <si>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</si>
  <si>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</si>
  <si>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</si>
  <si>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</si>
  <si>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</si>
  <si>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</si>
  <si>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</si>
  <si>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</si>
  <si>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</si>
  <si>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</si>
  <si>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</si>
  <si>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</si>
  <si>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</si>
  <si>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</si>
  <si>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</si>
  <si>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</si>
  <si>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</si>
  <si>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</si>
  <si>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</si>
  <si>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</si>
  <si>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</si>
  <si>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</si>
  <si>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</si>
  <si>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</si>
  <si>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</si>
  <si>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</si>
  <si>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</si>
  <si>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</si>
  <si>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</si>
  <si>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</si>
  <si>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</si>
  <si>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</si>
  <si>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</si>
  <si>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</si>
  <si>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</si>
  <si>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</si>
  <si>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</si>
  <si>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</si>
  <si>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</si>
  <si>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</si>
  <si>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</si>
  <si>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</si>
  <si>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</si>
  <si>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</si>
  <si>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</si>
  <si>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</si>
  <si>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</si>
  <si>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</si>
  <si>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</si>
  <si>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</si>
  <si>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</si>
  <si>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</si>
  <si>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</si>
  <si>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</si>
  <si>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</si>
  <si>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</si>
  <si>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</si>
  <si>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</si>
  <si>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</si>
  <si>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</si>
  <si>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</si>
  <si>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</si>
  <si>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</si>
  <si>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</si>
  <si>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</si>
  <si>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</si>
  <si>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</si>
  <si>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</si>
  <si>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</si>
  <si>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</si>
  <si>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</si>
  <si>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</si>
  <si>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</si>
  <si>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</si>
  <si>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</si>
  <si>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</si>
  <si>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</si>
  <si>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</si>
  <si>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</si>
  <si>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</si>
  <si>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</si>
  <si>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</si>
  <si>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</si>
  <si>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</si>
  <si>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</si>
  <si>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</si>
  <si>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</si>
  <si>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</si>
  <si>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</si>
  <si>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</si>
  <si>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</si>
  <si>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</si>
  <si>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</si>
  <si>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</si>
  <si>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</si>
  <si>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</si>
  <si>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</si>
  <si>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</si>
  <si>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</si>
  <si>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</si>
  <si>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</si>
  <si>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</si>
  <si>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</si>
  <si>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</si>
  <si>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</si>
  <si>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</si>
  <si>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</si>
  <si>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</si>
  <si>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</si>
  <si>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</si>
  <si>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</si>
  <si>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</si>
  <si>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</si>
  <si>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</si>
  <si>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</si>
  <si>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</si>
  <si>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</si>
  <si>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</si>
  <si>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</si>
  <si>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</si>
  <si>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</si>
  <si>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</si>
  <si>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</si>
  <si>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</si>
  <si>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</si>
  <si>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</si>
  <si>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</si>
  <si>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</si>
  <si>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</si>
  <si>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</si>
  <si>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</si>
  <si>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</si>
  <si>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</si>
  <si>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</si>
  <si>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</si>
  <si>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</si>
  <si>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</si>
  <si>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</si>
  <si>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</si>
  <si>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</si>
  <si>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</si>
  <si>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</si>
  <si>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</si>
  <si>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</si>
  <si>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</si>
  <si>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</si>
  <si>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</si>
  <si>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</si>
  <si>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</si>
  <si>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</si>
  <si>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</si>
  <si>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</si>
  <si>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</si>
  <si>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</si>
  <si>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</si>
  <si>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</si>
  <si>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</si>
  <si>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</si>
  <si>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</si>
  <si>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</si>
  <si>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</si>
  <si>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</si>
  <si>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</si>
  <si>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</si>
  <si>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</si>
  <si>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</si>
  <si>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</si>
  <si>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</si>
  <si>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</si>
  <si>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</si>
  <si>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</si>
  <si>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</si>
  <si>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</si>
  <si>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</si>
  <si>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</si>
  <si>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</si>
  <si>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</si>
  <si>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</si>
  <si>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</si>
  <si>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</si>
  <si>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</si>
  <si>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</si>
  <si>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</si>
  <si>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</si>
  <si>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</si>
  <si>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</si>
  <si>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</si>
  <si>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</si>
  <si>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</si>
  <si>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</si>
  <si>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</si>
  <si>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</si>
  <si>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</si>
  <si>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</si>
  <si>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</si>
  <si>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</si>
  <si>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</si>
  <si>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</si>
  <si>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</si>
  <si>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</si>
  <si>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</si>
  <si>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</si>
  <si>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</si>
  <si>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</si>
  <si>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</si>
  <si>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</si>
  <si>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</si>
  <si>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</si>
  <si>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</si>
  <si>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</si>
  <si>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</si>
  <si>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</si>
  <si>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</si>
  <si>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</si>
  <si>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</si>
  <si>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</si>
  <si>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</si>
  <si>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</si>
  <si>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</si>
  <si>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</si>
  <si>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</si>
  <si>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</si>
  <si>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</si>
  <si>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</si>
  <si>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</si>
  <si>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</si>
  <si>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</si>
  <si>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</si>
  <si>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</si>
  <si>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</si>
  <si>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</si>
  <si>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</si>
  <si>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</si>
  <si>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</si>
  <si>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</si>
  <si>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</si>
  <si>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</si>
  <si>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</si>
  <si>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</si>
  <si>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</si>
  <si>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</si>
  <si>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</si>
  <si>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</si>
  <si>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</si>
  <si>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</si>
  <si>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</si>
  <si>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</si>
  <si>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</si>
  <si>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</si>
  <si>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</si>
  <si>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</si>
  <si>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</si>
  <si>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</si>
  <si>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</si>
  <si>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</si>
  <si>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</si>
  <si>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</si>
  <si>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</si>
  <si>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</si>
  <si>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</si>
  <si>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</si>
  <si>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</si>
  <si>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</si>
  <si>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</si>
  <si>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</si>
  <si>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</si>
  <si>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</si>
  <si>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</si>
  <si>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</si>
  <si>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Roenfeldt &amp; Lockas, P.C.</t>
  </si>
  <si>
    <t>1100 Columbus Street</t>
  </si>
  <si>
    <t>Ottawa</t>
  </si>
  <si>
    <t>Illinois</t>
  </si>
  <si>
    <t>815-433-0464</t>
  </si>
  <si>
    <t>815-433-6464</t>
  </si>
  <si>
    <t>admin@roenfeldtlockas.com</t>
  </si>
  <si>
    <t>Duane K. Lockas, C.P.A.</t>
  </si>
  <si>
    <t>P.O. Box 290</t>
  </si>
  <si>
    <t>Saunemin</t>
  </si>
  <si>
    <t>Saunemin Elementary</t>
  </si>
  <si>
    <t>Livingston</t>
  </si>
  <si>
    <t>x</t>
  </si>
  <si>
    <t>Financial Report</t>
  </si>
  <si>
    <t>PRELIMINARY</t>
  </si>
  <si>
    <t xml:space="preserve">Page: </t>
  </si>
  <si>
    <t xml:space="preserve">Group by Fund; Order by Account; No Range; </t>
  </si>
  <si>
    <t xml:space="preserve"> Date: Jul 01, 2017 - Jun 30, 2018; </t>
  </si>
  <si>
    <t>SFY</t>
  </si>
  <si>
    <t>Beg Bal</t>
  </si>
  <si>
    <t>Activity</t>
  </si>
  <si>
    <t>End Bal</t>
  </si>
  <si>
    <t>%</t>
  </si>
  <si>
    <t>Account</t>
  </si>
  <si>
    <t xml:space="preserve">Description </t>
  </si>
  <si>
    <t>2018</t>
  </si>
  <si>
    <t>1/Jul/17</t>
  </si>
  <si>
    <t>07/01-06/30</t>
  </si>
  <si>
    <t>30/Jun/18</t>
  </si>
  <si>
    <t>17/18</t>
  </si>
  <si>
    <t xml:space="preserve">Used </t>
  </si>
  <si>
    <t xml:space="preserve">T </t>
  </si>
  <si>
    <t>Revenue Accounts</t>
  </si>
  <si>
    <t>Education Fund</t>
  </si>
  <si>
    <t>10-111000</t>
  </si>
  <si>
    <t xml:space="preserve"> 1</t>
  </si>
  <si>
    <t>General Levy</t>
  </si>
  <si>
    <t>R</t>
  </si>
  <si>
    <t>10-111200</t>
  </si>
  <si>
    <t>General Levy Prior Years</t>
  </si>
  <si>
    <t>10-112200</t>
  </si>
  <si>
    <t>Tort Taxes</t>
  </si>
  <si>
    <t>10-114000</t>
  </si>
  <si>
    <t>SPEC. ED.</t>
  </si>
  <si>
    <t>10-114200</t>
  </si>
  <si>
    <t>SPEC EDU</t>
  </si>
  <si>
    <t>10-121000</t>
  </si>
  <si>
    <t>MOB HM PRO TAX</t>
  </si>
  <si>
    <t>10-123000</t>
  </si>
  <si>
    <t>REPL TAX</t>
  </si>
  <si>
    <t>10-1290</t>
  </si>
  <si>
    <t>PAYMT IN LIEU OF TAXES</t>
  </si>
  <si>
    <t>10-131100</t>
  </si>
  <si>
    <t>OUT OF DIST.STUD.TUITION</t>
  </si>
  <si>
    <t>10-151000</t>
  </si>
  <si>
    <t>INT ON INVEST</t>
  </si>
  <si>
    <t>10-161100</t>
  </si>
  <si>
    <t>STUDENT LUNCH</t>
  </si>
  <si>
    <t>10-162000</t>
  </si>
  <si>
    <t>ADULT LUNCH</t>
  </si>
  <si>
    <t>10-171100</t>
  </si>
  <si>
    <t>ADMISSION FEES</t>
  </si>
  <si>
    <t>10-171100-50</t>
  </si>
  <si>
    <t>5/6 TOURN.ADMISSION FEES</t>
  </si>
  <si>
    <t>10-171100-60</t>
  </si>
  <si>
    <t>STATE TOURNEY ADM.</t>
  </si>
  <si>
    <t>10-179000</t>
  </si>
  <si>
    <t>OTHER STUDENT REVENUE</t>
  </si>
  <si>
    <t>10-181100</t>
  </si>
  <si>
    <t>TEXTBOOKS</t>
  </si>
  <si>
    <t>10-182900</t>
  </si>
  <si>
    <t>SALE OF EQUIP.</t>
  </si>
  <si>
    <t>10-192000</t>
  </si>
  <si>
    <t>IBERDROLA PAYMENT</t>
  </si>
  <si>
    <t>10-193000</t>
  </si>
  <si>
    <t>SALE OF EQUIP</t>
  </si>
  <si>
    <t>10-195000</t>
  </si>
  <si>
    <t>REF PRIOR YR EXP</t>
  </si>
  <si>
    <t>10-199000</t>
  </si>
  <si>
    <t>OTHER</t>
  </si>
  <si>
    <t>10-199000-1</t>
  </si>
  <si>
    <t>I.E.S.A. SPEECH CONTEST</t>
  </si>
  <si>
    <t>10-199000-50</t>
  </si>
  <si>
    <t>5/6 TOURN INCOME</t>
  </si>
  <si>
    <t>10-199000-60</t>
  </si>
  <si>
    <t>STATE TOURNEY PROGRAMS</t>
  </si>
  <si>
    <t>10-199100</t>
  </si>
  <si>
    <t>PMT FROM OTHER LEAS</t>
  </si>
  <si>
    <t>10-210000</t>
  </si>
  <si>
    <t>FLOW THROUGH</t>
  </si>
  <si>
    <t>10-211000</t>
  </si>
  <si>
    <t>LCSSU SPECIAL ED. FLEX GRANT STIPEN</t>
  </si>
  <si>
    <t>10-220000</t>
  </si>
  <si>
    <t>FLOW-THRU FEDERAL SOURC.</t>
  </si>
  <si>
    <t>10-223000</t>
  </si>
  <si>
    <t>FLOW THRU JOINT AGREEMTS</t>
  </si>
  <si>
    <t>10-300100</t>
  </si>
  <si>
    <t>STATE AID</t>
  </si>
  <si>
    <t>10-300100-01</t>
  </si>
  <si>
    <t>Evidence Based Funding</t>
  </si>
  <si>
    <t>10-300200</t>
  </si>
  <si>
    <t>INTEREST ON STATE AID</t>
  </si>
  <si>
    <t>10-302500</t>
  </si>
  <si>
    <t>GENERAL AID INTEREST</t>
  </si>
  <si>
    <t>10-309800</t>
  </si>
  <si>
    <t>GSA LOW INCOME SUPP.</t>
  </si>
  <si>
    <t>10-309900</t>
  </si>
  <si>
    <t>TRANSITION ASSISTANCE</t>
  </si>
  <si>
    <t>10-310000</t>
  </si>
  <si>
    <t>SP ED TUITION</t>
  </si>
  <si>
    <t>10-310500</t>
  </si>
  <si>
    <t>13</t>
  </si>
  <si>
    <t>SPEC ED - EXTRAORDINARY</t>
  </si>
  <si>
    <t>10-310500-01</t>
  </si>
  <si>
    <t>SPEC. ED. PRIOR YEAR</t>
  </si>
  <si>
    <t>10-311000</t>
  </si>
  <si>
    <t>15</t>
  </si>
  <si>
    <t>SPEC ED PERSONNEL</t>
  </si>
  <si>
    <t>10-311000-01</t>
  </si>
  <si>
    <t>PRIOR YR. SPEC. ED PERSONNEL</t>
  </si>
  <si>
    <t>10-312000</t>
  </si>
  <si>
    <t>16</t>
  </si>
  <si>
    <t>SPEC ED ORPHANAGE</t>
  </si>
  <si>
    <t>10-314500</t>
  </si>
  <si>
    <t>17</t>
  </si>
  <si>
    <t>SUMMER SCHOOL</t>
  </si>
  <si>
    <t>10-335000</t>
  </si>
  <si>
    <t>19</t>
  </si>
  <si>
    <t>GIFTED EDUCATION</t>
  </si>
  <si>
    <t>10-336000</t>
  </si>
  <si>
    <t>21</t>
  </si>
  <si>
    <t>LUNCH-FREE</t>
  </si>
  <si>
    <t>10-336000-01</t>
  </si>
  <si>
    <t>STATE FREE LUNCH PRIOR YR</t>
  </si>
  <si>
    <t>10-370500</t>
  </si>
  <si>
    <t xml:space="preserve"> 9</t>
  </si>
  <si>
    <t>PRESCHOOL AT RISK</t>
  </si>
  <si>
    <t>10-370500-01</t>
  </si>
  <si>
    <t>PRESCHOOL AT RISK PRIOR YR</t>
  </si>
  <si>
    <t>10-371500</t>
  </si>
  <si>
    <t>READ IMP PROG</t>
  </si>
  <si>
    <t>10-371500-01</t>
  </si>
  <si>
    <t>K-6 READ IMP. PRIOR YRS</t>
  </si>
  <si>
    <t>10-373000</t>
  </si>
  <si>
    <t>22</t>
  </si>
  <si>
    <t>TITLE II PROF.DEVEL/TECH</t>
  </si>
  <si>
    <t>10-377500</t>
  </si>
  <si>
    <t>38</t>
  </si>
  <si>
    <t>SAF/EDUC BLOCK GRANT</t>
  </si>
  <si>
    <t>10-3999</t>
  </si>
  <si>
    <t>Hold Harmless</t>
  </si>
  <si>
    <t>10-4090</t>
  </si>
  <si>
    <t>REAP GRANT</t>
  </si>
  <si>
    <t>10-410000</t>
  </si>
  <si>
    <t>41</t>
  </si>
  <si>
    <t>TITLE VI-FORMULA</t>
  </si>
  <si>
    <t>50</t>
  </si>
  <si>
    <t>TITLE V-FORMULA</t>
  </si>
  <si>
    <t>10-410030</t>
  </si>
  <si>
    <t>42</t>
  </si>
  <si>
    <t>TITLE II  PROF DEV</t>
  </si>
  <si>
    <t>10-421001</t>
  </si>
  <si>
    <t>43</t>
  </si>
  <si>
    <t>LUNCH REGULAR</t>
  </si>
  <si>
    <t>10-421002</t>
  </si>
  <si>
    <t>LUNCH FREE &amp; REDUCED</t>
  </si>
  <si>
    <t>10-421002-01</t>
  </si>
  <si>
    <t>PRIOR YR. LUNCH PROG.</t>
  </si>
  <si>
    <t>10-42200</t>
  </si>
  <si>
    <t>National Breakfast</t>
  </si>
  <si>
    <t>10-42200-01</t>
  </si>
  <si>
    <t>Prior Year - National Breakfast</t>
  </si>
  <si>
    <t>10-425000</t>
  </si>
  <si>
    <t>OTHER INCOME FED LUNCH</t>
  </si>
  <si>
    <t>10-426000</t>
  </si>
  <si>
    <t>44</t>
  </si>
  <si>
    <t>TEAM NUTRITION TRAINING</t>
  </si>
  <si>
    <t>10-4299</t>
  </si>
  <si>
    <t>10-430000</t>
  </si>
  <si>
    <t>49</t>
  </si>
  <si>
    <t>IASA-TITLE I</t>
  </si>
  <si>
    <t>10-430000-01</t>
  </si>
  <si>
    <t>IASA-TITLE I-PRIOR YR</t>
  </si>
  <si>
    <t>10-440000</t>
  </si>
  <si>
    <t>45</t>
  </si>
  <si>
    <t>TITLE IV SAFE &amp; DRUG FREE SCHOOLS</t>
  </si>
  <si>
    <t>10-449000</t>
  </si>
  <si>
    <t>10-4625</t>
  </si>
  <si>
    <t>I.D.E.A. SP. ED. RM &amp; BD</t>
  </si>
  <si>
    <t>10-485000</t>
  </si>
  <si>
    <t>ARRA-GENERAL STATE AID</t>
  </si>
  <si>
    <t>10-485100</t>
  </si>
  <si>
    <t>ARRA-TITLE I PART A LOW</t>
  </si>
  <si>
    <t>10-487000</t>
  </si>
  <si>
    <t>SFSF-GENERAL STATE AID</t>
  </si>
  <si>
    <t>10-488000</t>
  </si>
  <si>
    <t>ARRA - JOBS</t>
  </si>
  <si>
    <t>10-488000-01</t>
  </si>
  <si>
    <t>ARRA JOBS-PRIOR YR</t>
  </si>
  <si>
    <t>10-490000</t>
  </si>
  <si>
    <t>MEDICAID MATCHING FUNDS</t>
  </si>
  <si>
    <t>10-4932</t>
  </si>
  <si>
    <t>TITLE II</t>
  </si>
  <si>
    <t>10-493200</t>
  </si>
  <si>
    <t>TITLE II GRANT</t>
  </si>
  <si>
    <t>10-493200-01</t>
  </si>
  <si>
    <t>TITLE II GRANT PRIOR YEAR</t>
  </si>
  <si>
    <t>10-4935</t>
  </si>
  <si>
    <t>TITLE II PROF. DEV.</t>
  </si>
  <si>
    <t>10-497100</t>
  </si>
  <si>
    <t>52</t>
  </si>
  <si>
    <t>TECHNOLOGY-ENHANCING EDUCATION-FORM</t>
  </si>
  <si>
    <t>10-499100</t>
  </si>
  <si>
    <t>10-499901</t>
  </si>
  <si>
    <t>10-711000</t>
  </si>
  <si>
    <t>PERM T-FER FR WCF</t>
  </si>
  <si>
    <t>10-920000</t>
  </si>
  <si>
    <t>CONTRIBUTIONS</t>
  </si>
  <si>
    <t>Total for Education Fund</t>
  </si>
  <si>
    <t>Building Fund</t>
  </si>
  <si>
    <t>20-111-01</t>
  </si>
  <si>
    <t>GENERAL LEVY PRIOR YEARS</t>
  </si>
  <si>
    <t>20-1111</t>
  </si>
  <si>
    <t>GENERAL LEVY</t>
  </si>
  <si>
    <t>20-111200</t>
  </si>
  <si>
    <t>GENERAL LEVY PRIOR YRS</t>
  </si>
  <si>
    <t>20-112200</t>
  </si>
  <si>
    <t>TORT TAXES</t>
  </si>
  <si>
    <t>20-121000</t>
  </si>
  <si>
    <t>MOB HOME TAX</t>
  </si>
  <si>
    <t>20-123000</t>
  </si>
  <si>
    <t>REPLACEMENT</t>
  </si>
  <si>
    <t>20-1290</t>
  </si>
  <si>
    <t>20-151000</t>
  </si>
  <si>
    <t>INTEREST ON INVEST</t>
  </si>
  <si>
    <t>20-172000</t>
  </si>
  <si>
    <t>FITNESS CENTER MEMBERSHIP</t>
  </si>
  <si>
    <t>20-191000</t>
  </si>
  <si>
    <t>RENTAL</t>
  </si>
  <si>
    <t>20-1920</t>
  </si>
  <si>
    <t>PRIVATE CONTRIB.</t>
  </si>
  <si>
    <t>20-192000</t>
  </si>
  <si>
    <t>20-1960</t>
  </si>
  <si>
    <t>PAYMENTS FROM TIF</t>
  </si>
  <si>
    <t>20-199000</t>
  </si>
  <si>
    <t>20-1999</t>
  </si>
  <si>
    <t>OTHER LOCAL REVENUE</t>
  </si>
  <si>
    <t>20-300100</t>
  </si>
  <si>
    <t>20-3099</t>
  </si>
  <si>
    <t>OTHER GRANTS IN AID</t>
  </si>
  <si>
    <t>20-329000</t>
  </si>
  <si>
    <t>20-370500</t>
  </si>
  <si>
    <t>20-3925</t>
  </si>
  <si>
    <t>MAINTENANCE GRANT</t>
  </si>
  <si>
    <t>20-392500</t>
  </si>
  <si>
    <t>39</t>
  </si>
  <si>
    <t>SCHOOL INFRASTRUCTURE</t>
  </si>
  <si>
    <t>20-485000</t>
  </si>
  <si>
    <t>20-7110</t>
  </si>
  <si>
    <t>PERM TRANS TO OBM</t>
  </si>
  <si>
    <t>20-730000</t>
  </si>
  <si>
    <t>LAND OR PROPERTY SALE</t>
  </si>
  <si>
    <t>20-7990</t>
  </si>
  <si>
    <t>Permanent Transfer</t>
  </si>
  <si>
    <t>20-920000</t>
  </si>
  <si>
    <t>Total for Building Fund</t>
  </si>
  <si>
    <t>Bond and Interest Fund</t>
  </si>
  <si>
    <t>30-111100</t>
  </si>
  <si>
    <t>TAXES</t>
  </si>
  <si>
    <t>30-1112</t>
  </si>
  <si>
    <t>30-111200</t>
  </si>
  <si>
    <t>PRIOR YR TAXES</t>
  </si>
  <si>
    <t>30-1112-01</t>
  </si>
  <si>
    <t>30-121000</t>
  </si>
  <si>
    <t>MOB HOME-B/I</t>
  </si>
  <si>
    <t>30-1290</t>
  </si>
  <si>
    <t>PAYMNT IN LIEU OF TAXES</t>
  </si>
  <si>
    <t>30-151000</t>
  </si>
  <si>
    <t>INTEREST ON INVESTMENT</t>
  </si>
  <si>
    <t>30-192000</t>
  </si>
  <si>
    <t>30-300100</t>
  </si>
  <si>
    <t>Total for Bond and Interest Fund</t>
  </si>
  <si>
    <t>40-111000</t>
  </si>
  <si>
    <t>40-111200</t>
  </si>
  <si>
    <t>40-1113</t>
  </si>
  <si>
    <t>40-1113-01</t>
  </si>
  <si>
    <t>GENERAL LEVY PRIOR TAXES</t>
  </si>
  <si>
    <t>40-112200</t>
  </si>
  <si>
    <t>40-121000</t>
  </si>
  <si>
    <t>MOB HOME-TRANS</t>
  </si>
  <si>
    <t>40-123000</t>
  </si>
  <si>
    <t>REPLACEMENT TAX</t>
  </si>
  <si>
    <t>40-141200</t>
  </si>
  <si>
    <t>OTHER SCHOOL DIST-REG</t>
  </si>
  <si>
    <t>40-1413</t>
  </si>
  <si>
    <t>FIELD TRIP REIMB.</t>
  </si>
  <si>
    <t>40-151000</t>
  </si>
  <si>
    <t>40-193800</t>
  </si>
  <si>
    <t>40-195000</t>
  </si>
  <si>
    <t>REFUND OF PRIOR YR EXP</t>
  </si>
  <si>
    <t>40-1999</t>
  </si>
  <si>
    <t>40-300100</t>
  </si>
  <si>
    <t>GEN STATE AID</t>
  </si>
  <si>
    <t>40-350000</t>
  </si>
  <si>
    <t>STATE AID-REGULAR</t>
  </si>
  <si>
    <t>40-350000-01</t>
  </si>
  <si>
    <t>PRIOR YR. TRANS. REG.</t>
  </si>
  <si>
    <t>40-351000</t>
  </si>
  <si>
    <t>STATE AID-SPECIAL EDU</t>
  </si>
  <si>
    <t>40-351000-01</t>
  </si>
  <si>
    <t>PRIOR YR.TRANS.-SP.ED.</t>
  </si>
  <si>
    <t>40-370500</t>
  </si>
  <si>
    <t>PRESCHOOL AT RISK TRANSP</t>
  </si>
  <si>
    <t>40-47770</t>
  </si>
  <si>
    <t>ETC CONSTRUCTION FAIR</t>
  </si>
  <si>
    <t>40-477700</t>
  </si>
  <si>
    <t>Total for Transportation Fund</t>
  </si>
  <si>
    <t>IMRF Fund</t>
  </si>
  <si>
    <t>50-111000</t>
  </si>
  <si>
    <t>50-111200</t>
  </si>
  <si>
    <t>GENERAL LEVY PRIOR YRS.</t>
  </si>
  <si>
    <t>50-1114</t>
  </si>
  <si>
    <t>50-1114-01</t>
  </si>
  <si>
    <t>50-115000</t>
  </si>
  <si>
    <t>SOC.SEC/MEDICARE ONLY</t>
  </si>
  <si>
    <t>50-121000</t>
  </si>
  <si>
    <t>MOB HOME-IMRF</t>
  </si>
  <si>
    <t>50-123000</t>
  </si>
  <si>
    <t>50-151000</t>
  </si>
  <si>
    <t>Total for IMRF Fund</t>
  </si>
  <si>
    <t>Capital Projects Fund</t>
  </si>
  <si>
    <t>60-1290</t>
  </si>
  <si>
    <t>PAYMENT IN LIEU OF TAXES</t>
  </si>
  <si>
    <t>60-151000</t>
  </si>
  <si>
    <t>INT ON INVESTMENT</t>
  </si>
  <si>
    <t>60-3925</t>
  </si>
  <si>
    <t>CSFT PAYMENT</t>
  </si>
  <si>
    <t>60-4260</t>
  </si>
  <si>
    <t>Kitchen Equipment Grant</t>
  </si>
  <si>
    <t>60-4999</t>
  </si>
  <si>
    <t>NSLP Equip. Grant</t>
  </si>
  <si>
    <t>60-7210</t>
  </si>
  <si>
    <t>PRINCIPLE ON BONDS SOLD</t>
  </si>
  <si>
    <t>60-7230</t>
  </si>
  <si>
    <t>INTEREST ON BONDS SALE</t>
  </si>
  <si>
    <t>Total for Capital Projects Fund</t>
  </si>
  <si>
    <t>Working Cash Fund</t>
  </si>
  <si>
    <t>70-111000</t>
  </si>
  <si>
    <t>70-111200</t>
  </si>
  <si>
    <t>70-1115</t>
  </si>
  <si>
    <t>70-1115-01</t>
  </si>
  <si>
    <t>70-121000</t>
  </si>
  <si>
    <t>MOB HOME-WCF</t>
  </si>
  <si>
    <t>70-151000</t>
  </si>
  <si>
    <t>Total for Working Cash Fund</t>
  </si>
  <si>
    <t>Tort Fund</t>
  </si>
  <si>
    <t>80-1120</t>
  </si>
  <si>
    <t>80-112000</t>
  </si>
  <si>
    <t>80-151000</t>
  </si>
  <si>
    <t>80-300100</t>
  </si>
  <si>
    <t>Gen. State Aid</t>
  </si>
  <si>
    <t>Total for Tort Fund</t>
  </si>
  <si>
    <t>Fire Prevention and Safety Fund</t>
  </si>
  <si>
    <t>90-151000</t>
  </si>
  <si>
    <t>INTEREST ON INVESTMENTS</t>
  </si>
  <si>
    <t>90-721000</t>
  </si>
  <si>
    <t>PRINCIPAL ON BONDS SOLD</t>
  </si>
  <si>
    <t>90-722000</t>
  </si>
  <si>
    <t>PREMIUM ON BONDS SOLD</t>
  </si>
  <si>
    <t>90-723000</t>
  </si>
  <si>
    <t>ACCRUED INT.-BONDS SOLD</t>
  </si>
  <si>
    <t>Total for Fire Prevention and Safety Fund</t>
  </si>
  <si>
    <t>Total for Revenue Accounts</t>
  </si>
  <si>
    <t>Expense Accounts</t>
  </si>
  <si>
    <t>10-1110-110</t>
  </si>
  <si>
    <t>ARRA St Aid GS Salaries</t>
  </si>
  <si>
    <t>E</t>
  </si>
  <si>
    <t>10-1110-110-4850</t>
  </si>
  <si>
    <t>ARRA-General State Aid</t>
  </si>
  <si>
    <t>10-1110-110-4851</t>
  </si>
  <si>
    <t>ARRA-Title 1 Part A Low</t>
  </si>
  <si>
    <t>10-1110-110-4870</t>
  </si>
  <si>
    <t>SFSF Salaries</t>
  </si>
  <si>
    <t>10-1110-110-4880</t>
  </si>
  <si>
    <t>ARRA - Jobs</t>
  </si>
  <si>
    <t>10-1110-111</t>
  </si>
  <si>
    <t>Tchr Salaries</t>
  </si>
  <si>
    <t>10-1110-111-01</t>
  </si>
  <si>
    <t>Early Childhood Aide Salary</t>
  </si>
  <si>
    <t>10-1110-111-02</t>
  </si>
  <si>
    <t>Substitute Aide Preschool</t>
  </si>
  <si>
    <t>10-1110-111-03</t>
  </si>
  <si>
    <t>Gifted Salaries</t>
  </si>
  <si>
    <t>10-1110-111-04</t>
  </si>
  <si>
    <t>LCSSU Spec. Ed. Flex Grant Stip</t>
  </si>
  <si>
    <t>10-1110-111-05</t>
  </si>
  <si>
    <t>Title II Salaries</t>
  </si>
  <si>
    <t>10-1110-111-1</t>
  </si>
  <si>
    <t>Early Childhood Salaries</t>
  </si>
  <si>
    <t>10-1110-111-2</t>
  </si>
  <si>
    <t>School Improv. Salaries</t>
  </si>
  <si>
    <t>10-1110-111-3</t>
  </si>
  <si>
    <t>Saturday Detention Salary</t>
  </si>
  <si>
    <t>10-1110-111-36</t>
  </si>
  <si>
    <t>Technology Stipend</t>
  </si>
  <si>
    <t>10-1110-111-5</t>
  </si>
  <si>
    <t>Flex Grant Stip./Spec. Ed.</t>
  </si>
  <si>
    <t>10-1110-111-6</t>
  </si>
  <si>
    <t>Ed. Tech Salaries</t>
  </si>
  <si>
    <t>10-1110-112</t>
  </si>
  <si>
    <t>Sub Salaries</t>
  </si>
  <si>
    <t>Preschool Sub. Salary</t>
  </si>
  <si>
    <t>Title II Sub Salary</t>
  </si>
  <si>
    <t>10-1110-112-03</t>
  </si>
  <si>
    <t>Sum. School Salaries</t>
  </si>
  <si>
    <t>10-1110-112-04</t>
  </si>
  <si>
    <t>Aides Salaries</t>
  </si>
  <si>
    <t>10-1110-112-2</t>
  </si>
  <si>
    <t>Homebound Tutoring</t>
  </si>
  <si>
    <t>10-1110-112-65</t>
  </si>
  <si>
    <t>Retirement Bonus</t>
  </si>
  <si>
    <t>10-1110-113-03</t>
  </si>
  <si>
    <t>Ret Empl Share</t>
  </si>
  <si>
    <t>10-1110-113-1</t>
  </si>
  <si>
    <t>ReadImpr&amp;Lrner Obj10 1/2</t>
  </si>
  <si>
    <t>10-1110-113-4</t>
  </si>
  <si>
    <t>Substitute Retirement</t>
  </si>
  <si>
    <t>10-1110-114</t>
  </si>
  <si>
    <t>27</t>
  </si>
  <si>
    <t>Learner Outcomes/Obj</t>
  </si>
  <si>
    <t>State Staff Development</t>
  </si>
  <si>
    <t>10-1110-211</t>
  </si>
  <si>
    <t>Retirement</t>
  </si>
  <si>
    <t>Bd Paid TRS Sch. Improv</t>
  </si>
  <si>
    <t>10-1110-211-1</t>
  </si>
  <si>
    <t>Retirement Preschool</t>
  </si>
  <si>
    <t>10-1110-211-2</t>
  </si>
  <si>
    <t>TRS Retirement Sch. Impr</t>
  </si>
  <si>
    <t>10-1110-211-3</t>
  </si>
  <si>
    <t>TRS New Employer Contrib</t>
  </si>
  <si>
    <t>NEC - Preschool</t>
  </si>
  <si>
    <t>NEC-Title II</t>
  </si>
  <si>
    <t>NEC Technology Integration</t>
  </si>
  <si>
    <t>NEC School Improvment</t>
  </si>
  <si>
    <t>10-1110-211-4</t>
  </si>
  <si>
    <t>TRS Fed Title II</t>
  </si>
  <si>
    <t>10-1110-215</t>
  </si>
  <si>
    <t>Early Retire</t>
  </si>
  <si>
    <t>10-1110-221</t>
  </si>
  <si>
    <t>Ins Life</t>
  </si>
  <si>
    <t>Life Ins. Early Childhd</t>
  </si>
  <si>
    <t>10-1110-222</t>
  </si>
  <si>
    <t>Ins Health</t>
  </si>
  <si>
    <t>Health Ins. E.C.</t>
  </si>
  <si>
    <t>10-1110-222-1</t>
  </si>
  <si>
    <t>Health Ins Retirees</t>
  </si>
  <si>
    <t>10-1110-222-2</t>
  </si>
  <si>
    <t>TRS .5% Health Ins.</t>
  </si>
  <si>
    <t>10-1110-222-4</t>
  </si>
  <si>
    <t>Employer THIS</t>
  </si>
  <si>
    <t>Employer THIS Preschool</t>
  </si>
  <si>
    <t>Teachers Health Ins</t>
  </si>
  <si>
    <t>THIS for Technology Integration</t>
  </si>
  <si>
    <t>ETHIS</t>
  </si>
  <si>
    <t>Title II ETHIS</t>
  </si>
  <si>
    <t>10-1110-230</t>
  </si>
  <si>
    <t>Tuition</t>
  </si>
  <si>
    <t>Tuition Title II Prof Dev.</t>
  </si>
  <si>
    <t>10-1110-250-1</t>
  </si>
  <si>
    <t>Student Tuition Save</t>
  </si>
  <si>
    <t>10-1110-318</t>
  </si>
  <si>
    <t>Professional Services</t>
  </si>
  <si>
    <t>Professional Devel/Techn</t>
  </si>
  <si>
    <t>Prof.Serv.Technology Integration</t>
  </si>
  <si>
    <t>Drug Free Programs</t>
  </si>
  <si>
    <t>EC Purchased Services/Wksps</t>
  </si>
  <si>
    <t>Tech Enhancing Ed. Pur. Serv.</t>
  </si>
  <si>
    <t>Saf/Educ Block Grant</t>
  </si>
  <si>
    <t>10-1110-318-2</t>
  </si>
  <si>
    <t>Prof. Serv. School Improv</t>
  </si>
  <si>
    <t>10-1110-318-3</t>
  </si>
  <si>
    <t>REAP Professional &amp; Tech Service</t>
  </si>
  <si>
    <t>10-1110-323</t>
  </si>
  <si>
    <t>Prop Svc Repair</t>
  </si>
  <si>
    <t>10-1110-326</t>
  </si>
  <si>
    <t>10-1110-332</t>
  </si>
  <si>
    <t>Travel</t>
  </si>
  <si>
    <t>Preschool Mileage</t>
  </si>
  <si>
    <t>Mileage/Workshops</t>
  </si>
  <si>
    <t>Mileage Ttile II Wkshp</t>
  </si>
  <si>
    <t>10-1110-332-2</t>
  </si>
  <si>
    <t>Sch. Improv. Mileage Reimb</t>
  </si>
  <si>
    <t>10-1110-380</t>
  </si>
  <si>
    <t>Unemployment Ins.</t>
  </si>
  <si>
    <t>10-1110-410</t>
  </si>
  <si>
    <t>Supplies</t>
  </si>
  <si>
    <t>Technology Materials</t>
  </si>
  <si>
    <t>Safe School Supplies</t>
  </si>
  <si>
    <t>Tech Ehancing Ed. Supplies</t>
  </si>
  <si>
    <t>10-1110-410-1</t>
  </si>
  <si>
    <t>Preschool Supplies</t>
  </si>
  <si>
    <t>Local Prof.Dev.Com.Suppl</t>
  </si>
  <si>
    <t>10-1110-410-2</t>
  </si>
  <si>
    <t>Incentive Program</t>
  </si>
  <si>
    <t>10-1110-410-3</t>
  </si>
  <si>
    <t>Title IV Ssupplies</t>
  </si>
  <si>
    <t>10-1110-410-34</t>
  </si>
  <si>
    <t>Safe Schools Supplies</t>
  </si>
  <si>
    <t>10-1110-411</t>
  </si>
  <si>
    <t>Title IV Safe &amp; Drug Free Sschool</t>
  </si>
  <si>
    <t>Supplies-Music</t>
  </si>
  <si>
    <t>Title V Supplies</t>
  </si>
  <si>
    <t>10-1110-411-1</t>
  </si>
  <si>
    <t>School Improvement Supplies</t>
  </si>
  <si>
    <t>10-1110-412</t>
  </si>
  <si>
    <t>Title II Ssupplies &amp; Materials</t>
  </si>
  <si>
    <t>10-1110-412-1</t>
  </si>
  <si>
    <t>Gifted Education</t>
  </si>
  <si>
    <t>10-1110-412-2</t>
  </si>
  <si>
    <t>Text - Sch. Improv</t>
  </si>
  <si>
    <t>10-1110-413</t>
  </si>
  <si>
    <t>Music Supplies</t>
  </si>
  <si>
    <t>10-1110-420</t>
  </si>
  <si>
    <t>Texts</t>
  </si>
  <si>
    <t>10-1110-420-1</t>
  </si>
  <si>
    <t>Summer School Texts</t>
  </si>
  <si>
    <t>10-1110-420-38</t>
  </si>
  <si>
    <t>Saf/Ed Block Grant Texts</t>
  </si>
  <si>
    <t>10-1110-421</t>
  </si>
  <si>
    <t>Music Texts</t>
  </si>
  <si>
    <t>10-1110-470</t>
  </si>
  <si>
    <t>REAP</t>
  </si>
  <si>
    <t>10-1110-490</t>
  </si>
  <si>
    <t>10-1110-540</t>
  </si>
  <si>
    <t>Equipment</t>
  </si>
  <si>
    <t>Equipment Sch. Improv.</t>
  </si>
  <si>
    <t>Equipment/Technology</t>
  </si>
  <si>
    <t>Title II Equipment</t>
  </si>
  <si>
    <t>Safe School Equipment</t>
  </si>
  <si>
    <t>10-1110-540-1</t>
  </si>
  <si>
    <t>Preschool Equipment</t>
  </si>
  <si>
    <t>Local Prof.Dev.Supplies</t>
  </si>
  <si>
    <t>10-1110-540-3</t>
  </si>
  <si>
    <t>REAP Grant</t>
  </si>
  <si>
    <t>10-1110-540-38</t>
  </si>
  <si>
    <t>Equip.Sch.Safety Block G</t>
  </si>
  <si>
    <t>10-1110-640</t>
  </si>
  <si>
    <t>Dues &amp; Fees</t>
  </si>
  <si>
    <t>Dues &amp; Fees Technology</t>
  </si>
  <si>
    <t>Registration Fees R.I.</t>
  </si>
  <si>
    <t>School Improvement</t>
  </si>
  <si>
    <t>28</t>
  </si>
  <si>
    <t>Block Grant Dues &amp; Fees</t>
  </si>
  <si>
    <t>Dues &amp; Fees Saf/Educ Blo</t>
  </si>
  <si>
    <t>Workshop Reg. Title II</t>
  </si>
  <si>
    <t>10-1110-640-1</t>
  </si>
  <si>
    <t>REAP Grant Wkshop Fees</t>
  </si>
  <si>
    <t>10-1110-640-2</t>
  </si>
  <si>
    <t>Dues &amp; Fees School Improv</t>
  </si>
  <si>
    <t>10-1110-640-3</t>
  </si>
  <si>
    <t>REAP Grant Dues &amp; Fees</t>
  </si>
  <si>
    <t>10-1110-640-9</t>
  </si>
  <si>
    <t>Preschool Workshops</t>
  </si>
  <si>
    <t>10-1125-111-01</t>
  </si>
  <si>
    <t>10-1125-111-02</t>
  </si>
  <si>
    <t>Substitute Aide Presch.</t>
  </si>
  <si>
    <t>10-1125-111-1</t>
  </si>
  <si>
    <t>10-1125-112</t>
  </si>
  <si>
    <t>10-1125-211-1</t>
  </si>
  <si>
    <t>10-1125-211-3</t>
  </si>
  <si>
    <t>NEC - PRESCHOOL</t>
  </si>
  <si>
    <t>10-1125-221</t>
  </si>
  <si>
    <t>LIFE INS. EARLY CHILDHOOD</t>
  </si>
  <si>
    <t>10-1125-222</t>
  </si>
  <si>
    <t>HEALTH INS. E.C.</t>
  </si>
  <si>
    <t>10-1125-222-4</t>
  </si>
  <si>
    <t>EMPLOYER THIS PRESCHOOL</t>
  </si>
  <si>
    <t>10-1125-318</t>
  </si>
  <si>
    <t>EC PURCHASED SERVICES/WKSPS</t>
  </si>
  <si>
    <t>10-1125-332</t>
  </si>
  <si>
    <t>PRESCHOOL MILEAGE</t>
  </si>
  <si>
    <t>10-1125-410-1</t>
  </si>
  <si>
    <t>PRESCHOOL SUPPLIES</t>
  </si>
  <si>
    <t>10-1125-540-1</t>
  </si>
  <si>
    <t>PRESCHOOL EQUIPMENT</t>
  </si>
  <si>
    <t>10-1125-640-9</t>
  </si>
  <si>
    <t>PRESCHOOL WORKSHOPS</t>
  </si>
  <si>
    <t>10-1205-110</t>
  </si>
  <si>
    <t>L D SALARY</t>
  </si>
  <si>
    <t>10-1205-110-1</t>
  </si>
  <si>
    <t>L.D. AIDE SALARY</t>
  </si>
  <si>
    <t>10-1205-110-2</t>
  </si>
  <si>
    <t>L D Aide Salary</t>
  </si>
  <si>
    <t>10-1205-113</t>
  </si>
  <si>
    <t>RET EMPLOY</t>
  </si>
  <si>
    <t>10-1205-211</t>
  </si>
  <si>
    <t>RET</t>
  </si>
  <si>
    <t>10-1205-211-3</t>
  </si>
  <si>
    <t>TRS NEW EMPLOYER CONTRIB</t>
  </si>
  <si>
    <t>10-1205-221</t>
  </si>
  <si>
    <t>INS. LIFE</t>
  </si>
  <si>
    <t>10-1205-222</t>
  </si>
  <si>
    <t>INS. HEALTH</t>
  </si>
  <si>
    <t>10-1205-222-2</t>
  </si>
  <si>
    <t>THIS</t>
  </si>
  <si>
    <t>10-1205-222-4</t>
  </si>
  <si>
    <t>EMPLOYER THIS</t>
  </si>
  <si>
    <t>10-1205-318</t>
  </si>
  <si>
    <t>SPEC ED PROFESSIONAL SER</t>
  </si>
  <si>
    <t>10-1205-332</t>
  </si>
  <si>
    <t>TRAVEL</t>
  </si>
  <si>
    <t>TRAVEL /TITLE II</t>
  </si>
  <si>
    <t>10-1205-410</t>
  </si>
  <si>
    <t>SUPPLIES</t>
  </si>
  <si>
    <t>10-1205-420</t>
  </si>
  <si>
    <t>LD TEXTBOOKS</t>
  </si>
  <si>
    <t>10-1205-540</t>
  </si>
  <si>
    <t>L.D. EQUIPMENT</t>
  </si>
  <si>
    <t>10-1205-640</t>
  </si>
  <si>
    <t>DUES &amp; FEES</t>
  </si>
  <si>
    <t>10-1250-110</t>
  </si>
  <si>
    <t>TITLE I SAL</t>
  </si>
  <si>
    <t>10-1250-110-1</t>
  </si>
  <si>
    <t>REAP SALARY</t>
  </si>
  <si>
    <t>10-1250-110-2</t>
  </si>
  <si>
    <t>Title I Aide Salary</t>
  </si>
  <si>
    <t>10-1250-113</t>
  </si>
  <si>
    <t>TITLE I RET EMPL SHARE</t>
  </si>
  <si>
    <t>10-1250-211</t>
  </si>
  <si>
    <t>TITLE I RET BD SHARE</t>
  </si>
  <si>
    <t>10-1250-211-1</t>
  </si>
  <si>
    <t>TITLE I RET 10%</t>
  </si>
  <si>
    <t>10-1250-211-3</t>
  </si>
  <si>
    <t>NEC - TITLE I</t>
  </si>
  <si>
    <t>10-1250-211-4</t>
  </si>
  <si>
    <t>REAP NEC</t>
  </si>
  <si>
    <t>TRS Fed Title I</t>
  </si>
  <si>
    <t>10-1250-212</t>
  </si>
  <si>
    <t>IMRF ER</t>
  </si>
  <si>
    <t>10-1250-221</t>
  </si>
  <si>
    <t>TITLE I LIFE INS</t>
  </si>
  <si>
    <t>CHAPT I LIFE INS PAID</t>
  </si>
  <si>
    <t>10-1250-222</t>
  </si>
  <si>
    <t>TITLE I HEALTH INS</t>
  </si>
  <si>
    <t>CHAPT I HEALTH INS PAID</t>
  </si>
  <si>
    <t>10-1250-222-4</t>
  </si>
  <si>
    <t>THIS REAP</t>
  </si>
  <si>
    <t>10-1250-230</t>
  </si>
  <si>
    <t>TUITION TITLE I</t>
  </si>
  <si>
    <t>10-1250-318</t>
  </si>
  <si>
    <t>TITLE I PROFESSIONAL SERVICES</t>
  </si>
  <si>
    <t>10-1250-332</t>
  </si>
  <si>
    <t>MILEAGE</t>
  </si>
  <si>
    <t>10-1250-410</t>
  </si>
  <si>
    <t>TITLE I SUPPLIES</t>
  </si>
  <si>
    <t>10-1250-410-4850</t>
  </si>
  <si>
    <t>ARRA TITLE I SUPPLIES</t>
  </si>
  <si>
    <t>10-1250-490</t>
  </si>
  <si>
    <t>TITLE I OTHER</t>
  </si>
  <si>
    <t>10-1250-540</t>
  </si>
  <si>
    <t>TITLE I EQUIPMENT</t>
  </si>
  <si>
    <t>10-1250-540-4850</t>
  </si>
  <si>
    <t>ARRA EQUIP</t>
  </si>
  <si>
    <t>10-1250-540-4851</t>
  </si>
  <si>
    <t>ARRA TITLE I</t>
  </si>
  <si>
    <t>10-1250-640</t>
  </si>
  <si>
    <t>DUES AND FEES</t>
  </si>
  <si>
    <t>10-1251-110</t>
  </si>
  <si>
    <t>K-6 READING IMPROV. SALARIES</t>
  </si>
  <si>
    <t>10-1251-201-10</t>
  </si>
  <si>
    <t>READING IMPROVEMENT SALARY</t>
  </si>
  <si>
    <t>10-1251-204-30</t>
  </si>
  <si>
    <t>READING IMPROV. PRIOR YR.</t>
  </si>
  <si>
    <t>10-1251-211-3</t>
  </si>
  <si>
    <t>NEC-READING IMPROV.</t>
  </si>
  <si>
    <t>10-1251-221</t>
  </si>
  <si>
    <t>READING IMPROV. LIFE INS.</t>
  </si>
  <si>
    <t>10-1251-222</t>
  </si>
  <si>
    <t>READING IMPROV. HEALTH INS.</t>
  </si>
  <si>
    <t>10-1251-222-4</t>
  </si>
  <si>
    <t>EMPLOYER THIS K-6 READING IMPROV.</t>
  </si>
  <si>
    <t>10-1251-410-31</t>
  </si>
  <si>
    <t>READING IMPROVEMENT SUP</t>
  </si>
  <si>
    <t>10-1500-110</t>
  </si>
  <si>
    <t>ATH SALARY</t>
  </si>
  <si>
    <t>10-1500-110-1</t>
  </si>
  <si>
    <t>ATH SALARY NON CONTRAC.</t>
  </si>
  <si>
    <t>10-1500-113</t>
  </si>
  <si>
    <t>10-1500-211</t>
  </si>
  <si>
    <t>10-1500-211-3</t>
  </si>
  <si>
    <t>10-1500-212</t>
  </si>
  <si>
    <t>MEDICARE EMPLOYER CONT</t>
  </si>
  <si>
    <t>10-1500-221</t>
  </si>
  <si>
    <t>INS LIFE</t>
  </si>
  <si>
    <t>10-1500-222</t>
  </si>
  <si>
    <t>HEALTH INS</t>
  </si>
  <si>
    <t>10-1500-222-4</t>
  </si>
  <si>
    <t>10-1500-319</t>
  </si>
  <si>
    <t>OFFICIALS ATH</t>
  </si>
  <si>
    <t>10-1500-332</t>
  </si>
  <si>
    <t>10-1500-340-13</t>
  </si>
  <si>
    <t>POSTAGE 5/6 TOURN.</t>
  </si>
  <si>
    <t>10-1500-410</t>
  </si>
  <si>
    <t>10-1500-410-1</t>
  </si>
  <si>
    <t>SUPPLIES - 5/6 TOURN.</t>
  </si>
  <si>
    <t>10-1500-490</t>
  </si>
  <si>
    <t>ATH OTHER</t>
  </si>
  <si>
    <t>10-1500-540</t>
  </si>
  <si>
    <t>ATH EQUIPMENT</t>
  </si>
  <si>
    <t>10-1500-640</t>
  </si>
  <si>
    <t>10-1500-640-1</t>
  </si>
  <si>
    <t>STATE TOURNAMENT</t>
  </si>
  <si>
    <t>10-1522-201-10</t>
  </si>
  <si>
    <t>READING IMPROV SALARY</t>
  </si>
  <si>
    <t>10-1600-110</t>
  </si>
  <si>
    <t>SUMMER SCHOOL SALARIES</t>
  </si>
  <si>
    <t>10-1600-410</t>
  </si>
  <si>
    <t>SUMMER SCHOOL SUPPLIES</t>
  </si>
  <si>
    <t>10-1600-420</t>
  </si>
  <si>
    <t>SUMMER SCHOOL TEXTS</t>
  </si>
  <si>
    <t>10-1611-410</t>
  </si>
  <si>
    <t>10-2110-318</t>
  </si>
  <si>
    <t>PURCHASE SERVICES</t>
  </si>
  <si>
    <t>10-2150-110</t>
  </si>
  <si>
    <t>SPEECH SALARY</t>
  </si>
  <si>
    <t>SPEECH/EARLY CHILDHOOD</t>
  </si>
  <si>
    <t>10-2150-113</t>
  </si>
  <si>
    <t>10-2150-211</t>
  </si>
  <si>
    <t>10-2150-211-3</t>
  </si>
  <si>
    <t>10-2150-319</t>
  </si>
  <si>
    <t>PROFESSIONAL SERVICES</t>
  </si>
  <si>
    <t>PROFESSIONAL SERVICES EC SPEECH</t>
  </si>
  <si>
    <t>10-2150-332</t>
  </si>
  <si>
    <t>10-2150-410</t>
  </si>
  <si>
    <t>SPEECH PRESCHOOL SUPPLIE</t>
  </si>
  <si>
    <t>10-2150-410-1</t>
  </si>
  <si>
    <t>MEDCAID SPEECH SUPPLIES</t>
  </si>
  <si>
    <t>10-2150-640</t>
  </si>
  <si>
    <t>10-2210-110</t>
  </si>
  <si>
    <t>BLOCK GRANT STIPENDS</t>
  </si>
  <si>
    <t>10-2210-211-3</t>
  </si>
  <si>
    <t>ETRS TITLE II PROF DEV TRN</t>
  </si>
  <si>
    <t>10-2210-211-4</t>
  </si>
  <si>
    <t>TRS FEDERAL  TITLE II PROF DEV TRN</t>
  </si>
  <si>
    <t>10-2210-222-4</t>
  </si>
  <si>
    <t>ETHIS TITLE II PROF DEV TRN</t>
  </si>
  <si>
    <t>10-2210-230</t>
  </si>
  <si>
    <t>TUIT. TITLE I DEV.</t>
  </si>
  <si>
    <t>TUIT. TITLE II DEV.</t>
  </si>
  <si>
    <t>10-2210-318</t>
  </si>
  <si>
    <t>PROFESSIONAL SERVICES EC</t>
  </si>
  <si>
    <t>PURCHASE SERVICES TECHNOLOGY ENHANC</t>
  </si>
  <si>
    <t>TITLE II PROF DEV</t>
  </si>
  <si>
    <t>REAP PROFESSIONAL DEV.</t>
  </si>
  <si>
    <t>TITLE I PROF.DEV.</t>
  </si>
  <si>
    <t>READING IMP.PROF.DEV.</t>
  </si>
  <si>
    <t>10-2210-640</t>
  </si>
  <si>
    <t>PRESCHOOL DUES &amp; FEES</t>
  </si>
  <si>
    <t>10-2220-110</t>
  </si>
  <si>
    <t>MEDIA SALARY</t>
  </si>
  <si>
    <t>10-2220-110-1</t>
  </si>
  <si>
    <t>SUMMER LIBRARY SALARY</t>
  </si>
  <si>
    <t>10-2220-113</t>
  </si>
  <si>
    <t>MEDIA RET</t>
  </si>
  <si>
    <t>10-2220-211</t>
  </si>
  <si>
    <t>MEDIA RET. EMPLOYER</t>
  </si>
  <si>
    <t>10-2220-211-3</t>
  </si>
  <si>
    <t>10-2220-222-4</t>
  </si>
  <si>
    <t>EMPLOYER THIS MEDIA</t>
  </si>
  <si>
    <t>10-2220-323</t>
  </si>
  <si>
    <t>ELEM MAINT. REPAIR</t>
  </si>
  <si>
    <t>10-2220-410</t>
  </si>
  <si>
    <t>ELEM SUP &amp; MAT CW</t>
  </si>
  <si>
    <t>Elem Supplies &amp; Materials Title I</t>
  </si>
  <si>
    <t>10-2220-420</t>
  </si>
  <si>
    <t>Textbooks Title I</t>
  </si>
  <si>
    <t>Textbooks</t>
  </si>
  <si>
    <t>10-2220-430</t>
  </si>
  <si>
    <t>ELEM LIB BOOKS</t>
  </si>
  <si>
    <t>51</t>
  </si>
  <si>
    <t>TITLE VI LIBRARY BOOKS</t>
  </si>
  <si>
    <t>Elem Library Books Title I</t>
  </si>
  <si>
    <t>10-2220-430-1</t>
  </si>
  <si>
    <t>CH II BOOKS &amp; SOFTWARE</t>
  </si>
  <si>
    <t>10-2220-430-2</t>
  </si>
  <si>
    <t>TITLE V LIBRARY BOOKS &amp; SUPPLIES</t>
  </si>
  <si>
    <t>10-2220-441</t>
  </si>
  <si>
    <t>ELEM PERIODICALS</t>
  </si>
  <si>
    <t>10-2220-540</t>
  </si>
  <si>
    <t>CAP OUT CII</t>
  </si>
  <si>
    <t>TITLE VI EQUIPMENT</t>
  </si>
  <si>
    <t>10-2220-640</t>
  </si>
  <si>
    <t>10-2230-319</t>
  </si>
  <si>
    <t>ASSESSMENT &amp; TESTING</t>
  </si>
  <si>
    <t>10-2230-410</t>
  </si>
  <si>
    <t>TESTING &amp; SUPPLIES</t>
  </si>
  <si>
    <t>10-2311-110</t>
  </si>
  <si>
    <t>RECORDING SECRETARY SAL</t>
  </si>
  <si>
    <t>10-2311-222</t>
  </si>
  <si>
    <t>SUPT.HEALTH INS.</t>
  </si>
  <si>
    <t>10-2311-317</t>
  </si>
  <si>
    <t>AUDIT SERVICES</t>
  </si>
  <si>
    <t>10-2311-318</t>
  </si>
  <si>
    <t>LEGAL SERVICES</t>
  </si>
  <si>
    <t>10-2311-332</t>
  </si>
  <si>
    <t>10-2311-350</t>
  </si>
  <si>
    <t>ADVERTISING</t>
  </si>
  <si>
    <t>10-2311-380</t>
  </si>
  <si>
    <t>LIABILITY INS</t>
  </si>
  <si>
    <t>10-2311-383</t>
  </si>
  <si>
    <t>WORKERS COMPENSATION</t>
  </si>
  <si>
    <t>10-2311-410</t>
  </si>
  <si>
    <t>10-2311-490</t>
  </si>
  <si>
    <t>10-2311-640</t>
  </si>
  <si>
    <t>10-2311-690</t>
  </si>
  <si>
    <t>10-2313-110</t>
  </si>
  <si>
    <t>TREASURERS SALARY</t>
  </si>
  <si>
    <t>10-2313-380</t>
  </si>
  <si>
    <t>TREASURERS BOND</t>
  </si>
  <si>
    <t>10-2313-410</t>
  </si>
  <si>
    <t>TREASUER SUPPLIES</t>
  </si>
  <si>
    <t>10-2320-110</t>
  </si>
  <si>
    <t>SUPT SALARY</t>
  </si>
  <si>
    <t>SUPT. EARLY CHILDHOOD SA</t>
  </si>
  <si>
    <t>10-2320-110-1</t>
  </si>
  <si>
    <t>SUPT TORT SALARY</t>
  </si>
  <si>
    <t>10-2320-111</t>
  </si>
  <si>
    <t>SUPT SEC SAL</t>
  </si>
  <si>
    <t>SEC. SALARY EARLY CHILD.</t>
  </si>
  <si>
    <t>10-2320-112</t>
  </si>
  <si>
    <t>SEC. SUB PAY</t>
  </si>
  <si>
    <t>10-2320-113</t>
  </si>
  <si>
    <t>SUPT EMPL SHARE</t>
  </si>
  <si>
    <t>10-2320-211</t>
  </si>
  <si>
    <t>RET EMPL</t>
  </si>
  <si>
    <t>TRS EARLY CHILDHOOD</t>
  </si>
  <si>
    <t>10-2320-211-3</t>
  </si>
  <si>
    <t>NEC EARLY CHILDHOOD</t>
  </si>
  <si>
    <t>10-2320-221</t>
  </si>
  <si>
    <t>LIFE INS</t>
  </si>
  <si>
    <t>LIFE INS. PRESCHOOL/ADM</t>
  </si>
  <si>
    <t>10-2320-222</t>
  </si>
  <si>
    <t>HEALTH INS. EC</t>
  </si>
  <si>
    <t>10-2320-222-2</t>
  </si>
  <si>
    <t>TEACHERS'.5% HEALTH INS.</t>
  </si>
  <si>
    <t>.5% TRS. EARLY CHILDHOOD</t>
  </si>
  <si>
    <t>10-2320-222-3</t>
  </si>
  <si>
    <t>EYE INSURANCE SUPT.</t>
  </si>
  <si>
    <t>10-2320-222-4</t>
  </si>
  <si>
    <t>EMPLOYER THIS SUPT. PRESCH</t>
  </si>
  <si>
    <t>10-2320-319</t>
  </si>
  <si>
    <t>PHYSICAL EXAMS</t>
  </si>
  <si>
    <t>10-2320-323</t>
  </si>
  <si>
    <t>PROPERTY SERV &amp; REPAIRS</t>
  </si>
  <si>
    <t>10-2320-325</t>
  </si>
  <si>
    <t>10-2320-332</t>
  </si>
  <si>
    <t>10-2320-340</t>
  </si>
  <si>
    <t>POSTAGE</t>
  </si>
  <si>
    <t>10-2320-380</t>
  </si>
  <si>
    <t>BOND</t>
  </si>
  <si>
    <t>10-2320-410</t>
  </si>
  <si>
    <t>SUPPLIES AND MATERIALS</t>
  </si>
  <si>
    <t>10-2320-490</t>
  </si>
  <si>
    <t>10-2320-540</t>
  </si>
  <si>
    <t>CAPITAL OUTLAY</t>
  </si>
  <si>
    <t>OFFICE TECHN.EQUIP</t>
  </si>
  <si>
    <t>10-2320-640</t>
  </si>
  <si>
    <t>COMPUTER WORKSHOPS</t>
  </si>
  <si>
    <t>10-2320-640-1</t>
  </si>
  <si>
    <t>REAP GRANT DUES &amp; FEES</t>
  </si>
  <si>
    <t>10-2330-110</t>
  </si>
  <si>
    <t>Title I Admin Fees</t>
  </si>
  <si>
    <t>10-2330-311</t>
  </si>
  <si>
    <t>Special Ed Assessment</t>
  </si>
  <si>
    <t>10-2410-110</t>
  </si>
  <si>
    <t>PRINCIPAL'S SALARY</t>
  </si>
  <si>
    <t>10-2410-110-1</t>
  </si>
  <si>
    <t>PRINCIPAL'S TORT</t>
  </si>
  <si>
    <t>10-2410-211</t>
  </si>
  <si>
    <t>PRINCIPAL'S RET.</t>
  </si>
  <si>
    <t>10-2410-211-3</t>
  </si>
  <si>
    <t>NEC-PRINCIPAL'S</t>
  </si>
  <si>
    <t>10-2410-222</t>
  </si>
  <si>
    <t>PRINCIPAL'S INS.</t>
  </si>
  <si>
    <t>10-2410-222-2</t>
  </si>
  <si>
    <t>PRINCIPAL'S THIS</t>
  </si>
  <si>
    <t>10-2410-222-4</t>
  </si>
  <si>
    <t>10-2410-640</t>
  </si>
  <si>
    <t>DUES &amp; FEES PRINCIPALS</t>
  </si>
  <si>
    <t>10-2420-110</t>
  </si>
  <si>
    <t>10-2490-110</t>
  </si>
  <si>
    <t>AP/Dean Salary</t>
  </si>
  <si>
    <t>10-2490-211-3</t>
  </si>
  <si>
    <t>TRS Admin Ap/Dean of Students</t>
  </si>
  <si>
    <t>10-2490-222-4</t>
  </si>
  <si>
    <t>THIS Admin AP/Dean of Students</t>
  </si>
  <si>
    <t>10-2520-110</t>
  </si>
  <si>
    <t>FISCAL SALARY</t>
  </si>
  <si>
    <t>10-2520-221</t>
  </si>
  <si>
    <t>LIFE INS.</t>
  </si>
  <si>
    <t>10-2520-222</t>
  </si>
  <si>
    <t>HEALTH INS.</t>
  </si>
  <si>
    <t>10-2520-319</t>
  </si>
  <si>
    <t>PROFESSIONAL &amp; TECH SERV</t>
  </si>
  <si>
    <t>TECHNOLOGY SERVICES</t>
  </si>
  <si>
    <t>10-2520-319-3</t>
  </si>
  <si>
    <t>REAP PROFESSIONAL &amp; TECH SERV ICE</t>
  </si>
  <si>
    <t>10-2520-332</t>
  </si>
  <si>
    <t>10-2520-332-3</t>
  </si>
  <si>
    <t>REAP GRANT MILEAGE, ETC.</t>
  </si>
  <si>
    <t>10-2520-410</t>
  </si>
  <si>
    <t>MAINT EQUIP / SUPP</t>
  </si>
  <si>
    <t>10-2520-540</t>
  </si>
  <si>
    <t>CAP OUT</t>
  </si>
  <si>
    <t>10-2520-640</t>
  </si>
  <si>
    <t>DUES &amp; FEES/TECHNOLOGY</t>
  </si>
  <si>
    <t>10-2520-640-3</t>
  </si>
  <si>
    <t>REAP GRANT WORKSHOPS</t>
  </si>
  <si>
    <t>10-2530-310</t>
  </si>
  <si>
    <t>ARCHITECT ENGINEERING</t>
  </si>
  <si>
    <t>10-2533-310</t>
  </si>
  <si>
    <t>10-2540-500</t>
  </si>
  <si>
    <t>Operations/plant service</t>
  </si>
  <si>
    <t>10-2560-110</t>
  </si>
  <si>
    <t>FOOD SERVICE SALARIES</t>
  </si>
  <si>
    <t>10-2560-110-1</t>
  </si>
  <si>
    <t>CAFETERIA TORT SALARIES</t>
  </si>
  <si>
    <t>10-2560-221</t>
  </si>
  <si>
    <t>CAFETERIA LIFE INS PD</t>
  </si>
  <si>
    <t>10-2560-222</t>
  </si>
  <si>
    <t>CAFETERIA HEALTH INS PD</t>
  </si>
  <si>
    <t>10-2560-323</t>
  </si>
  <si>
    <t>MAINT. REPAIR</t>
  </si>
  <si>
    <t>10-2560-325</t>
  </si>
  <si>
    <t>FOOD SERVICES</t>
  </si>
  <si>
    <t>10-2560-332</t>
  </si>
  <si>
    <t>10-2560-410-1</t>
  </si>
  <si>
    <t>FOOD ITEMS - PRESCHOOL</t>
  </si>
  <si>
    <t>10-2560-411</t>
  </si>
  <si>
    <t>SUPPLIES FOOD</t>
  </si>
  <si>
    <t>10-2560-412</t>
  </si>
  <si>
    <t>10-2560-490</t>
  </si>
  <si>
    <t>10-2560-540</t>
  </si>
  <si>
    <t>10-2560-640</t>
  </si>
  <si>
    <t>10-2900-410</t>
  </si>
  <si>
    <t>Title I Homeless</t>
  </si>
  <si>
    <t>10-3000-111-9</t>
  </si>
  <si>
    <t>PRESCH COMM.SERVICE</t>
  </si>
  <si>
    <t>10-3000-319</t>
  </si>
  <si>
    <t>PURCHASED SERVICES PRESC</t>
  </si>
  <si>
    <t>10-3000-410</t>
  </si>
  <si>
    <t>Family Reading Night</t>
  </si>
  <si>
    <t>10-3000-410-9</t>
  </si>
  <si>
    <t>PARENT WORKSHOP MATERIAL</t>
  </si>
  <si>
    <t>10-3000-430</t>
  </si>
  <si>
    <t>TOY &amp; BOOK LENDING LIBRY</t>
  </si>
  <si>
    <t>10-3000-640</t>
  </si>
  <si>
    <t>Title I</t>
  </si>
  <si>
    <t>10-3000-640-9</t>
  </si>
  <si>
    <t>PRESCH.PARENT WORKSHOPS</t>
  </si>
  <si>
    <t>10-3700-800</t>
  </si>
  <si>
    <t>PRIVATE SCHOOL TUITION</t>
  </si>
  <si>
    <t>10-4100-201</t>
  </si>
  <si>
    <t>PAYMENTS TO OTHER GOV. UNITS</t>
  </si>
  <si>
    <t>10-4100-670</t>
  </si>
  <si>
    <t>SAVE TUITION</t>
  </si>
  <si>
    <t>10-4120-112</t>
  </si>
  <si>
    <t>SPEC ED SUMMER SCHOOL</t>
  </si>
  <si>
    <t>10-4120-311</t>
  </si>
  <si>
    <t>SP PROG ADMINISTRATION</t>
  </si>
  <si>
    <t>10-4120-318</t>
  </si>
  <si>
    <t>10-4120-319</t>
  </si>
  <si>
    <t>SPEC ED PROF SERVICES</t>
  </si>
  <si>
    <t>10-4190-390</t>
  </si>
  <si>
    <t>OTHER PAYMENT TO GOV.</t>
  </si>
  <si>
    <t>10-4220-670</t>
  </si>
  <si>
    <t>SPEC. ED. TUITION</t>
  </si>
  <si>
    <t>10-8110-700</t>
  </si>
  <si>
    <t>PERM TRANSFER OF FUNDS</t>
  </si>
  <si>
    <t>20-2530-300</t>
  </si>
  <si>
    <t>PURCHASE SERVICES CONST.</t>
  </si>
  <si>
    <t>20-2530-500</t>
  </si>
  <si>
    <t>CAPITAL OUTLAY/CONST.</t>
  </si>
  <si>
    <t>20-2540-110</t>
  </si>
  <si>
    <t>SALARIES</t>
  </si>
  <si>
    <t>CUSTODIAL SALARIES</t>
  </si>
  <si>
    <t>20-2540-110-1</t>
  </si>
  <si>
    <t>CUSTODIAL TORT SALARIES</t>
  </si>
  <si>
    <t>20-2540-211-3</t>
  </si>
  <si>
    <t>ETRS Admin O &amp; M</t>
  </si>
  <si>
    <t>20-2540-221</t>
  </si>
  <si>
    <t>20-2540-222</t>
  </si>
  <si>
    <t>INSURANCE</t>
  </si>
  <si>
    <t>20-2540-222-4</t>
  </si>
  <si>
    <t>ETHIS Admin O &amp; M</t>
  </si>
  <si>
    <t>20-2540-318</t>
  </si>
  <si>
    <t>ASBESTOS ABATEMENT</t>
  </si>
  <si>
    <t>20-2540-321</t>
  </si>
  <si>
    <t>SANITATION</t>
  </si>
  <si>
    <t>20-2540-323</t>
  </si>
  <si>
    <t>REPAIR &amp; MAINTENANCE</t>
  </si>
  <si>
    <t>20-2540-325</t>
  </si>
  <si>
    <t>RENTALS</t>
  </si>
  <si>
    <t>20-2540-329</t>
  </si>
  <si>
    <t>INSPEC/OTHER</t>
  </si>
  <si>
    <t>20-2540-332</t>
  </si>
  <si>
    <t>20-2540-340</t>
  </si>
  <si>
    <t>COMMUNICATION</t>
  </si>
  <si>
    <t>20-2540-370</t>
  </si>
  <si>
    <t>WATER</t>
  </si>
  <si>
    <t>20-2540-410</t>
  </si>
  <si>
    <t>20-2540-465</t>
  </si>
  <si>
    <t>NATURAL GAS</t>
  </si>
  <si>
    <t>20-2540-466</t>
  </si>
  <si>
    <t>ELECTRICITY</t>
  </si>
  <si>
    <t>20-2540-490</t>
  </si>
  <si>
    <t>20-2540-540</t>
  </si>
  <si>
    <t>CAPITAL OUTLAY EQUIPMENT</t>
  </si>
  <si>
    <t>20-2540-540-1</t>
  </si>
  <si>
    <t>SITE IMPROVEMENT/INFRAST</t>
  </si>
  <si>
    <t>20-2540-640</t>
  </si>
  <si>
    <t>20-3200-110</t>
  </si>
  <si>
    <t>FITNESS EMP. PAY</t>
  </si>
  <si>
    <t>20-3200-319</t>
  </si>
  <si>
    <t>FITNESS CENTER Professional Service</t>
  </si>
  <si>
    <t>20-3200-410</t>
  </si>
  <si>
    <t>COMMUNITY REC. SERV.</t>
  </si>
  <si>
    <t>20-32500-550</t>
  </si>
  <si>
    <t>Fitness Center Equipment</t>
  </si>
  <si>
    <t>30-5140-624</t>
  </si>
  <si>
    <t>INTEREST</t>
  </si>
  <si>
    <t>30-5200-319</t>
  </si>
  <si>
    <t>BOND REG CHARGE</t>
  </si>
  <si>
    <t>30-5200-610</t>
  </si>
  <si>
    <t>BOND PRINCIPAL</t>
  </si>
  <si>
    <t>30-5220-610</t>
  </si>
  <si>
    <t>BOND PRINCIPLE</t>
  </si>
  <si>
    <t>30-5220-620</t>
  </si>
  <si>
    <t>30-5400-319</t>
  </si>
  <si>
    <t>Bond registration charge</t>
  </si>
  <si>
    <t>30-8990-690</t>
  </si>
  <si>
    <t>Permanent transfer</t>
  </si>
  <si>
    <t>40-2550-110</t>
  </si>
  <si>
    <t>Special Ed Transportation Salary</t>
  </si>
  <si>
    <t>40-2550-111</t>
  </si>
  <si>
    <t>SUPERINTENDENT'S SALARY</t>
  </si>
  <si>
    <t>40-2550-111-1</t>
  </si>
  <si>
    <t>Principal Trans Salary</t>
  </si>
  <si>
    <t>40-2550-111-2</t>
  </si>
  <si>
    <t>AP/Dean Trans Salary</t>
  </si>
  <si>
    <t>40-2550-211-3</t>
  </si>
  <si>
    <t>40-2550-221</t>
  </si>
  <si>
    <t>Trans Life Ins PD</t>
  </si>
  <si>
    <t>40-2550-222</t>
  </si>
  <si>
    <t>Trans Health Ins Employee PD bene</t>
  </si>
  <si>
    <t>40-2550-222-2</t>
  </si>
  <si>
    <t>TRS .5% HEALTH INS. SUPT</t>
  </si>
  <si>
    <t>40-2550-222-4</t>
  </si>
  <si>
    <t>40-2550-331</t>
  </si>
  <si>
    <t>TRANS CONTRACT</t>
  </si>
  <si>
    <t>40-2550-331-1</t>
  </si>
  <si>
    <t>SPEC ED PARENT REIMB.</t>
  </si>
  <si>
    <t>40-2550-331-2</t>
  </si>
  <si>
    <t>SPEC ED. TRANSPORTATION</t>
  </si>
  <si>
    <t>40-2550-331-3</t>
  </si>
  <si>
    <t>PRESCHOOL TRANSP.</t>
  </si>
  <si>
    <t>40-2550-331-4</t>
  </si>
  <si>
    <t>SAVE TRANSPORTATION</t>
  </si>
  <si>
    <t>40-2550-331-9</t>
  </si>
  <si>
    <t>PRESCHOOL TRANSPORTATION</t>
  </si>
  <si>
    <t>40-2550-332</t>
  </si>
  <si>
    <t>EXTRA CURRICULAR</t>
  </si>
  <si>
    <t>40-2550-380</t>
  </si>
  <si>
    <t>TRANSPORTATION INSURANCE</t>
  </si>
  <si>
    <t>40-2550-464</t>
  </si>
  <si>
    <t>Reg Gasoline</t>
  </si>
  <si>
    <t>40-2550-464-1</t>
  </si>
  <si>
    <t>Reg. Route Fuel</t>
  </si>
  <si>
    <t>40-2550-464-2</t>
  </si>
  <si>
    <t>Pre-K Fuel</t>
  </si>
  <si>
    <t>40-2550-464-3</t>
  </si>
  <si>
    <t>Charter Fuel</t>
  </si>
  <si>
    <t>40-2550-540</t>
  </si>
  <si>
    <t>TRANSP. EQUIP.</t>
  </si>
  <si>
    <t>40-2550-640</t>
  </si>
  <si>
    <t>40-2585-332</t>
  </si>
  <si>
    <t>CONTRACTUAL EXTRA TRIPS</t>
  </si>
  <si>
    <t>40-4120-331</t>
  </si>
  <si>
    <t>PAYMENTS-OTHER DISTRICTS</t>
  </si>
  <si>
    <t>50-1110-210</t>
  </si>
  <si>
    <t>AIDE IMRF</t>
  </si>
  <si>
    <t>50-1110-212</t>
  </si>
  <si>
    <t>IMRF BENEFIT</t>
  </si>
  <si>
    <t>50-1110-213</t>
  </si>
  <si>
    <t>SOCIAL SECURITY SUM SCH</t>
  </si>
  <si>
    <t>50-1110-213-1</t>
  </si>
  <si>
    <t>FICA TEACHER AIDES</t>
  </si>
  <si>
    <t>50-1110-214</t>
  </si>
  <si>
    <t>MEDICARE</t>
  </si>
  <si>
    <t>STAFF DEVEL.FICA/MEDICAR</t>
  </si>
  <si>
    <t>TECHNOLOGY INTEG. MED.</t>
  </si>
  <si>
    <t>TITLE II MEDICARE</t>
  </si>
  <si>
    <t>50-1110-214-1</t>
  </si>
  <si>
    <t>MEDICARE TEACHER AIDE</t>
  </si>
  <si>
    <t>50-1110-214-2</t>
  </si>
  <si>
    <t>SCH. IMP. MEDICARE</t>
  </si>
  <si>
    <t>50-1125-212</t>
  </si>
  <si>
    <t>PRESCHOOL IMRF</t>
  </si>
  <si>
    <t>50-1125-213</t>
  </si>
  <si>
    <t>EARLY CHILDHOOD FICA</t>
  </si>
  <si>
    <t>50-1125-214</t>
  </si>
  <si>
    <t>EARLY CHILDHOOD MEDICARE</t>
  </si>
  <si>
    <t>50-1125-214-9</t>
  </si>
  <si>
    <t>EARLY CHILDHOOD FICA/MED</t>
  </si>
  <si>
    <t>50-1205-212</t>
  </si>
  <si>
    <t>LD AIDE IMRF</t>
  </si>
  <si>
    <t>50-1205-213</t>
  </si>
  <si>
    <t>TEACHER AIDE SOC. SEC.</t>
  </si>
  <si>
    <t>50-1205-214</t>
  </si>
  <si>
    <t>L.D. MEDICARE</t>
  </si>
  <si>
    <t>50-1250-212</t>
  </si>
  <si>
    <t>Aide Title I IMRF</t>
  </si>
  <si>
    <t>50-1250-213</t>
  </si>
  <si>
    <t>Title I FICA</t>
  </si>
  <si>
    <t>50-1250-214</t>
  </si>
  <si>
    <t>TITLE I MEDICARE</t>
  </si>
  <si>
    <t>MEDICARE-REAP</t>
  </si>
  <si>
    <t>50-1251-212</t>
  </si>
  <si>
    <t>READING IMP. IMRF</t>
  </si>
  <si>
    <t>50-1251-213</t>
  </si>
  <si>
    <t>READING IMP. FICA</t>
  </si>
  <si>
    <t>50-1251-214</t>
  </si>
  <si>
    <t>READING IMP. FICA/MED.</t>
  </si>
  <si>
    <t>50-1500-212</t>
  </si>
  <si>
    <t>ATHLETIC IMRF</t>
  </si>
  <si>
    <t>50-1500-213</t>
  </si>
  <si>
    <t>ATH FICA</t>
  </si>
  <si>
    <t>50-1500-214</t>
  </si>
  <si>
    <t>ATH MEDICARE</t>
  </si>
  <si>
    <t>50-2150-214</t>
  </si>
  <si>
    <t>SPEECH MEDICAR BENEFIT</t>
  </si>
  <si>
    <t>SPEECH MEDICARE E.C.</t>
  </si>
  <si>
    <t>50-2210-214</t>
  </si>
  <si>
    <t>MEDICARE TITLE II PROF DEV TRN</t>
  </si>
  <si>
    <t>50-2220-213</t>
  </si>
  <si>
    <t>LIBRARY FICA</t>
  </si>
  <si>
    <t>50-2220-214</t>
  </si>
  <si>
    <t>LIBRARY MEDICARE</t>
  </si>
  <si>
    <t>50-2311-212</t>
  </si>
  <si>
    <t>RECORDING SECRETARY IMRF</t>
  </si>
  <si>
    <t>50-2311-212-1</t>
  </si>
  <si>
    <t>EMPL CONT IMRF BOARD EXP</t>
  </si>
  <si>
    <t>50-2311-213</t>
  </si>
  <si>
    <t>RECORDING SECRETARY FICA</t>
  </si>
  <si>
    <t>50-2311-214</t>
  </si>
  <si>
    <t>RECORDING SEC. MEDICARE</t>
  </si>
  <si>
    <t>50-2313-213</t>
  </si>
  <si>
    <t>TREAS. FICA</t>
  </si>
  <si>
    <t>50-2313-214</t>
  </si>
  <si>
    <t>TREAS. MEDICARE</t>
  </si>
  <si>
    <t>50-2320-212</t>
  </si>
  <si>
    <t>SUPT SEC IMRF</t>
  </si>
  <si>
    <t>IMRF - EARLY CHILDHOOD</t>
  </si>
  <si>
    <t>50-2320-213</t>
  </si>
  <si>
    <t>SUPT SEC FICA</t>
  </si>
  <si>
    <t>FICA EARLY CHILDHOOD</t>
  </si>
  <si>
    <t>50-2320-214</t>
  </si>
  <si>
    <t>SUPT &amp; SEC MEDICARE</t>
  </si>
  <si>
    <t>FICA/MEDICARE E.C.</t>
  </si>
  <si>
    <t>50-2330-214</t>
  </si>
  <si>
    <t>Title I Admin Medicare</t>
  </si>
  <si>
    <t>50-2365-212</t>
  </si>
  <si>
    <t>Risk Mgmt. IMRF</t>
  </si>
  <si>
    <t>50-2365-213</t>
  </si>
  <si>
    <t>RISK MGMT. FICA</t>
  </si>
  <si>
    <t>50-2365-214</t>
  </si>
  <si>
    <t>RISK MGMT. MEDICARE</t>
  </si>
  <si>
    <t>50-2410-214</t>
  </si>
  <si>
    <t>PRINCIPAL'S MEDICARE</t>
  </si>
  <si>
    <t>50-2420-214</t>
  </si>
  <si>
    <t>50-2490-214</t>
  </si>
  <si>
    <t>Admin Medicare</t>
  </si>
  <si>
    <t>50-2520-212</t>
  </si>
  <si>
    <t>FISCAL IMRF</t>
  </si>
  <si>
    <t>50-2520-213</t>
  </si>
  <si>
    <t>FISCAL SOCIAL SECURITY</t>
  </si>
  <si>
    <t>50-2520-214</t>
  </si>
  <si>
    <t>FISCAL MEDICARE</t>
  </si>
  <si>
    <t>50-2540-212</t>
  </si>
  <si>
    <t>CUSTODIANS IMRF</t>
  </si>
  <si>
    <t>50-2540-213</t>
  </si>
  <si>
    <t>CUSTODIANS FICA</t>
  </si>
  <si>
    <t>PRESCHOOL FICA CUSTODIAL</t>
  </si>
  <si>
    <t>50-2540-214</t>
  </si>
  <si>
    <t>CUSTODIANS MEDICARE</t>
  </si>
  <si>
    <t>PRESCH.CUST. FICA/MED</t>
  </si>
  <si>
    <t>50-2550-212</t>
  </si>
  <si>
    <t>BUS AIDE IMRF</t>
  </si>
  <si>
    <t>50-2550-213</t>
  </si>
  <si>
    <t>BUS AIDE FICA</t>
  </si>
  <si>
    <t>50-2550-214</t>
  </si>
  <si>
    <t>TRANSP. MEDICARE</t>
  </si>
  <si>
    <t>50-2560-212</t>
  </si>
  <si>
    <t>FOOD SERVICE IMRF</t>
  </si>
  <si>
    <t>50-2560-213</t>
  </si>
  <si>
    <t>FOOD SERVICE FICA</t>
  </si>
  <si>
    <t>50-2560-214</t>
  </si>
  <si>
    <t>FOOD SERVICE MEDICARE PD</t>
  </si>
  <si>
    <t>50-3000-212</t>
  </si>
  <si>
    <t>PRESCH.COM.SERV. IMRF</t>
  </si>
  <si>
    <t>50-3000-213</t>
  </si>
  <si>
    <t>PRESCH.COM.SERV.FICA</t>
  </si>
  <si>
    <t>50-3000-214</t>
  </si>
  <si>
    <t>PRESCH COM.SERV.FICA/MED</t>
  </si>
  <si>
    <t>50-3200-212</t>
  </si>
  <si>
    <t>FITNESS IMRF</t>
  </si>
  <si>
    <t>50-3200-213</t>
  </si>
  <si>
    <t>FICA</t>
  </si>
  <si>
    <t>50-3200-214</t>
  </si>
  <si>
    <t>FITNESS/MEDICARE</t>
  </si>
  <si>
    <t>50-4120-213</t>
  </si>
  <si>
    <t>FICA - Nurse</t>
  </si>
  <si>
    <t>50-4120-214</t>
  </si>
  <si>
    <t>FICA-Medicare Nurse</t>
  </si>
  <si>
    <t>60-2530-300</t>
  </si>
  <si>
    <t>PURCH. SERV. CONSTR.</t>
  </si>
  <si>
    <t>60-2530-500</t>
  </si>
  <si>
    <t>CAPITAL OUTLAY, CONST.</t>
  </si>
  <si>
    <t>60-2560-540</t>
  </si>
  <si>
    <t>Kitchen equipment</t>
  </si>
  <si>
    <t>60-5220-610</t>
  </si>
  <si>
    <t>60-5220-620</t>
  </si>
  <si>
    <t>BOND INTEREST</t>
  </si>
  <si>
    <t>80-2362-383</t>
  </si>
  <si>
    <t>80-2364-380</t>
  </si>
  <si>
    <t>LIABILITY INSURANCE</t>
  </si>
  <si>
    <t>80-2365-100</t>
  </si>
  <si>
    <t>Risk Mgmt Services</t>
  </si>
  <si>
    <t>80-2365-101</t>
  </si>
  <si>
    <t>Risk Mgmt Services Principal</t>
  </si>
  <si>
    <t>Risk Mgmt Services AP/Dean</t>
  </si>
  <si>
    <t>80-2365-211</t>
  </si>
  <si>
    <t>Risk Mgmt. TRS</t>
  </si>
  <si>
    <t>NEC-PRINCIPALS</t>
  </si>
  <si>
    <t>80-2365-222</t>
  </si>
  <si>
    <t>RISK MGMT. INS.</t>
  </si>
  <si>
    <t>80-2367-112</t>
  </si>
  <si>
    <t>FOOD SERVICE SALARY</t>
  </si>
  <si>
    <t>80-2367-329</t>
  </si>
  <si>
    <t>INSPEC./OTHER</t>
  </si>
  <si>
    <t>80-2369-318</t>
  </si>
  <si>
    <t>80-2371-380</t>
  </si>
  <si>
    <t>80-2372-380</t>
  </si>
  <si>
    <t>80-2410-110-1</t>
  </si>
  <si>
    <t>PRINCIPAL TORT</t>
  </si>
  <si>
    <t>80-2410-211-3</t>
  </si>
  <si>
    <t>PRINCIPAL'S NEC</t>
  </si>
  <si>
    <t>80-2410-222-2</t>
  </si>
  <si>
    <t>80-2410-222-4</t>
  </si>
  <si>
    <t>90-2530-323</t>
  </si>
  <si>
    <t>LIFE/SAFETY, CONTRACTORS</t>
  </si>
  <si>
    <t>90-2530-410</t>
  </si>
  <si>
    <t>LIFE/SAFETY, SUPPLIES</t>
  </si>
  <si>
    <t>90-8110-710</t>
  </si>
  <si>
    <t>Perm xfer to Ed fund</t>
  </si>
  <si>
    <t>Total for Expense Accounts</t>
  </si>
  <si>
    <t>Preliminary Report due to: Open Months: April,May,June</t>
  </si>
  <si>
    <t>FAWIN 2.1.834:  crpFinancial</t>
  </si>
  <si>
    <t>Prepared by SUP for Saunemin C.C.S.D. #438</t>
  </si>
  <si>
    <t>7/20/2018 09:27 AM</t>
  </si>
  <si>
    <t>14. ISBE Form 50-37 was not filed timely.</t>
  </si>
  <si>
    <t>LaSalle County Food Cooperative</t>
  </si>
  <si>
    <t>Eggenberger Lawn Service</t>
  </si>
  <si>
    <t>Illinois School District Agency</t>
  </si>
  <si>
    <t>ROE #17 Job Bank Membership</t>
  </si>
  <si>
    <t>ROE #17</t>
  </si>
  <si>
    <t>Livingston County Special Services Unit</t>
  </si>
  <si>
    <t>X</t>
  </si>
  <si>
    <t>ROE #17 Paper Purchasing Cooperative</t>
  </si>
  <si>
    <t>ROE #17  Publication of Legal Notices</t>
  </si>
  <si>
    <t>060-003995</t>
  </si>
  <si>
    <t>Adjust accounts in regards to journal entries. LOOK THROUGH TB's for whole account RECLASSIFICATIONS</t>
  </si>
  <si>
    <t>80-2363-300</t>
  </si>
  <si>
    <t>80-2366-300</t>
  </si>
  <si>
    <t>None</t>
  </si>
  <si>
    <t>Page 9, Line 17, Education Fund, Payment in Lieu of Taxes</t>
  </si>
  <si>
    <t>Page 11, Line 107, Education Fund, Miscellaneous Revenue</t>
  </si>
  <si>
    <t>Page 12, Line 183, Education Fund, R.E.A.P. Grant</t>
  </si>
  <si>
    <t>Page 16, Line 73, Homlessness Supplies</t>
  </si>
  <si>
    <t>CDS</t>
  </si>
  <si>
    <t>Frontline</t>
  </si>
  <si>
    <t>Roenfeldt &amp; Lockas</t>
  </si>
  <si>
    <t>Broker's Risk Replacement</t>
  </si>
  <si>
    <t>Mediacom</t>
  </si>
  <si>
    <t>Reblic Services</t>
  </si>
  <si>
    <t>Sancken Family</t>
  </si>
  <si>
    <t>Trost Tree Experts</t>
  </si>
  <si>
    <t>IDEAL Environmental</t>
  </si>
  <si>
    <t>Frontier Communications</t>
  </si>
  <si>
    <t>Illinois American Water</t>
  </si>
  <si>
    <t>Illinois Central Busing</t>
  </si>
  <si>
    <t>Bushue HR</t>
  </si>
  <si>
    <t>David Babb</t>
  </si>
  <si>
    <t>Miller, Tracy, Braun, Funk</t>
  </si>
  <si>
    <t>ED-Instruction-Purchased Services</t>
  </si>
  <si>
    <t>10-1000-300</t>
  </si>
  <si>
    <t>10-2100-300</t>
  </si>
  <si>
    <t>ED-Support Services-Purchased Services</t>
  </si>
  <si>
    <t>10-2200-300</t>
  </si>
  <si>
    <t>10-2300-300</t>
  </si>
  <si>
    <t>O&amp;M-Plant Services-Purchased Services</t>
  </si>
  <si>
    <t>20-2540-300</t>
  </si>
  <si>
    <t>40-2550-300</t>
  </si>
  <si>
    <t>TRANS-Pupil Transportation Services-Purchased Services</t>
  </si>
  <si>
    <t>TORT-Support Services-Purchased Services</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</si>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</sst>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00\-"/>
    <numFmt numFmtId="182" formatCode="#,##0.0[$%-409]* "/>
    <numFmt numFmtId="183" formatCode="#,##0.00[$%-409]* "/>
    <numFmt numFmtId="184" formatCode="#,##0.00[$%-409]* ;#,##0.00\-[$%-409]* "/>
  </numFmts>
  <fonts count="1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indexed="8"/>
      <name val="Arial"/>
      <family val="2"/>
    </font>
    <font>
      <b/>
      <i/>
      <sz val="14.25"/>
      <color indexed="8"/>
      <name val="Arial"/>
      <family val="2"/>
    </font>
    <font>
      <b/>
      <i/>
      <sz val="24"/>
      <color indexed="22"/>
      <name val="Arial"/>
      <family val="2"/>
    </font>
    <font>
      <b/>
      <sz val="11"/>
      <color indexed="8"/>
      <name val="Arial"/>
      <family val="2"/>
    </font>
    <font>
      <b/>
      <sz val="10"/>
      <color indexed="8"/>
      <name val="Arial"/>
      <family val="2"/>
    </font>
    <font>
      <b/>
      <i/>
      <sz val="9.75"/>
      <color indexed="8"/>
      <name val="Arial"/>
      <family val="2"/>
    </font>
    <font>
      <b/>
      <i/>
      <sz val="8.25"/>
      <color indexed="8"/>
      <name val="Arial"/>
      <family val="2"/>
    </font>
    <font>
      <b/>
      <i/>
      <sz val="10"/>
      <color indexed="8"/>
      <name val="Arial"/>
      <family val="2"/>
    </font>
    <font>
      <b/>
      <sz val="8"/>
      <color indexed="8"/>
      <name val="Arial"/>
      <family val="2"/>
    </font>
    <font>
      <sz val="8"/>
      <color indexed="8"/>
      <name val="Arial"/>
      <family val="2"/>
    </font>
    <font>
      <i/>
      <sz val="8.25"/>
      <color indexed="8"/>
      <name val="Arial"/>
      <family val="2"/>
    </font>
    <font>
      <sz val="11"/>
      <name val="Calibri"/>
      <family val="2"/>
    </font>
    <font>
      <b/>
      <sz val="19"/>
      <color rgb="FFFF0000"/>
      <name val="Calibri"/>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22"/>
        <bgColor indexed="8"/>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top style="thin">
        <color indexed="8"/>
      </top>
      <bottom/>
      <diagonal/>
    </border>
  </borders>
  <cellStyleXfs count="27">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138" fillId="0" borderId="0">
      <alignment vertical="top"/>
    </xf>
    <xf numFmtId="0" fontId="149" fillId="0" borderId="0"/>
    <xf numFmtId="0" fontId="2" fillId="0" borderId="0"/>
    <xf numFmtId="0" fontId="2" fillId="0" borderId="0"/>
    <xf numFmtId="0" fontId="2" fillId="0" borderId="0"/>
  </cellStyleXfs>
  <cellXfs count="253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138" fillId="0" borderId="0" xfId="22">
      <alignment vertical="top"/>
    </xf>
    <xf numFmtId="0" fontId="141" fillId="0" borderId="0" xfId="22" applyFont="1" applyAlignment="1">
      <alignment horizontal="right" vertical="top" wrapText="1" readingOrder="1"/>
    </xf>
    <xf numFmtId="3" fontId="142" fillId="0" borderId="0" xfId="22" applyNumberFormat="1" applyFont="1" applyAlignment="1">
      <alignment horizontal="right" vertical="top" wrapText="1"/>
    </xf>
    <xf numFmtId="0" fontId="145" fillId="0" borderId="167" xfId="22" applyFont="1" applyBorder="1" applyAlignment="1">
      <alignment horizontal="center" vertical="top" wrapText="1" readingOrder="1"/>
    </xf>
    <xf numFmtId="0" fontId="145" fillId="0" borderId="167" xfId="22" applyFont="1" applyBorder="1" applyAlignment="1">
      <alignment horizontal="left" vertical="top" wrapText="1" readingOrder="1"/>
    </xf>
    <xf numFmtId="0" fontId="138" fillId="28" borderId="167" xfId="22" applyFont="1" applyFill="1" applyBorder="1" applyAlignment="1">
      <alignment horizontal="left" vertical="top" wrapText="1" readingOrder="1"/>
    </xf>
    <xf numFmtId="0" fontId="147" fillId="0" borderId="0" xfId="22" applyFont="1" applyAlignment="1">
      <alignment horizontal="center" vertical="top" wrapText="1"/>
    </xf>
    <xf numFmtId="182" fontId="147" fillId="0" borderId="0" xfId="22" applyNumberFormat="1" applyFont="1" applyAlignment="1">
      <alignment horizontal="right" vertical="top" wrapText="1"/>
    </xf>
    <xf numFmtId="0" fontId="147" fillId="0" borderId="0" xfId="22" applyFont="1" applyAlignment="1">
      <alignment horizontal="right" vertical="top" wrapText="1"/>
    </xf>
    <xf numFmtId="183" fontId="146" fillId="0" borderId="168" xfId="22" applyNumberFormat="1" applyFont="1" applyBorder="1" applyAlignment="1">
      <alignment horizontal="right" vertical="top" wrapText="1"/>
    </xf>
    <xf numFmtId="0" fontId="138" fillId="28" borderId="0" xfId="22" applyFont="1" applyFill="1">
      <alignment vertical="top"/>
    </xf>
    <xf numFmtId="184" fontId="146" fillId="28" borderId="168" xfId="22" applyNumberFormat="1" applyFont="1" applyFill="1" applyBorder="1" applyAlignment="1">
      <alignment horizontal="right" vertical="top" wrapText="1"/>
    </xf>
    <xf numFmtId="0" fontId="10" fillId="0" borderId="0" xfId="3" applyFont="1"/>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49" fontId="1" fillId="0" borderId="158" xfId="17" applyNumberFormat="1" applyFont="1" applyBorder="1" applyAlignment="1" applyProtection="1">
      <alignment horizontal="center"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47" fillId="0" borderId="0" xfId="22" applyFont="1" applyAlignment="1">
      <alignment horizontal="left" vertical="top" wrapText="1" readingOrder="1"/>
    </xf>
    <xf numFmtId="0" fontId="148" fillId="0" borderId="168" xfId="22" applyFont="1" applyBorder="1" applyAlignment="1">
      <alignment horizontal="left" vertical="top" wrapText="1" readingOrder="1"/>
    </xf>
    <xf numFmtId="0" fontId="143" fillId="0" borderId="168" xfId="22" applyFont="1" applyBorder="1" applyAlignment="1">
      <alignment horizontal="center" vertical="top" wrapText="1" readingOrder="1"/>
    </xf>
    <xf numFmtId="0" fontId="143" fillId="0" borderId="168" xfId="22" applyFont="1" applyBorder="1" applyAlignment="1">
      <alignment horizontal="right" vertical="top" wrapText="1" readingOrder="1"/>
    </xf>
    <xf numFmtId="0" fontId="142" fillId="28" borderId="168" xfId="22" applyFont="1" applyFill="1" applyBorder="1" applyAlignment="1">
      <alignment horizontal="right" vertical="top" wrapText="1"/>
    </xf>
    <xf numFmtId="181" fontId="146" fillId="28" borderId="168" xfId="22" applyNumberFormat="1" applyFont="1" applyFill="1" applyBorder="1" applyAlignment="1">
      <alignment horizontal="right" vertical="top" wrapText="1"/>
    </xf>
    <xf numFmtId="0" fontId="146" fillId="0" borderId="168" xfId="22" applyFont="1" applyBorder="1" applyAlignment="1">
      <alignment horizontal="right" vertical="top" wrapText="1"/>
    </xf>
    <xf numFmtId="181" fontId="146" fillId="0" borderId="168" xfId="22" applyNumberFormat="1" applyFont="1" applyBorder="1" applyAlignment="1">
      <alignment horizontal="right" vertical="top" wrapText="1"/>
    </xf>
    <xf numFmtId="181" fontId="147" fillId="0" borderId="0" xfId="22" applyNumberFormat="1" applyFont="1" applyAlignment="1">
      <alignment horizontal="right" vertical="top" wrapText="1"/>
    </xf>
    <xf numFmtId="0" fontId="147" fillId="0" borderId="0" xfId="22" applyFont="1" applyAlignment="1">
      <alignment horizontal="left" vertical="top" wrapText="1"/>
    </xf>
    <xf numFmtId="0" fontId="146" fillId="28" borderId="167" xfId="22" applyFont="1" applyFill="1" applyBorder="1" applyAlignment="1">
      <alignment horizontal="left" vertical="top" wrapText="1"/>
    </xf>
    <xf numFmtId="0" fontId="142" fillId="28" borderId="167" xfId="22" applyFont="1" applyFill="1" applyBorder="1" applyAlignment="1">
      <alignment horizontal="left" vertical="top" wrapText="1"/>
    </xf>
    <xf numFmtId="0" fontId="150" fillId="21" borderId="0" xfId="23" applyFont="1" applyFill="1" applyAlignment="1">
      <alignment horizontal="center" wrapText="1"/>
    </xf>
    <xf numFmtId="0" fontId="145" fillId="0" borderId="0" xfId="22" applyFont="1" applyAlignment="1">
      <alignment horizontal="center" vertical="top" wrapText="1" readingOrder="1"/>
    </xf>
    <xf numFmtId="0" fontId="145" fillId="0" borderId="167" xfId="22" applyFont="1" applyBorder="1" applyAlignment="1">
      <alignment horizontal="left" vertical="top" wrapText="1" readingOrder="1"/>
    </xf>
    <xf numFmtId="0" fontId="145" fillId="0" borderId="167" xfId="22" applyFont="1" applyBorder="1" applyAlignment="1">
      <alignment horizontal="center" vertical="top" wrapText="1" readingOrder="1"/>
    </xf>
    <xf numFmtId="0" fontId="139" fillId="0" borderId="0" xfId="22" applyFont="1" applyAlignment="1">
      <alignment horizontal="left" vertical="top" wrapText="1" readingOrder="1"/>
    </xf>
    <xf numFmtId="0" fontId="140" fillId="0" borderId="0" xfId="22" applyFont="1" applyAlignment="1">
      <alignment horizontal="center" vertical="top" wrapText="1" readingOrder="1"/>
    </xf>
    <xf numFmtId="0" fontId="143" fillId="0" borderId="166" xfId="22" applyFont="1" applyBorder="1" applyAlignment="1">
      <alignment horizontal="left" vertical="top" wrapText="1" readingOrder="1"/>
    </xf>
    <xf numFmtId="0" fontId="144" fillId="0" borderId="0" xfId="22" applyFont="1" applyAlignment="1">
      <alignment horizontal="left" vertical="top" wrapText="1" readingOrder="1"/>
    </xf>
  </cellXfs>
  <cellStyles count="27">
    <cellStyle name="Comma" xfId="1" builtinId="3"/>
    <cellStyle name="Hyperlink" xfId="2" builtinId="8"/>
    <cellStyle name="Hyperlink 2" xfId="15"/>
    <cellStyle name="Normal" xfId="0" builtinId="0"/>
    <cellStyle name="Normal 10" xfId="23"/>
    <cellStyle name="Normal 2" xfId="3"/>
    <cellStyle name="Normal 3" xfId="4"/>
    <cellStyle name="Normal 3 2" xfId="14"/>
    <cellStyle name="Normal 3 2 2" xfId="18"/>
    <cellStyle name="Normal 3 2 3" xfId="20"/>
    <cellStyle name="Normal 3 2 4" xfId="25"/>
    <cellStyle name="Normal 3 3" xfId="19"/>
    <cellStyle name="Normal 3 4" xfId="24"/>
    <cellStyle name="Normal 4" xfId="16"/>
    <cellStyle name="Normal 4 2" xfId="21"/>
    <cellStyle name="Normal 4 3" xfId="26"/>
    <cellStyle name="Normal 5" xfId="17"/>
    <cellStyle name="Normal 6"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66675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1515341</xdr:colOff>
          <xdr:row>5</xdr:row>
          <xdr:rowOff>138544</xdr:rowOff>
        </xdr:from>
        <xdr:to>
          <xdr:col>1</xdr:col>
          <xdr:colOff>2429741</xdr:colOff>
          <xdr:row>10</xdr:row>
          <xdr:rowOff>40697</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L32" sqref="L3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6" t="s">
        <v>425</v>
      </c>
      <c r="J1" s="2047"/>
      <c r="K1" s="2047"/>
      <c r="L1" s="2047"/>
      <c r="M1" s="2047"/>
      <c r="N1" s="2047"/>
      <c r="O1" s="2047"/>
      <c r="P1" s="2047"/>
      <c r="Q1" s="2047"/>
      <c r="R1" s="2047"/>
      <c r="S1" s="2047"/>
    </row>
    <row r="2" spans="1:28" ht="12" customHeight="1" x14ac:dyDescent="0.2">
      <c r="A2" s="47" t="s">
        <v>1684</v>
      </c>
      <c r="D2" s="48"/>
      <c r="I2" s="2048" t="s">
        <v>1036</v>
      </c>
      <c r="J2" s="2047"/>
      <c r="K2" s="2047"/>
      <c r="L2" s="2047"/>
      <c r="M2" s="2047"/>
      <c r="N2" s="2047"/>
      <c r="O2" s="2047"/>
      <c r="P2" s="2047"/>
      <c r="Q2" s="2047"/>
      <c r="R2" s="2047"/>
      <c r="S2" s="2047"/>
    </row>
    <row r="3" spans="1:28" ht="12" customHeight="1" x14ac:dyDescent="0.2">
      <c r="A3" s="155" t="s">
        <v>1685</v>
      </c>
      <c r="B3" s="156"/>
      <c r="C3" s="156"/>
      <c r="D3" s="157"/>
      <c r="I3" s="2048" t="s">
        <v>54</v>
      </c>
      <c r="J3" s="2047"/>
      <c r="K3" s="2047"/>
      <c r="L3" s="2047"/>
      <c r="M3" s="2047"/>
      <c r="N3" s="2047"/>
      <c r="O3" s="2047"/>
      <c r="P3" s="2047"/>
      <c r="Q3" s="2047"/>
      <c r="R3" s="2047"/>
      <c r="S3" s="2047"/>
    </row>
    <row r="4" spans="1:28" ht="12" customHeight="1" x14ac:dyDescent="0.2">
      <c r="A4" s="37"/>
      <c r="I4" s="2048" t="s">
        <v>545</v>
      </c>
      <c r="J4" s="2047"/>
      <c r="K4" s="2047"/>
      <c r="L4" s="2047"/>
      <c r="M4" s="2047"/>
      <c r="N4" s="2047"/>
      <c r="O4" s="2047"/>
      <c r="P4" s="2047"/>
      <c r="Q4" s="2047"/>
      <c r="R4" s="2047"/>
      <c r="S4" s="2047"/>
    </row>
    <row r="5" spans="1:28" ht="14.1" customHeight="1" x14ac:dyDescent="0.2">
      <c r="B5" s="104" t="s">
        <v>2089</v>
      </c>
      <c r="C5" s="26" t="s">
        <v>966</v>
      </c>
      <c r="D5" s="84"/>
      <c r="E5" s="84"/>
      <c r="H5" s="38"/>
      <c r="I5" s="2055" t="s">
        <v>701</v>
      </c>
      <c r="J5" s="2000"/>
      <c r="K5" s="2000"/>
      <c r="L5" s="2000"/>
      <c r="M5" s="2000"/>
      <c r="N5" s="2000"/>
      <c r="O5" s="2000"/>
      <c r="P5" s="2000"/>
      <c r="Q5" s="2000"/>
      <c r="R5" s="2000"/>
      <c r="S5" s="2000"/>
    </row>
    <row r="6" spans="1:28" ht="14.1" customHeight="1" x14ac:dyDescent="0.2">
      <c r="B6" s="104"/>
      <c r="C6" s="26" t="s">
        <v>967</v>
      </c>
      <c r="D6" s="84"/>
      <c r="E6" s="84"/>
      <c r="I6" s="2054" t="s">
        <v>938</v>
      </c>
      <c r="J6" s="2000"/>
      <c r="K6" s="2000"/>
      <c r="L6" s="2000"/>
      <c r="M6" s="2000"/>
      <c r="N6" s="2000"/>
      <c r="O6" s="2000"/>
      <c r="P6" s="2000"/>
      <c r="Q6" s="2000"/>
      <c r="R6" s="2000"/>
      <c r="S6" s="2000"/>
    </row>
    <row r="7" spans="1:28" ht="12.2" customHeight="1" x14ac:dyDescent="0.2">
      <c r="I7" s="2049">
        <v>43281</v>
      </c>
      <c r="J7" s="2050"/>
      <c r="K7" s="2050"/>
      <c r="L7" s="2050"/>
      <c r="M7" s="2050"/>
      <c r="N7" s="2050"/>
      <c r="O7" s="2050"/>
      <c r="P7" s="2050"/>
      <c r="Q7" s="2050"/>
      <c r="R7" s="2050"/>
      <c r="S7" s="205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1" t="s">
        <v>695</v>
      </c>
      <c r="J9" s="2052"/>
      <c r="K9" s="2052"/>
      <c r="L9" s="2052"/>
      <c r="M9" s="2052"/>
      <c r="N9" s="2052"/>
      <c r="O9" s="2052"/>
      <c r="P9" s="2052"/>
      <c r="Q9" s="2052"/>
      <c r="R9" s="2052"/>
      <c r="S9" s="2053"/>
      <c r="T9" s="1996" t="s">
        <v>554</v>
      </c>
      <c r="U9" s="1997"/>
      <c r="V9" s="1997"/>
      <c r="W9" s="1997"/>
      <c r="X9" s="1997"/>
      <c r="Y9" s="1997"/>
      <c r="Z9" s="1997"/>
      <c r="AA9" s="1998"/>
    </row>
    <row r="10" spans="1:28" ht="13.5" customHeight="1" x14ac:dyDescent="0.2">
      <c r="A10" s="2005" t="s">
        <v>696</v>
      </c>
      <c r="B10" s="2006"/>
      <c r="C10" s="2006"/>
      <c r="D10" s="2006"/>
      <c r="E10" s="2006"/>
      <c r="F10" s="2006"/>
      <c r="G10" s="2006"/>
      <c r="H10" s="2007"/>
      <c r="I10" s="29"/>
      <c r="J10" s="30"/>
      <c r="K10" s="28"/>
      <c r="R10" s="30"/>
      <c r="S10" s="30"/>
      <c r="T10" s="1999"/>
      <c r="U10" s="2000"/>
      <c r="V10" s="2000"/>
      <c r="W10" s="2000"/>
      <c r="X10" s="2000"/>
      <c r="Y10" s="2000"/>
      <c r="Z10" s="2000"/>
      <c r="AA10" s="2001"/>
    </row>
    <row r="11" spans="1:28" ht="14.25" customHeight="1" x14ac:dyDescent="0.2">
      <c r="A11" s="2008" t="s">
        <v>1012</v>
      </c>
      <c r="B11" s="2009"/>
      <c r="C11" s="2009"/>
      <c r="D11" s="2009"/>
      <c r="E11" s="2009"/>
      <c r="F11" s="2009"/>
      <c r="G11" s="2009"/>
      <c r="H11" s="2010"/>
      <c r="I11" s="27"/>
      <c r="J11" s="74"/>
      <c r="K11" s="27"/>
      <c r="O11" s="148" t="s">
        <v>2089</v>
      </c>
      <c r="P11" s="100" t="s">
        <v>210</v>
      </c>
      <c r="Q11" s="30"/>
      <c r="R11" s="28"/>
      <c r="S11" s="27"/>
      <c r="T11" s="2002"/>
      <c r="U11" s="2003"/>
      <c r="V11" s="2003"/>
      <c r="W11" s="2003"/>
      <c r="X11" s="2003"/>
      <c r="Y11" s="2003"/>
      <c r="Z11" s="2003"/>
      <c r="AA11" s="200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6">
        <v>17053438004</v>
      </c>
      <c r="B13" s="2017"/>
      <c r="C13" s="2017"/>
      <c r="D13" s="2017"/>
      <c r="E13" s="2017"/>
      <c r="F13" s="2017"/>
      <c r="G13" s="2017"/>
      <c r="H13" s="2018"/>
      <c r="I13" s="31"/>
      <c r="J13" s="30"/>
      <c r="K13" s="28"/>
      <c r="L13" s="30"/>
      <c r="M13" s="30"/>
      <c r="N13" s="30"/>
      <c r="O13" s="30"/>
      <c r="P13" s="30"/>
      <c r="Q13" s="30"/>
      <c r="R13" s="30"/>
      <c r="S13" s="30"/>
      <c r="T13" s="2021" t="s">
        <v>2077</v>
      </c>
      <c r="U13" s="2022"/>
      <c r="V13" s="2022"/>
      <c r="W13" s="2022"/>
      <c r="X13" s="2022"/>
      <c r="Y13" s="2023"/>
      <c r="Z13" s="2023"/>
      <c r="AA13" s="202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4" t="s">
        <v>2088</v>
      </c>
      <c r="B15" s="2019"/>
      <c r="C15" s="2019"/>
      <c r="D15" s="2019"/>
      <c r="E15" s="2019"/>
      <c r="F15" s="2019"/>
      <c r="G15" s="2019"/>
      <c r="H15" s="2020"/>
      <c r="T15" s="1982" t="s">
        <v>2084</v>
      </c>
      <c r="U15" s="1983"/>
      <c r="V15" s="1983"/>
      <c r="W15" s="1983"/>
      <c r="X15" s="1983"/>
      <c r="Y15" s="2025"/>
      <c r="Z15" s="2025"/>
      <c r="AA15" s="202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4" t="s">
        <v>2087</v>
      </c>
      <c r="B17" s="2044"/>
      <c r="C17" s="2044"/>
      <c r="D17" s="2044"/>
      <c r="E17" s="2044"/>
      <c r="F17" s="2044"/>
      <c r="G17" s="2044"/>
      <c r="H17" s="2045"/>
      <c r="T17" s="2031" t="s">
        <v>2078</v>
      </c>
      <c r="U17" s="2032"/>
      <c r="V17" s="2032"/>
      <c r="W17" s="2032"/>
      <c r="X17" s="2032"/>
      <c r="Y17" s="2032"/>
      <c r="Z17" s="2032"/>
      <c r="AA17" s="2033"/>
    </row>
    <row r="18" spans="1:27" ht="13.5" customHeight="1" x14ac:dyDescent="0.2">
      <c r="A18" s="85" t="s">
        <v>551</v>
      </c>
      <c r="B18" s="76"/>
      <c r="C18" s="72"/>
      <c r="D18" s="76"/>
      <c r="E18" s="76"/>
      <c r="F18" s="76"/>
      <c r="G18" s="76"/>
      <c r="H18" s="56"/>
      <c r="I18" s="2041" t="s">
        <v>697</v>
      </c>
      <c r="J18" s="2042"/>
      <c r="K18" s="2042"/>
      <c r="L18" s="2042"/>
      <c r="M18" s="2042"/>
      <c r="N18" s="2042"/>
      <c r="O18" s="2042"/>
      <c r="P18" s="2042"/>
      <c r="Q18" s="2042"/>
      <c r="R18" s="2042"/>
      <c r="S18" s="2043"/>
      <c r="T18" s="85" t="s">
        <v>735</v>
      </c>
      <c r="U18" s="51"/>
      <c r="V18" s="72"/>
      <c r="W18" s="50"/>
      <c r="X18" s="85" t="s">
        <v>284</v>
      </c>
      <c r="Y18" s="81"/>
      <c r="Z18" s="159" t="s">
        <v>698</v>
      </c>
      <c r="AA18" s="46"/>
    </row>
    <row r="19" spans="1:27" ht="13.5" customHeight="1" x14ac:dyDescent="0.2">
      <c r="A19" s="2014" t="s">
        <v>2085</v>
      </c>
      <c r="B19" s="2015"/>
      <c r="C19" s="2015"/>
      <c r="D19" s="2015"/>
      <c r="E19" s="2015"/>
      <c r="F19" s="2015"/>
      <c r="G19" s="2015"/>
      <c r="H19" s="2013"/>
      <c r="I19" s="30"/>
      <c r="J19" s="99"/>
      <c r="K19" s="40"/>
      <c r="L19" s="38"/>
      <c r="M19" s="112" t="s">
        <v>333</v>
      </c>
      <c r="P19" s="27"/>
      <c r="Q19" s="27"/>
      <c r="R19" s="27"/>
      <c r="S19" s="31"/>
      <c r="T19" s="2014" t="s">
        <v>2079</v>
      </c>
      <c r="U19" s="2012"/>
      <c r="V19" s="2012"/>
      <c r="W19" s="2013"/>
      <c r="X19" s="2029" t="s">
        <v>2080</v>
      </c>
      <c r="Y19" s="2030"/>
      <c r="Z19" s="2027">
        <v>61350</v>
      </c>
      <c r="AA19" s="202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1" t="s">
        <v>2086</v>
      </c>
      <c r="B21" s="2012"/>
      <c r="C21" s="2012"/>
      <c r="D21" s="2012"/>
      <c r="E21" s="2012"/>
      <c r="F21" s="2012"/>
      <c r="G21" s="2012"/>
      <c r="H21" s="2013"/>
      <c r="I21" s="2037" t="s">
        <v>699</v>
      </c>
      <c r="J21" s="2000"/>
      <c r="K21" s="2000"/>
      <c r="L21" s="2000"/>
      <c r="M21" s="2000"/>
      <c r="N21" s="2000"/>
      <c r="O21" s="2000"/>
      <c r="P21" s="2000"/>
      <c r="Q21" s="2000"/>
      <c r="R21" s="2000"/>
      <c r="S21" s="2001"/>
      <c r="T21" s="1979" t="s">
        <v>2081</v>
      </c>
      <c r="U21" s="1980"/>
      <c r="V21" s="1980"/>
      <c r="W21" s="1980"/>
      <c r="X21" s="1993" t="s">
        <v>2082</v>
      </c>
      <c r="Y21" s="1994"/>
      <c r="Z21" s="1994"/>
      <c r="AA21" s="1995"/>
    </row>
    <row r="22" spans="1:27" ht="13.5" customHeight="1" x14ac:dyDescent="0.2">
      <c r="A22" s="87" t="s">
        <v>552</v>
      </c>
      <c r="B22" s="59"/>
      <c r="C22" s="59"/>
      <c r="D22" s="59"/>
      <c r="E22" s="59"/>
      <c r="F22" s="59"/>
      <c r="G22" s="59"/>
      <c r="H22" s="60"/>
      <c r="I22" s="2038" t="s">
        <v>1504</v>
      </c>
      <c r="J22" s="2039"/>
      <c r="K22" s="2039"/>
      <c r="L22" s="2039"/>
      <c r="M22" s="2039"/>
      <c r="N22" s="2039"/>
      <c r="O22" s="2039"/>
      <c r="P22" s="2039"/>
      <c r="Q22" s="2039"/>
      <c r="R22" s="2039"/>
      <c r="S22" s="2040"/>
      <c r="T22" s="85" t="s">
        <v>1596</v>
      </c>
      <c r="U22" s="51"/>
      <c r="V22" s="72"/>
      <c r="W22" s="51"/>
      <c r="X22" s="160" t="s">
        <v>1385</v>
      </c>
      <c r="Z22" s="45"/>
      <c r="AA22" s="46"/>
    </row>
    <row r="23" spans="1:27" ht="13.5" customHeight="1" x14ac:dyDescent="0.2">
      <c r="A23" s="2034"/>
      <c r="B23" s="2035"/>
      <c r="C23" s="2035"/>
      <c r="D23" s="2035"/>
      <c r="E23" s="2035"/>
      <c r="F23" s="2035"/>
      <c r="G23" s="2035"/>
      <c r="H23" s="2036"/>
      <c r="T23" s="1974" t="s">
        <v>3357</v>
      </c>
      <c r="U23" s="1975"/>
      <c r="V23" s="1975"/>
      <c r="W23" s="1975"/>
      <c r="X23" s="1990">
        <v>43466</v>
      </c>
      <c r="Y23" s="1991"/>
      <c r="Z23" s="1991"/>
      <c r="AA23" s="1992"/>
    </row>
    <row r="24" spans="1:27" ht="14.1" customHeight="1" x14ac:dyDescent="0.2">
      <c r="A24" s="88" t="s">
        <v>698</v>
      </c>
      <c r="B24" s="49"/>
      <c r="C24" s="49"/>
      <c r="D24" s="49"/>
      <c r="E24" s="49"/>
      <c r="F24" s="49"/>
      <c r="G24" s="49"/>
      <c r="H24" s="61"/>
      <c r="J24" s="2076">
        <f>IF(B5="x",IF(AUDITCHECK!D29="AFR form Incomplete.","",IF(AUDITCHECK!D29="Deficit reduction plan is required.","School District must complete a deficit reduction plan in the 2018-2019 Budget",)),"")</f>
        <v>0</v>
      </c>
      <c r="K24" s="2076"/>
      <c r="L24" s="2076"/>
      <c r="M24" s="2076"/>
      <c r="N24" s="2076"/>
      <c r="O24" s="2076"/>
      <c r="P24" s="2076"/>
      <c r="Q24" s="2076"/>
      <c r="R24" s="2076"/>
      <c r="S24" s="2077"/>
      <c r="T24" s="105" t="s">
        <v>552</v>
      </c>
      <c r="U24" s="106"/>
      <c r="V24" s="106"/>
      <c r="W24" s="106"/>
      <c r="X24" s="107"/>
      <c r="Y24" s="107"/>
      <c r="Z24" s="107"/>
      <c r="AA24" s="108"/>
    </row>
    <row r="25" spans="1:27" ht="14.1" customHeight="1" x14ac:dyDescent="0.2">
      <c r="A25" s="2011">
        <v>61769</v>
      </c>
      <c r="B25" s="2012"/>
      <c r="C25" s="2012"/>
      <c r="D25" s="2012"/>
      <c r="E25" s="2012"/>
      <c r="F25" s="2012"/>
      <c r="G25" s="2012"/>
      <c r="H25" s="2013"/>
      <c r="I25" s="113"/>
      <c r="J25" s="2078"/>
      <c r="K25" s="2078"/>
      <c r="L25" s="2078"/>
      <c r="M25" s="2078"/>
      <c r="N25" s="2078"/>
      <c r="O25" s="2078"/>
      <c r="P25" s="2078"/>
      <c r="Q25" s="2078"/>
      <c r="R25" s="2078"/>
      <c r="S25" s="2079"/>
      <c r="T25" s="1971" t="s">
        <v>2083</v>
      </c>
      <c r="U25" s="1972"/>
      <c r="V25" s="1972"/>
      <c r="W25" s="1972"/>
      <c r="X25" s="1972"/>
      <c r="Y25" s="1972"/>
      <c r="Z25" s="1972"/>
      <c r="AA25" s="197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9" t="s">
        <v>1591</v>
      </c>
      <c r="J27" s="2042"/>
      <c r="K27" s="2042"/>
      <c r="L27" s="2042"/>
      <c r="M27" s="2042"/>
      <c r="N27" s="2042"/>
      <c r="O27" s="2042"/>
      <c r="P27" s="2042"/>
      <c r="Q27" s="2042"/>
      <c r="R27" s="2042"/>
      <c r="S27" s="204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2089</v>
      </c>
      <c r="M29" s="40" t="s">
        <v>101</v>
      </c>
      <c r="N29" s="32" t="s">
        <v>1604</v>
      </c>
      <c r="O29" s="32"/>
      <c r="P29" s="32"/>
      <c r="Q29" s="32"/>
      <c r="R29" s="32"/>
      <c r="S29" s="123"/>
      <c r="T29" s="6"/>
      <c r="U29" s="6"/>
      <c r="V29" s="6"/>
      <c r="W29" s="6"/>
      <c r="X29" s="6"/>
      <c r="Y29" s="6"/>
      <c r="Z29" s="6"/>
      <c r="AA29" s="132"/>
    </row>
    <row r="30" spans="1:27" ht="13.5" customHeight="1" x14ac:dyDescent="0.2">
      <c r="A30" s="153"/>
      <c r="B30" s="136" t="s">
        <v>2089</v>
      </c>
      <c r="C30" s="124" t="s">
        <v>1226</v>
      </c>
      <c r="D30" s="28"/>
      <c r="E30" s="28"/>
      <c r="F30" s="140"/>
      <c r="G30" s="114"/>
      <c r="H30" s="114"/>
      <c r="I30" s="54"/>
      <c r="J30" s="102"/>
      <c r="K30" s="28" t="s">
        <v>597</v>
      </c>
      <c r="L30" s="102" t="s">
        <v>2089</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2089</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5"/>
      <c r="Q35" s="2012"/>
      <c r="R35" s="201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4"/>
      <c r="B38" s="2044"/>
      <c r="C38" s="2044"/>
      <c r="D38" s="2044"/>
      <c r="E38" s="2044"/>
      <c r="F38" s="2012"/>
      <c r="G38" s="2012"/>
      <c r="H38" s="2013"/>
      <c r="I38" s="2063"/>
      <c r="J38" s="1983"/>
      <c r="K38" s="1983"/>
      <c r="L38" s="1983"/>
      <c r="M38" s="1983"/>
      <c r="N38" s="1983"/>
      <c r="O38" s="1983"/>
      <c r="P38" s="1984"/>
      <c r="Q38" s="1984"/>
      <c r="R38" s="1984"/>
      <c r="S38" s="1985"/>
      <c r="T38" s="1982"/>
      <c r="U38" s="1983"/>
      <c r="V38" s="1983"/>
      <c r="W38" s="1983"/>
      <c r="X38" s="1984"/>
      <c r="Y38" s="1984"/>
      <c r="Z38" s="1984"/>
      <c r="AA38" s="1985"/>
    </row>
    <row r="39" spans="1:27" ht="12" customHeight="1" x14ac:dyDescent="0.2">
      <c r="A39" s="2067" t="s">
        <v>552</v>
      </c>
      <c r="B39" s="2068"/>
      <c r="C39" s="72"/>
      <c r="D39" s="69"/>
      <c r="E39" s="69"/>
      <c r="F39" s="79"/>
      <c r="G39" s="69"/>
      <c r="H39" s="56"/>
      <c r="I39" s="2067" t="s">
        <v>552</v>
      </c>
      <c r="J39" s="2068"/>
      <c r="K39" s="2068"/>
      <c r="L39" s="2068"/>
      <c r="M39" s="2068"/>
      <c r="N39" s="67"/>
      <c r="O39" s="72"/>
      <c r="P39" s="72"/>
      <c r="Q39" s="78"/>
      <c r="R39" s="72"/>
      <c r="S39" s="56"/>
      <c r="T39" s="72" t="s">
        <v>552</v>
      </c>
      <c r="U39" s="51"/>
      <c r="V39" s="72"/>
      <c r="W39" s="50"/>
      <c r="X39" s="78"/>
      <c r="Y39" s="45"/>
      <c r="Z39" s="45"/>
      <c r="AA39" s="46"/>
    </row>
    <row r="40" spans="1:27" ht="13.5" customHeight="1" x14ac:dyDescent="0.2">
      <c r="A40" s="2070"/>
      <c r="B40" s="2071"/>
      <c r="C40" s="2072"/>
      <c r="D40" s="2072"/>
      <c r="E40" s="2072"/>
      <c r="F40" s="2073"/>
      <c r="G40" s="2073"/>
      <c r="H40" s="2074"/>
      <c r="I40" s="1986"/>
      <c r="J40" s="1988"/>
      <c r="K40" s="1988"/>
      <c r="L40" s="1988"/>
      <c r="M40" s="1988"/>
      <c r="N40" s="1988"/>
      <c r="O40" s="1988"/>
      <c r="P40" s="1988"/>
      <c r="Q40" s="1988"/>
      <c r="R40" s="1988"/>
      <c r="S40" s="1989"/>
      <c r="T40" s="1986"/>
      <c r="U40" s="1987"/>
      <c r="V40" s="1988"/>
      <c r="W40" s="1988"/>
      <c r="X40" s="1988"/>
      <c r="Y40" s="1988"/>
      <c r="Z40" s="1988"/>
      <c r="AA40" s="198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0"/>
      <c r="B42" s="2061"/>
      <c r="C42" s="2062"/>
      <c r="D42" s="2075"/>
      <c r="E42" s="2061"/>
      <c r="F42" s="2061"/>
      <c r="G42" s="2061"/>
      <c r="H42" s="2062"/>
      <c r="I42" s="1981"/>
      <c r="J42" s="1977"/>
      <c r="K42" s="1977"/>
      <c r="L42" s="1977"/>
      <c r="M42" s="1977"/>
      <c r="N42" s="1977"/>
      <c r="O42" s="1978"/>
      <c r="P42" s="1976"/>
      <c r="Q42" s="1977"/>
      <c r="R42" s="1977"/>
      <c r="S42" s="1978"/>
      <c r="T42" s="1981"/>
      <c r="U42" s="1977"/>
      <c r="V42" s="1977"/>
      <c r="W42" s="1978"/>
      <c r="X42" s="1976"/>
      <c r="Y42" s="1977"/>
      <c r="Z42" s="1977"/>
      <c r="AA42" s="197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4"/>
      <c r="B44" s="2065"/>
      <c r="C44" s="2065"/>
      <c r="D44" s="2065"/>
      <c r="E44" s="2065"/>
      <c r="F44" s="2065"/>
      <c r="G44" s="2065"/>
      <c r="H44" s="2066"/>
      <c r="I44" s="2056"/>
      <c r="J44" s="2058"/>
      <c r="K44" s="2058"/>
      <c r="L44" s="2058"/>
      <c r="M44" s="2058"/>
      <c r="N44" s="2058"/>
      <c r="O44" s="2058"/>
      <c r="P44" s="2058"/>
      <c r="Q44" s="2058"/>
      <c r="R44" s="2058"/>
      <c r="S44" s="2059"/>
      <c r="T44" s="2056"/>
      <c r="U44" s="2057"/>
      <c r="V44" s="2057"/>
      <c r="W44" s="2057"/>
      <c r="X44" s="2057"/>
      <c r="Y44" s="2057"/>
      <c r="Z44" s="2058"/>
      <c r="AA44" s="205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view="pageLayout" colorId="8" zoomScaleNormal="110" workbookViewId="0">
      <selection activeCell="G563" sqref="G563:J56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13" t="s">
        <v>1905</v>
      </c>
      <c r="B2" s="1550" t="s">
        <v>2037</v>
      </c>
      <c r="C2" s="715" t="s">
        <v>1910</v>
      </c>
      <c r="D2" s="715" t="s">
        <v>1911</v>
      </c>
      <c r="E2" s="715" t="s">
        <v>1912</v>
      </c>
      <c r="F2" s="715" t="s">
        <v>1913</v>
      </c>
    </row>
    <row r="3" spans="1:6" ht="12" customHeight="1" x14ac:dyDescent="0.2">
      <c r="A3" s="2214"/>
      <c r="B3" s="1547"/>
      <c r="C3" s="1548"/>
      <c r="D3" s="1549" t="s">
        <v>274</v>
      </c>
      <c r="E3" s="1548"/>
      <c r="F3" s="1549" t="s">
        <v>275</v>
      </c>
    </row>
    <row r="4" spans="1:6" ht="13.7" customHeight="1" x14ac:dyDescent="0.2">
      <c r="A4" s="716" t="s">
        <v>1217</v>
      </c>
      <c r="B4" s="1771">
        <f>'Revenues 9-14'!C5</f>
        <v>763756</v>
      </c>
      <c r="C4" s="1546"/>
      <c r="D4" s="1774">
        <f>B4-C4</f>
        <v>763756</v>
      </c>
      <c r="E4" s="1546">
        <v>793103</v>
      </c>
      <c r="F4" s="1774">
        <f>E4-C4</f>
        <v>793103</v>
      </c>
    </row>
    <row r="5" spans="1:6" ht="13.7" customHeight="1" x14ac:dyDescent="0.2">
      <c r="A5" s="716" t="s">
        <v>925</v>
      </c>
      <c r="B5" s="1772">
        <f>'Revenues 9-14'!D5</f>
        <v>98057</v>
      </c>
      <c r="C5" s="585"/>
      <c r="D5" s="1775">
        <f t="shared" ref="D5:D18" si="0">B5-C5</f>
        <v>98057</v>
      </c>
      <c r="E5" s="585">
        <v>101123</v>
      </c>
      <c r="F5" s="1775">
        <f>E5-C5</f>
        <v>101123</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9886</v>
      </c>
      <c r="C7" s="585"/>
      <c r="D7" s="1775">
        <f t="shared" si="0"/>
        <v>9886</v>
      </c>
      <c r="E7" s="585">
        <v>14377</v>
      </c>
      <c r="F7" s="1775">
        <f t="shared" si="1"/>
        <v>14377</v>
      </c>
    </row>
    <row r="8" spans="1:6" ht="13.7" customHeight="1" x14ac:dyDescent="0.2">
      <c r="A8" s="716" t="s">
        <v>1241</v>
      </c>
      <c r="B8" s="1772">
        <f>'Revenues 9-14'!G5</f>
        <v>990</v>
      </c>
      <c r="C8" s="585"/>
      <c r="D8" s="1775">
        <f t="shared" si="0"/>
        <v>990</v>
      </c>
      <c r="E8" s="585">
        <v>4463</v>
      </c>
      <c r="F8" s="1775">
        <f t="shared" si="1"/>
        <v>4463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10265</v>
      </c>
      <c r="C10" s="585"/>
      <c r="D10" s="1775">
        <f t="shared" si="0"/>
        <v>10265</v>
      </c>
      <c r="E10" s="585">
        <v>11254</v>
      </c>
      <c r="F10" s="1775">
        <f t="shared" si="1"/>
        <v>11254</v>
      </c>
    </row>
    <row r="11" spans="1:6" x14ac:dyDescent="0.2">
      <c r="A11" s="716" t="s">
        <v>429</v>
      </c>
      <c r="B11" s="1772">
        <f>'Revenues 9-14'!J5</f>
        <v>9887</v>
      </c>
      <c r="C11" s="585"/>
      <c r="D11" s="1775">
        <f t="shared" si="0"/>
        <v>9887</v>
      </c>
      <c r="E11" s="585">
        <v>10906</v>
      </c>
      <c r="F11" s="1775">
        <f t="shared" si="1"/>
        <v>10906</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27678</v>
      </c>
      <c r="C14" s="585"/>
      <c r="D14" s="1775">
        <f t="shared" si="0"/>
        <v>27678</v>
      </c>
      <c r="E14" s="585">
        <v>29746</v>
      </c>
      <c r="F14" s="1775">
        <f t="shared" si="1"/>
        <v>29746</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990</v>
      </c>
      <c r="C16" s="585"/>
      <c r="D16" s="1775">
        <f t="shared" si="0"/>
        <v>990</v>
      </c>
      <c r="E16" s="585">
        <v>4958</v>
      </c>
      <c r="F16" s="1775">
        <f t="shared" si="1"/>
        <v>4958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921509</v>
      </c>
      <c r="C19" s="1773">
        <f>SUM(C4:C18)</f>
        <v>0</v>
      </c>
      <c r="D19" s="1773">
        <f>SUM(D4:D18)</f>
        <v>921509</v>
      </c>
      <c r="E19" s="1773">
        <f>SUM(E4:E18)</f>
        <v>969930</v>
      </c>
      <c r="F19" s="1773">
        <f>SUM(F4:F18)</f>
        <v>969930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view="pageLayout" topLeftCell="A22" colorId="8" zoomScaleNormal="110" workbookViewId="0">
      <selection activeCell="G563" sqref="G563:J56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650</v>
      </c>
      <c r="B1" s="2220"/>
      <c r="C1" s="722"/>
    </row>
    <row r="2" spans="1:7" ht="33.75" x14ac:dyDescent="0.2">
      <c r="A2" s="2228" t="s">
        <v>1905</v>
      </c>
      <c r="B2" s="2229"/>
      <c r="C2" s="1907" t="s">
        <v>2038</v>
      </c>
      <c r="D2" s="724" t="s">
        <v>2045</v>
      </c>
      <c r="E2" s="724" t="s">
        <v>2046</v>
      </c>
      <c r="F2" s="1907" t="s">
        <v>2039</v>
      </c>
    </row>
    <row r="3" spans="1:7" ht="15.75" customHeight="1" x14ac:dyDescent="0.2">
      <c r="A3" s="2232" t="s">
        <v>1176</v>
      </c>
      <c r="B3" s="2233"/>
      <c r="C3" s="2221"/>
      <c r="D3" s="2222"/>
      <c r="E3" s="2222"/>
      <c r="F3" s="2223"/>
    </row>
    <row r="4" spans="1:7" ht="12.75" customHeight="1" thickBot="1" x14ac:dyDescent="0.25">
      <c r="A4" s="2230" t="s">
        <v>651</v>
      </c>
      <c r="B4" s="2231"/>
      <c r="C4" s="581"/>
      <c r="D4" s="581"/>
      <c r="E4" s="581"/>
      <c r="F4" s="1777">
        <f>SUM(C4+D4)-E4</f>
        <v>0</v>
      </c>
    </row>
    <row r="5" spans="1:7" ht="15.75" customHeight="1" thickTop="1" x14ac:dyDescent="0.2">
      <c r="A5" s="2215" t="s">
        <v>1172</v>
      </c>
      <c r="B5" s="2216"/>
      <c r="C5" s="2224"/>
      <c r="D5" s="2225"/>
      <c r="E5" s="2225"/>
      <c r="F5" s="2226"/>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7" t="s">
        <v>652</v>
      </c>
      <c r="B15" s="2218"/>
      <c r="C15" s="1777">
        <f>SUM(C6:C14)</f>
        <v>0</v>
      </c>
      <c r="D15" s="1777">
        <f>SUM(D6:D14)</f>
        <v>0</v>
      </c>
      <c r="E15" s="1777">
        <f>SUM(E6:E14)</f>
        <v>0</v>
      </c>
      <c r="F15" s="1777">
        <f>SUM(F6:F14)</f>
        <v>0</v>
      </c>
      <c r="G15" s="552"/>
    </row>
    <row r="16" spans="1:7" s="202" customFormat="1" ht="15.75" customHeight="1" thickTop="1" x14ac:dyDescent="0.2">
      <c r="A16" s="2227" t="s">
        <v>1173</v>
      </c>
      <c r="B16" s="2216"/>
      <c r="C16" s="2224"/>
      <c r="D16" s="2225"/>
      <c r="E16" s="2225"/>
      <c r="F16" s="2226"/>
    </row>
    <row r="17" spans="1:11" ht="12.75" customHeight="1" thickBot="1" x14ac:dyDescent="0.25">
      <c r="A17" s="2240" t="s">
        <v>66</v>
      </c>
      <c r="B17" s="2241"/>
      <c r="C17" s="727"/>
      <c r="D17" s="585"/>
      <c r="E17" s="727"/>
      <c r="F17" s="1777">
        <f>SUM(C17+D17)-E17</f>
        <v>0</v>
      </c>
    </row>
    <row r="18" spans="1:11" ht="12.75" customHeight="1" thickTop="1" thickBot="1" x14ac:dyDescent="0.25">
      <c r="A18" s="2240" t="s">
        <v>6</v>
      </c>
      <c r="B18" s="2241"/>
      <c r="C18" s="727"/>
      <c r="D18" s="585"/>
      <c r="E18" s="727"/>
      <c r="F18" s="1777">
        <f>SUM(C18+D18)-E18</f>
        <v>0</v>
      </c>
    </row>
    <row r="19" spans="1:11" ht="12.75" customHeight="1" thickTop="1" thickBot="1" x14ac:dyDescent="0.25">
      <c r="A19" s="2240" t="s">
        <v>406</v>
      </c>
      <c r="B19" s="2241"/>
      <c r="C19" s="727"/>
      <c r="D19" s="585"/>
      <c r="E19" s="727"/>
      <c r="F19" s="1777">
        <f>SUM(C19+D19)-E19</f>
        <v>0</v>
      </c>
    </row>
    <row r="20" spans="1:11" ht="12.75" customHeight="1" thickTop="1" thickBot="1" x14ac:dyDescent="0.25">
      <c r="A20" s="2240" t="s">
        <v>468</v>
      </c>
      <c r="B20" s="2241"/>
      <c r="C20" s="727"/>
      <c r="D20" s="585"/>
      <c r="E20" s="727"/>
      <c r="F20" s="1777">
        <f>SUM(C20+D20)-E20</f>
        <v>0</v>
      </c>
    </row>
    <row r="21" spans="1:11" ht="14.25" thickTop="1" thickBot="1" x14ac:dyDescent="0.25">
      <c r="A21" s="2217" t="s">
        <v>653</v>
      </c>
      <c r="B21" s="2218"/>
      <c r="C21" s="1777">
        <f>SUM(C17:C20)</f>
        <v>0</v>
      </c>
      <c r="D21" s="1777">
        <f>SUM(D17:D20)</f>
        <v>0</v>
      </c>
      <c r="E21" s="1777">
        <f>SUM(E17:E20)</f>
        <v>0</v>
      </c>
      <c r="F21" s="1777">
        <f>SUM(F17:F20)</f>
        <v>0</v>
      </c>
      <c r="G21" s="552"/>
    </row>
    <row r="22" spans="1:11" ht="15.75" customHeight="1" thickTop="1" x14ac:dyDescent="0.2">
      <c r="A22" s="2242" t="s">
        <v>1174</v>
      </c>
      <c r="B22" s="2216"/>
      <c r="C22" s="2224"/>
      <c r="D22" s="2225"/>
      <c r="E22" s="2225"/>
      <c r="F22" s="2226"/>
    </row>
    <row r="23" spans="1:11" ht="13.5" thickBot="1" x14ac:dyDescent="0.25">
      <c r="A23" s="2230" t="s">
        <v>654</v>
      </c>
      <c r="B23" s="2231"/>
      <c r="C23" s="581"/>
      <c r="D23" s="581"/>
      <c r="E23" s="581"/>
      <c r="F23" s="1777">
        <f>SUM(C23+D23)-E23</f>
        <v>0</v>
      </c>
      <c r="G23" s="552"/>
    </row>
    <row r="24" spans="1:11" ht="15.75" customHeight="1" thickTop="1" x14ac:dyDescent="0.2">
      <c r="A24" s="2242" t="s">
        <v>1175</v>
      </c>
      <c r="B24" s="2216"/>
      <c r="C24" s="2224"/>
      <c r="D24" s="2225"/>
      <c r="E24" s="2225"/>
      <c r="F24" s="2226"/>
    </row>
    <row r="25" spans="1:11" ht="13.5" thickBot="1" x14ac:dyDescent="0.25">
      <c r="A25" s="2230" t="s">
        <v>655</v>
      </c>
      <c r="B25" s="2231"/>
      <c r="C25" s="581"/>
      <c r="D25" s="581"/>
      <c r="E25" s="581"/>
      <c r="F25" s="1777">
        <f>SUM(C25+D25)-E25</f>
        <v>0</v>
      </c>
      <c r="G25" s="552"/>
    </row>
    <row r="26" spans="1:11" ht="15.75" customHeight="1" thickTop="1" x14ac:dyDescent="0.2">
      <c r="A26" s="2215" t="s">
        <v>678</v>
      </c>
      <c r="B26" s="2216"/>
      <c r="C26" s="728"/>
      <c r="D26" s="728"/>
      <c r="E26" s="728"/>
      <c r="F26" s="729"/>
    </row>
    <row r="27" spans="1:11" ht="13.5" thickBot="1" x14ac:dyDescent="0.25">
      <c r="A27" s="2217" t="s">
        <v>1130</v>
      </c>
      <c r="B27" s="2218"/>
      <c r="C27" s="585"/>
      <c r="D27" s="585"/>
      <c r="E27" s="585"/>
      <c r="F27" s="1777">
        <f>SUM(C27+D27)-E27</f>
        <v>0</v>
      </c>
      <c r="G27" s="552"/>
    </row>
    <row r="28" spans="1:11" ht="7.5" customHeight="1" thickTop="1" x14ac:dyDescent="0.2">
      <c r="A28" s="594"/>
    </row>
    <row r="29" spans="1:11" ht="23.25" customHeight="1" x14ac:dyDescent="0.2">
      <c r="A29" s="2243" t="s">
        <v>603</v>
      </c>
      <c r="B29" s="2220"/>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t="s">
        <v>3361</v>
      </c>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34" t="s">
        <v>605</v>
      </c>
      <c r="C52" s="2235"/>
      <c r="D52" s="2235"/>
      <c r="E52" s="750" t="s">
        <v>900</v>
      </c>
      <c r="F52" s="2236"/>
      <c r="G52" s="2237"/>
      <c r="H52" s="737"/>
      <c r="I52" s="737"/>
      <c r="J52" s="747"/>
    </row>
    <row r="53" spans="1:11" ht="11.25" customHeight="1" x14ac:dyDescent="0.2">
      <c r="A53" s="751" t="s">
        <v>969</v>
      </c>
      <c r="B53" s="752" t="s">
        <v>1008</v>
      </c>
      <c r="C53" s="747"/>
      <c r="D53" s="738"/>
      <c r="E53" s="750" t="s">
        <v>518</v>
      </c>
      <c r="F53" s="2238"/>
      <c r="G53" s="2239"/>
      <c r="H53" s="737"/>
      <c r="I53" s="737"/>
      <c r="J53" s="747"/>
    </row>
    <row r="54" spans="1:11" ht="11.25" customHeight="1" x14ac:dyDescent="0.2">
      <c r="A54" s="753" t="s">
        <v>970</v>
      </c>
      <c r="B54" s="748" t="s">
        <v>1009</v>
      </c>
      <c r="C54" s="747"/>
      <c r="D54" s="738"/>
      <c r="E54" s="750" t="s">
        <v>519</v>
      </c>
      <c r="F54" s="2238"/>
      <c r="G54" s="223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G563" sqref="G563:J56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8" t="s">
        <v>911</v>
      </c>
      <c r="B1" s="2269"/>
      <c r="C1" s="2269"/>
      <c r="D1" s="2269"/>
      <c r="E1" s="2269"/>
      <c r="F1" s="2269"/>
      <c r="G1" s="2270"/>
      <c r="H1" s="1552"/>
      <c r="I1" s="761"/>
      <c r="J1" s="433"/>
    </row>
    <row r="2" spans="1:11" ht="26.25" x14ac:dyDescent="0.2">
      <c r="A2" s="2247" t="s">
        <v>1776</v>
      </c>
      <c r="B2" s="2248"/>
      <c r="C2" s="2248"/>
      <c r="D2" s="2248"/>
      <c r="E2" s="2249"/>
      <c r="F2" s="762" t="s">
        <v>960</v>
      </c>
      <c r="G2" s="763" t="s">
        <v>1773</v>
      </c>
      <c r="H2" s="763" t="s">
        <v>430</v>
      </c>
      <c r="I2" s="763" t="s">
        <v>1220</v>
      </c>
      <c r="J2" s="763" t="s">
        <v>1919</v>
      </c>
      <c r="K2" s="763" t="s">
        <v>140</v>
      </c>
    </row>
    <row r="3" spans="1:11" x14ac:dyDescent="0.2">
      <c r="A3" s="2250" t="s">
        <v>1698</v>
      </c>
      <c r="B3" s="2251"/>
      <c r="C3" s="2251"/>
      <c r="D3" s="2251"/>
      <c r="E3" s="2252"/>
      <c r="F3" s="764"/>
      <c r="G3" s="765"/>
      <c r="H3" s="765"/>
      <c r="I3" s="765"/>
      <c r="J3" s="766"/>
      <c r="K3" s="766"/>
    </row>
    <row r="4" spans="1:11" x14ac:dyDescent="0.2">
      <c r="A4" s="2253" t="s">
        <v>387</v>
      </c>
      <c r="B4" s="2254"/>
      <c r="C4" s="2254"/>
      <c r="D4" s="2254"/>
      <c r="E4" s="2235"/>
      <c r="F4" s="767"/>
      <c r="G4" s="768"/>
      <c r="H4" s="769"/>
      <c r="I4" s="768"/>
      <c r="J4" s="770"/>
      <c r="K4" s="770"/>
    </row>
    <row r="5" spans="1:11" x14ac:dyDescent="0.2">
      <c r="A5" s="2271" t="s">
        <v>1129</v>
      </c>
      <c r="B5" s="2244"/>
      <c r="C5" s="2244"/>
      <c r="D5" s="2244"/>
      <c r="E5" s="2272"/>
      <c r="F5" s="771" t="s">
        <v>903</v>
      </c>
      <c r="G5" s="772"/>
      <c r="H5" s="765">
        <v>27678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71" t="s">
        <v>1920</v>
      </c>
      <c r="B10" s="2244"/>
      <c r="C10" s="2244"/>
      <c r="D10" s="2244"/>
      <c r="E10" s="2273"/>
      <c r="F10" s="784" t="s">
        <v>917</v>
      </c>
      <c r="G10" s="783"/>
      <c r="H10" s="785"/>
      <c r="I10" s="765"/>
      <c r="J10" s="766"/>
      <c r="K10" s="766"/>
    </row>
    <row r="11" spans="1:11" x14ac:dyDescent="0.2">
      <c r="A11" s="2271" t="s">
        <v>162</v>
      </c>
      <c r="B11" s="2244"/>
      <c r="C11" s="2244"/>
      <c r="D11" s="2244"/>
      <c r="E11" s="2272"/>
      <c r="F11" s="771" t="s">
        <v>907</v>
      </c>
      <c r="G11" s="772"/>
      <c r="H11" s="765"/>
      <c r="I11" s="765"/>
      <c r="J11" s="766"/>
      <c r="K11" s="774"/>
    </row>
    <row r="12" spans="1:11" ht="13.5" thickBot="1" x14ac:dyDescent="0.25">
      <c r="A12" s="2261" t="s">
        <v>961</v>
      </c>
      <c r="B12" s="2262"/>
      <c r="C12" s="2262"/>
      <c r="D12" s="2262"/>
      <c r="E12" s="2263"/>
      <c r="F12" s="1779"/>
      <c r="G12" s="1780">
        <f>SUM(G5:G11)</f>
        <v>0</v>
      </c>
      <c r="H12" s="1780">
        <f>SUM(H5:H11)</f>
        <v>27678</v>
      </c>
      <c r="I12" s="1780">
        <f>SUM(I5:I11)</f>
        <v>0</v>
      </c>
      <c r="J12" s="1780">
        <f>SUM(J5:J11)</f>
        <v>0</v>
      </c>
      <c r="K12" s="1780">
        <f>SUM(K5:K11)</f>
        <v>0</v>
      </c>
    </row>
    <row r="13" spans="1:11" ht="13.5" thickTop="1" x14ac:dyDescent="0.2">
      <c r="A13" s="2255" t="s">
        <v>388</v>
      </c>
      <c r="B13" s="2256"/>
      <c r="C13" s="2256"/>
      <c r="D13" s="2256"/>
      <c r="E13" s="2257"/>
      <c r="F13" s="786"/>
      <c r="G13" s="787"/>
      <c r="H13" s="788"/>
      <c r="I13" s="789"/>
      <c r="J13" s="789"/>
      <c r="K13" s="789"/>
    </row>
    <row r="14" spans="1:11" x14ac:dyDescent="0.2">
      <c r="A14" s="2277" t="s">
        <v>476</v>
      </c>
      <c r="B14" s="2277"/>
      <c r="C14" s="2277"/>
      <c r="D14" s="2277"/>
      <c r="E14" s="2278"/>
      <c r="F14" s="790" t="s">
        <v>909</v>
      </c>
      <c r="G14" s="783"/>
      <c r="H14" s="765">
        <v>27678</v>
      </c>
      <c r="I14" s="772"/>
      <c r="J14" s="774"/>
      <c r="K14" s="766"/>
    </row>
    <row r="15" spans="1:11" x14ac:dyDescent="0.2">
      <c r="A15" s="2244" t="s">
        <v>4</v>
      </c>
      <c r="B15" s="2244"/>
      <c r="C15" s="2244"/>
      <c r="D15" s="2244"/>
      <c r="E15" s="2272"/>
      <c r="F15" s="790" t="s">
        <v>910</v>
      </c>
      <c r="G15" s="772"/>
      <c r="H15" s="765"/>
      <c r="I15" s="765"/>
      <c r="J15" s="766"/>
      <c r="K15" s="766"/>
    </row>
    <row r="16" spans="1:11" x14ac:dyDescent="0.2">
      <c r="A16" s="2244" t="s">
        <v>316</v>
      </c>
      <c r="B16" s="2244"/>
      <c r="C16" s="2244"/>
      <c r="D16" s="2244"/>
      <c r="E16" s="2272"/>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58" t="s">
        <v>386</v>
      </c>
      <c r="B18" s="2259"/>
      <c r="C18" s="2259"/>
      <c r="D18" s="2259"/>
      <c r="E18" s="2260"/>
      <c r="F18" s="790" t="s">
        <v>989</v>
      </c>
      <c r="G18" s="783"/>
      <c r="H18" s="783"/>
      <c r="I18" s="783"/>
      <c r="J18" s="766"/>
      <c r="K18" s="796"/>
    </row>
    <row r="19" spans="1:11" ht="21.75" customHeight="1" x14ac:dyDescent="0.2">
      <c r="A19" s="2279" t="s">
        <v>1916</v>
      </c>
      <c r="B19" s="2279"/>
      <c r="C19" s="2279"/>
      <c r="D19" s="2279"/>
      <c r="E19" s="2280"/>
      <c r="F19" s="790" t="s">
        <v>990</v>
      </c>
      <c r="G19" s="783"/>
      <c r="H19" s="783"/>
      <c r="I19" s="783"/>
      <c r="J19" s="766"/>
      <c r="K19" s="796"/>
    </row>
    <row r="20" spans="1:11" x14ac:dyDescent="0.2">
      <c r="A20" s="2258" t="s">
        <v>1921</v>
      </c>
      <c r="B20" s="2259"/>
      <c r="C20" s="2259"/>
      <c r="D20" s="2259"/>
      <c r="E20" s="2260"/>
      <c r="F20" s="790" t="s">
        <v>991</v>
      </c>
      <c r="G20" s="783"/>
      <c r="H20" s="783"/>
      <c r="I20" s="783"/>
      <c r="J20" s="766"/>
      <c r="K20" s="796"/>
    </row>
    <row r="21" spans="1:11" ht="13.5" thickBot="1" x14ac:dyDescent="0.25">
      <c r="A21" s="2264" t="s">
        <v>659</v>
      </c>
      <c r="B21" s="2264"/>
      <c r="C21" s="2264"/>
      <c r="D21" s="2264"/>
      <c r="E21" s="2264"/>
      <c r="F21" s="1781"/>
      <c r="G21" s="793"/>
      <c r="H21" s="797"/>
      <c r="I21" s="797"/>
      <c r="J21" s="1782">
        <f>SUM(J18:J20)</f>
        <v>0</v>
      </c>
      <c r="K21" s="794"/>
    </row>
    <row r="22" spans="1:11" ht="13.5" thickTop="1" x14ac:dyDescent="0.2">
      <c r="A22" s="2244" t="s">
        <v>1922</v>
      </c>
      <c r="B22" s="2244"/>
      <c r="C22" s="2244"/>
      <c r="D22" s="2244"/>
      <c r="E22" s="2272"/>
      <c r="F22" s="790" t="s">
        <v>917</v>
      </c>
      <c r="G22" s="783"/>
      <c r="H22" s="765"/>
      <c r="I22" s="765"/>
      <c r="J22" s="798"/>
      <c r="K22" s="766"/>
    </row>
    <row r="23" spans="1:11" ht="13.5" thickBot="1" x14ac:dyDescent="0.25">
      <c r="A23" s="2265" t="s">
        <v>962</v>
      </c>
      <c r="B23" s="2264"/>
      <c r="C23" s="2264"/>
      <c r="D23" s="2264"/>
      <c r="E23" s="2264"/>
      <c r="F23" s="1783"/>
      <c r="G23" s="1780">
        <f>SUM(G14:G16,G21,G22)</f>
        <v>0</v>
      </c>
      <c r="H23" s="1780">
        <f>SUM(H14:H16,H21,H22)</f>
        <v>27678</v>
      </c>
      <c r="I23" s="1780">
        <f>SUM(I14:I16,I21,I22)</f>
        <v>0</v>
      </c>
      <c r="J23" s="1780">
        <f>SUM(J14:J16,J21,J22)</f>
        <v>0</v>
      </c>
      <c r="K23" s="1780">
        <f>SUM(K14:K16,K21,K22)</f>
        <v>0</v>
      </c>
    </row>
    <row r="24" spans="1:11" ht="14.25" thickTop="1" thickBot="1" x14ac:dyDescent="0.25">
      <c r="A24" s="2265" t="s">
        <v>2026</v>
      </c>
      <c r="B24" s="2264"/>
      <c r="C24" s="2264"/>
      <c r="D24" s="2264"/>
      <c r="E24" s="226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74"/>
      <c r="I31" s="2275"/>
      <c r="J31" s="2275"/>
      <c r="K31" s="2275"/>
    </row>
    <row r="32" spans="1:11" x14ac:dyDescent="0.2">
      <c r="A32" s="810"/>
      <c r="B32" s="237"/>
      <c r="C32" s="237"/>
      <c r="D32" s="237"/>
      <c r="E32" s="806"/>
      <c r="F32" s="812" t="s">
        <v>561</v>
      </c>
      <c r="G32" s="765"/>
      <c r="H32" s="2276"/>
      <c r="I32" s="2275"/>
      <c r="J32" s="2275"/>
      <c r="K32" s="2275"/>
    </row>
    <row r="33" spans="1:11" ht="1.5" customHeight="1" x14ac:dyDescent="0.2">
      <c r="A33" s="813" t="s">
        <v>1231</v>
      </c>
      <c r="B33" s="364"/>
      <c r="C33" s="364"/>
      <c r="D33" s="364"/>
      <c r="E33" s="364"/>
      <c r="F33" s="364"/>
      <c r="G33" s="814"/>
      <c r="H33" s="2276"/>
      <c r="I33" s="2275"/>
      <c r="J33" s="2275"/>
      <c r="K33" s="2275"/>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4" t="s">
        <v>562</v>
      </c>
      <c r="B41" s="2245"/>
      <c r="C41" s="2245"/>
      <c r="D41" s="2245"/>
      <c r="E41" s="2245"/>
      <c r="F41" s="224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G563" sqref="G563:J56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3" t="s">
        <v>2035</v>
      </c>
      <c r="B1" s="2284"/>
      <c r="C1" s="2285"/>
      <c r="D1" s="827"/>
      <c r="E1" s="828"/>
      <c r="F1" s="828"/>
      <c r="G1" s="829"/>
      <c r="H1" s="830"/>
      <c r="I1" s="831"/>
      <c r="J1" s="2281"/>
      <c r="K1" s="2282"/>
      <c r="L1" s="2282"/>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166496</v>
      </c>
      <c r="D5" s="842"/>
      <c r="E5" s="842"/>
      <c r="F5" s="1782">
        <f>(C5+D5)-E5</f>
        <v>166496</v>
      </c>
      <c r="G5" s="838"/>
      <c r="H5" s="843"/>
      <c r="I5" s="843"/>
      <c r="J5" s="843"/>
      <c r="K5" s="794"/>
      <c r="L5" s="1791">
        <f>F5-K5</f>
        <v>166496</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3101603</v>
      </c>
      <c r="D8" s="845">
        <v>25720</v>
      </c>
      <c r="E8" s="845"/>
      <c r="F8" s="1782">
        <f>(C8+D8)-E8</f>
        <v>3127323</v>
      </c>
      <c r="G8" s="844">
        <v>50</v>
      </c>
      <c r="H8" s="766">
        <v>1023393</v>
      </c>
      <c r="I8" s="766">
        <v>53645</v>
      </c>
      <c r="J8" s="766"/>
      <c r="K8" s="1791">
        <f>(H8+I8)-J8</f>
        <v>1077038</v>
      </c>
      <c r="L8" s="1791">
        <f>F8-K8</f>
        <v>2050285</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74490</v>
      </c>
      <c r="D10" s="847"/>
      <c r="E10" s="847"/>
      <c r="F10" s="1786">
        <f>(C10+D10)-E10</f>
        <v>74490</v>
      </c>
      <c r="G10" s="844">
        <v>20</v>
      </c>
      <c r="H10" s="848">
        <v>48190</v>
      </c>
      <c r="I10" s="848">
        <v>5601</v>
      </c>
      <c r="J10" s="848"/>
      <c r="K10" s="1791">
        <f>(H10+I10)-J10</f>
        <v>53791</v>
      </c>
      <c r="L10" s="1791">
        <f>F10-K10</f>
        <v>20699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191674</v>
      </c>
      <c r="D12" s="845">
        <v>79104</v>
      </c>
      <c r="E12" s="845">
        <v>6168</v>
      </c>
      <c r="F12" s="1782">
        <f>(C12+D12)-E12</f>
        <v>264610</v>
      </c>
      <c r="G12" s="844">
        <v>10</v>
      </c>
      <c r="H12" s="766">
        <v>93231</v>
      </c>
      <c r="I12" s="766">
        <v>26462</v>
      </c>
      <c r="J12" s="766">
        <v>6168</v>
      </c>
      <c r="K12" s="1791">
        <f>(H12+I12)-J12</f>
        <v>113525</v>
      </c>
      <c r="L12" s="1791">
        <f>F12-K12</f>
        <v>151085</v>
      </c>
    </row>
    <row r="13" spans="1:14" ht="14.25" thickTop="1" thickBot="1" x14ac:dyDescent="0.25">
      <c r="A13" s="849" t="s">
        <v>1184</v>
      </c>
      <c r="B13" s="841">
        <v>252</v>
      </c>
      <c r="C13" s="845">
        <v>19630</v>
      </c>
      <c r="D13" s="845"/>
      <c r="E13" s="845"/>
      <c r="F13" s="1782">
        <f>(C13+D13)-E13</f>
        <v>19630</v>
      </c>
      <c r="G13" s="844">
        <v>5</v>
      </c>
      <c r="H13" s="766">
        <v>7852</v>
      </c>
      <c r="I13" s="766">
        <v>3926</v>
      </c>
      <c r="J13" s="766"/>
      <c r="K13" s="1791">
        <f>(H13+I13)-J13</f>
        <v>11778</v>
      </c>
      <c r="L13" s="1791">
        <f>F13-K13</f>
        <v>7852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3553893</v>
      </c>
      <c r="D16" s="1782">
        <f>SUM(D3,D5:D6,D8:D10,D12:D15)</f>
        <v>104824</v>
      </c>
      <c r="E16" s="1782">
        <f>SUM(E3,E5:E6,E8:E10,E12:E15)</f>
        <v>6168</v>
      </c>
      <c r="F16" s="1782">
        <f>SUM(F3,F5:F6,F8:F10,F12:F15)</f>
        <v>3652549</v>
      </c>
      <c r="G16" s="844"/>
      <c r="H16" s="1782">
        <f>SUM(H3,H6,H8:H10,H12:H14,)</f>
        <v>1172666</v>
      </c>
      <c r="I16" s="1782">
        <f>SUM(I3,I6,I8:I10,I12:I14,)</f>
        <v>89634</v>
      </c>
      <c r="J16" s="1782">
        <f>SUM(J3,J6,J8:J10,J12:J14,)</f>
        <v>6168</v>
      </c>
      <c r="K16" s="1782">
        <f>(H16+I16)-J16</f>
        <v>1256132</v>
      </c>
      <c r="L16" s="1782">
        <f>F16-K16</f>
        <v>2396417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200</v>
      </c>
      <c r="G17" s="838">
        <v>10</v>
      </c>
      <c r="H17" s="770"/>
      <c r="I17" s="1791">
        <f>F17/G17</f>
        <v>20</v>
      </c>
      <c r="J17" s="770"/>
      <c r="K17" s="796"/>
      <c r="L17" s="796"/>
    </row>
    <row r="18" spans="1:12" ht="14.25" thickTop="1" thickBot="1" x14ac:dyDescent="0.25">
      <c r="A18" s="1789" t="s">
        <v>706</v>
      </c>
      <c r="B18" s="1790"/>
      <c r="C18" s="772"/>
      <c r="D18" s="772"/>
      <c r="E18" s="772"/>
      <c r="F18" s="851"/>
      <c r="G18" s="852"/>
      <c r="H18" s="774"/>
      <c r="I18" s="1782">
        <f>SUM(I16,I17)</f>
        <v>89654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7" activePane="bottomLeft" state="frozen"/>
      <selection activeCell="G563" sqref="G563:J563"/>
      <selection pane="bottomLeft" activeCell="C87" sqref="C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9" t="s">
        <v>1699</v>
      </c>
      <c r="B1" s="2290"/>
      <c r="C1" s="2290"/>
      <c r="D1" s="2290"/>
      <c r="E1" s="2290"/>
      <c r="F1" s="2291"/>
      <c r="G1" s="856"/>
    </row>
    <row r="2" spans="1:7" ht="15" customHeight="1" thickBot="1" x14ac:dyDescent="0.25">
      <c r="A2" s="2292" t="s">
        <v>498</v>
      </c>
      <c r="B2" s="2293"/>
      <c r="C2" s="2293"/>
      <c r="D2" s="2293"/>
      <c r="E2" s="2293"/>
      <c r="F2" s="229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5"/>
      <c r="B5" s="2296"/>
      <c r="C5" s="2296"/>
      <c r="D5" s="2296"/>
      <c r="E5" s="2296"/>
      <c r="F5" s="2296"/>
    </row>
    <row r="6" spans="1:7" ht="13.5" customHeight="1" thickBot="1" x14ac:dyDescent="0.25">
      <c r="A6" s="2286" t="s">
        <v>1166</v>
      </c>
      <c r="B6" s="2287"/>
      <c r="C6" s="2287"/>
      <c r="D6" s="2287"/>
      <c r="E6" s="2287"/>
      <c r="F6" s="228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1494103</v>
      </c>
      <c r="G8" s="866"/>
    </row>
    <row r="9" spans="1:7" x14ac:dyDescent="0.2">
      <c r="A9" s="870" t="s">
        <v>480</v>
      </c>
      <c r="B9" s="871" t="s">
        <v>1989</v>
      </c>
      <c r="C9" s="872"/>
      <c r="D9" s="870" t="s">
        <v>522</v>
      </c>
      <c r="E9" s="869"/>
      <c r="F9" s="1933">
        <f>'Expenditures 15-22'!K151</f>
        <v>240396</v>
      </c>
      <c r="G9" s="873"/>
    </row>
    <row r="10" spans="1:7" x14ac:dyDescent="0.2">
      <c r="A10" s="870" t="s">
        <v>520</v>
      </c>
      <c r="B10" s="871" t="s">
        <v>1990</v>
      </c>
      <c r="C10" s="872"/>
      <c r="D10" s="870" t="s">
        <v>522</v>
      </c>
      <c r="E10" s="869"/>
      <c r="F10" s="1933">
        <f>'Expenditures 15-22'!K174</f>
        <v>0</v>
      </c>
      <c r="G10" s="873"/>
    </row>
    <row r="11" spans="1:7" x14ac:dyDescent="0.2">
      <c r="A11" s="870" t="s">
        <v>481</v>
      </c>
      <c r="B11" s="871" t="s">
        <v>1991</v>
      </c>
      <c r="C11" s="872"/>
      <c r="D11" s="870" t="s">
        <v>522</v>
      </c>
      <c r="E11" s="869"/>
      <c r="F11" s="1933">
        <f>'Expenditures 15-22'!K210</f>
        <v>137547</v>
      </c>
      <c r="G11" s="873"/>
    </row>
    <row r="12" spans="1:7" x14ac:dyDescent="0.2">
      <c r="A12" s="870" t="s">
        <v>482</v>
      </c>
      <c r="B12" s="871" t="s">
        <v>1992</v>
      </c>
      <c r="C12" s="872"/>
      <c r="D12" s="870" t="s">
        <v>522</v>
      </c>
      <c r="E12" s="869"/>
      <c r="F12" s="1933">
        <f>'Expenditures 15-22'!K295</f>
        <v>52376</v>
      </c>
      <c r="G12" s="873"/>
    </row>
    <row r="13" spans="1:7" x14ac:dyDescent="0.2">
      <c r="A13" s="870" t="s">
        <v>108</v>
      </c>
      <c r="B13" s="871" t="s">
        <v>1993</v>
      </c>
      <c r="C13" s="872"/>
      <c r="D13" s="870" t="s">
        <v>522</v>
      </c>
      <c r="E13" s="869"/>
      <c r="F13" s="1933">
        <f>'Expenditures 15-22'!K342</f>
        <v>108296</v>
      </c>
      <c r="G13" s="874"/>
    </row>
    <row r="14" spans="1:7" ht="12" customHeight="1" thickBot="1" x14ac:dyDescent="0.25">
      <c r="A14" s="1792"/>
      <c r="B14" s="1793"/>
      <c r="C14" s="1794"/>
      <c r="D14" s="1795" t="s">
        <v>522</v>
      </c>
      <c r="E14" s="1796" t="s">
        <v>1015</v>
      </c>
      <c r="F14" s="1797">
        <f>SUM(F8:F13)</f>
        <v>2032718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39411</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425</v>
      </c>
      <c r="G52" s="866"/>
    </row>
    <row r="53" spans="1:7" x14ac:dyDescent="0.2">
      <c r="A53" s="870" t="s">
        <v>479</v>
      </c>
      <c r="B53" s="870" t="s">
        <v>1551</v>
      </c>
      <c r="C53" s="890">
        <f>'Expenditures 15-22'!B102</f>
        <v>4000</v>
      </c>
      <c r="D53" s="889" t="str">
        <f>'Expenditures 15-22'!A102</f>
        <v>Total Payments to Other Govt Units</v>
      </c>
      <c r="E53" s="869"/>
      <c r="F53" s="1937">
        <f>'Expenditures 15-22'!K102</f>
        <v>88837</v>
      </c>
      <c r="G53" s="866"/>
    </row>
    <row r="54" spans="1:7" x14ac:dyDescent="0.2">
      <c r="A54" s="870" t="s">
        <v>479</v>
      </c>
      <c r="B54" s="870" t="s">
        <v>1552</v>
      </c>
      <c r="C54" s="890" t="s">
        <v>1039</v>
      </c>
      <c r="D54" s="886" t="s">
        <v>1157</v>
      </c>
      <c r="E54" s="869"/>
      <c r="F54" s="1937">
        <f>'Expenditures 15-22'!G114</f>
        <v>60659</v>
      </c>
      <c r="G54" s="866"/>
    </row>
    <row r="55" spans="1:7" x14ac:dyDescent="0.2">
      <c r="A55" s="870" t="s">
        <v>479</v>
      </c>
      <c r="B55" s="870" t="s">
        <v>1553</v>
      </c>
      <c r="C55" s="890" t="s">
        <v>1039</v>
      </c>
      <c r="D55" s="886" t="s">
        <v>309</v>
      </c>
      <c r="E55" s="869"/>
      <c r="F55" s="1937">
        <f>'Expenditures 15-22'!I114</f>
        <v>200</v>
      </c>
      <c r="G55" s="866"/>
    </row>
    <row r="56" spans="1:7" x14ac:dyDescent="0.2">
      <c r="A56" s="870" t="s">
        <v>480</v>
      </c>
      <c r="B56" s="870" t="s">
        <v>1554</v>
      </c>
      <c r="C56" s="887" t="str">
        <f>'Expenditures 15-22'!B130</f>
        <v>3000</v>
      </c>
      <c r="D56" s="893" t="s">
        <v>469</v>
      </c>
      <c r="E56" s="869"/>
      <c r="F56" s="1937">
        <f>'Expenditures 15-22'!K130-SUM('Expenditures 15-22'!G130+'Expenditures 15-22'!I130)</f>
        <v>27526</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43422</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0</v>
      </c>
      <c r="G64" s="866"/>
    </row>
    <row r="65" spans="1:8" x14ac:dyDescent="0.2">
      <c r="A65" s="870" t="s">
        <v>481</v>
      </c>
      <c r="B65" s="870" t="s">
        <v>2002</v>
      </c>
      <c r="C65" s="887" t="s">
        <v>1039</v>
      </c>
      <c r="D65" s="886" t="s">
        <v>1157</v>
      </c>
      <c r="E65" s="869"/>
      <c r="F65" s="1937">
        <f>'Expenditures 15-22'!G210</f>
        <v>742</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1841</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2116</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265179</v>
      </c>
      <c r="G76" s="866"/>
    </row>
    <row r="77" spans="1:8" s="894" customFormat="1" ht="12" customHeight="1" thickTop="1" thickBot="1" x14ac:dyDescent="0.25">
      <c r="A77" s="1801"/>
      <c r="B77" s="1798"/>
      <c r="C77" s="1794"/>
      <c r="D77" s="1799" t="s">
        <v>2012</v>
      </c>
      <c r="E77" s="1796"/>
      <c r="F77" s="1802">
        <f>(F14-F76)</f>
        <v>1767539</v>
      </c>
      <c r="G77" s="870"/>
    </row>
    <row r="78" spans="1:8" s="894" customFormat="1" ht="12" customHeight="1" thickTop="1" x14ac:dyDescent="0.2">
      <c r="A78" s="1803"/>
      <c r="B78" s="1798"/>
      <c r="C78" s="1794"/>
      <c r="D78" s="1799" t="s">
        <v>2059</v>
      </c>
      <c r="E78" s="1796"/>
      <c r="F78" s="899">
        <v>120.96</v>
      </c>
      <c r="G78" s="900"/>
      <c r="H78" s="870"/>
    </row>
    <row r="79" spans="1:8" s="894" customFormat="1" ht="12" customHeight="1" thickBot="1" x14ac:dyDescent="0.25">
      <c r="A79" s="1804"/>
      <c r="B79" s="1798"/>
      <c r="C79" s="1794"/>
      <c r="D79" s="1799" t="s">
        <v>2013</v>
      </c>
      <c r="E79" s="1796" t="s">
        <v>1015</v>
      </c>
      <c r="F79" s="1805">
        <f>IF(F78&gt;0,F77/F78," Complete Line 78")</f>
        <v>14612.590939153441</v>
      </c>
      <c r="G79" s="870"/>
    </row>
    <row r="80" spans="1:8" s="894" customFormat="1" ht="8.25" customHeight="1" thickTop="1" x14ac:dyDescent="0.2">
      <c r="A80" s="901"/>
      <c r="B80" s="870"/>
      <c r="C80" s="872"/>
      <c r="D80" s="902"/>
      <c r="E80" s="869"/>
      <c r="F80" s="903"/>
      <c r="G80" s="870"/>
    </row>
    <row r="81" spans="1:7" s="894" customFormat="1" ht="12" thickBot="1" x14ac:dyDescent="0.25">
      <c r="A81" s="2286" t="s">
        <v>1167</v>
      </c>
      <c r="B81" s="2287"/>
      <c r="C81" s="2287"/>
      <c r="D81" s="2287"/>
      <c r="E81" s="2287"/>
      <c r="F81" s="228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12453</v>
      </c>
      <c r="G94" s="913"/>
    </row>
    <row r="95" spans="1:7" x14ac:dyDescent="0.2">
      <c r="A95" s="909" t="s">
        <v>142</v>
      </c>
      <c r="B95" s="909" t="s">
        <v>177</v>
      </c>
      <c r="C95" s="911">
        <v>1700</v>
      </c>
      <c r="D95" s="919" t="str">
        <f>'Revenues 9-14'!A82</f>
        <v>Total District/School Activity Income</v>
      </c>
      <c r="E95" s="907"/>
      <c r="F95" s="1811">
        <f>SUM('Revenues 9-14'!C82,'Revenues 9-14'!D82)</f>
        <v>14452</v>
      </c>
      <c r="G95" s="913"/>
    </row>
    <row r="96" spans="1:7" x14ac:dyDescent="0.2">
      <c r="A96" s="909" t="s">
        <v>479</v>
      </c>
      <c r="B96" s="909" t="s">
        <v>178</v>
      </c>
      <c r="C96" s="911">
        <f>'Revenues 9-14'!B84</f>
        <v>1811</v>
      </c>
      <c r="D96" s="912" t="str">
        <f>'Revenues 9-14'!A84</f>
        <v>Rentals - Regular Textbooks</v>
      </c>
      <c r="E96" s="907"/>
      <c r="F96" s="1811">
        <f>'Revenues 9-14'!C84</f>
        <v>2060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16162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636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78029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34416</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37631</v>
      </c>
      <c r="G129" s="931"/>
    </row>
    <row r="130" spans="1:7" x14ac:dyDescent="0.2">
      <c r="A130" s="928" t="s">
        <v>689</v>
      </c>
      <c r="B130" s="928" t="s">
        <v>804</v>
      </c>
      <c r="C130" s="933">
        <v>4300</v>
      </c>
      <c r="D130" s="934" t="str">
        <f>'Revenues 9-14'!A211</f>
        <v>Total Title I</v>
      </c>
      <c r="E130" s="907"/>
      <c r="F130" s="1811">
        <f>SUM('Revenues 9-14'!C211,'Revenues 9-14'!D211,'Revenues 9-14'!F211,'Revenues 9-14'!G211)</f>
        <v>87164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8285.99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291288.99</v>
      </c>
    </row>
    <row r="179" spans="1:7" ht="12" customHeight="1" x14ac:dyDescent="0.2">
      <c r="A179" s="1792"/>
      <c r="B179" s="1806"/>
      <c r="C179" s="1807"/>
      <c r="D179" s="1808" t="s">
        <v>2015</v>
      </c>
      <c r="E179" s="1809"/>
      <c r="F179" s="1811">
        <f>'PCTC-OEPP 27-28'!F77-F178</f>
        <v>1476250.01</v>
      </c>
    </row>
    <row r="180" spans="1:7" ht="12" customHeight="1" x14ac:dyDescent="0.2">
      <c r="A180" s="1792"/>
      <c r="B180" s="1806"/>
      <c r="C180" s="1807"/>
      <c r="D180" s="1808" t="s">
        <v>1924</v>
      </c>
      <c r="E180" s="1809"/>
      <c r="F180" s="1811">
        <f>'Cap Outlay Deprec 26'!I18</f>
        <v>89654</v>
      </c>
    </row>
    <row r="181" spans="1:7" ht="12" customHeight="1" x14ac:dyDescent="0.2">
      <c r="A181" s="1792"/>
      <c r="B181" s="1806"/>
      <c r="C181" s="1807"/>
      <c r="D181" s="1808" t="s">
        <v>2016</v>
      </c>
      <c r="E181" s="1809"/>
      <c r="F181" s="1811">
        <f>F179+F180</f>
        <v>1565904.01</v>
      </c>
    </row>
    <row r="182" spans="1:7" ht="12" customHeight="1" x14ac:dyDescent="0.2">
      <c r="A182" s="1792"/>
      <c r="B182" s="1812"/>
      <c r="C182" s="1807"/>
      <c r="D182" s="1808" t="str">
        <f>D78</f>
        <v>9 Month ADA from District Average Daily Attendance/Prior General State Aid Inquiry 2017-2018</v>
      </c>
      <c r="E182" s="1809"/>
      <c r="F182" s="1813">
        <f>'PCTC-OEPP 27-28'!F78</f>
        <v>120.96</v>
      </c>
      <c r="G182" s="931"/>
    </row>
    <row r="183" spans="1:7" ht="12" customHeight="1" thickBot="1" x14ac:dyDescent="0.25">
      <c r="A183" s="1792"/>
      <c r="B183" s="1812"/>
      <c r="C183" s="1807"/>
      <c r="D183" s="1808" t="s">
        <v>2017</v>
      </c>
      <c r="E183" s="1809" t="s">
        <v>1626</v>
      </c>
      <c r="F183" s="1814">
        <f>F181/F182</f>
        <v>12945.635003306879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0" zoomScaleNormal="100" workbookViewId="0">
      <selection activeCell="D26" sqref="D26"/>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00" t="s">
        <v>1925</v>
      </c>
      <c r="B4" s="2301"/>
      <c r="C4" s="2301"/>
      <c r="D4" s="2301"/>
      <c r="E4" s="2301"/>
      <c r="F4" s="2301"/>
      <c r="G4" s="2302"/>
    </row>
    <row r="5" spans="1:7" x14ac:dyDescent="0.25">
      <c r="A5" s="2303"/>
      <c r="B5" s="2304"/>
      <c r="C5" s="2304"/>
      <c r="D5" s="2304"/>
      <c r="E5" s="2304"/>
      <c r="F5" s="2304"/>
      <c r="G5" s="2305"/>
    </row>
    <row r="6" spans="1:7" ht="18.75" x14ac:dyDescent="0.25">
      <c r="A6" s="1556" t="s">
        <v>1926</v>
      </c>
      <c r="B6" s="1557"/>
      <c r="C6" s="1557"/>
      <c r="D6" s="1557"/>
      <c r="E6" s="1557"/>
      <c r="F6" s="1557"/>
      <c r="G6" s="1558"/>
    </row>
    <row r="7" spans="1:7" ht="30.75" customHeight="1" x14ac:dyDescent="0.25">
      <c r="A7" s="2306" t="s">
        <v>2075</v>
      </c>
      <c r="B7" s="2307"/>
      <c r="C7" s="2307"/>
      <c r="D7" s="2307"/>
      <c r="E7" s="2307"/>
      <c r="F7" s="2307"/>
      <c r="G7" s="2308"/>
    </row>
    <row r="8" spans="1:7" ht="15.75" customHeight="1" x14ac:dyDescent="0.25">
      <c r="A8" s="2309" t="s">
        <v>2024</v>
      </c>
      <c r="B8" s="2310"/>
      <c r="C8" s="2310"/>
      <c r="D8" s="2310"/>
      <c r="E8" s="2310"/>
      <c r="F8" s="2310"/>
      <c r="G8" s="2311"/>
    </row>
    <row r="9" spans="1:7" ht="35.25" customHeight="1" x14ac:dyDescent="0.25">
      <c r="A9" s="2306" t="s">
        <v>2023</v>
      </c>
      <c r="B9" s="2307"/>
      <c r="C9" s="2307"/>
      <c r="D9" s="2307"/>
      <c r="E9" s="2307"/>
      <c r="F9" s="2307"/>
      <c r="G9" s="2308"/>
    </row>
    <row r="10" spans="1:7" ht="15" customHeight="1" x14ac:dyDescent="0.25">
      <c r="A10" s="1559" t="s">
        <v>1927</v>
      </c>
      <c r="B10" s="1560"/>
      <c r="C10" s="1560"/>
      <c r="D10" s="1560"/>
      <c r="E10" s="1560"/>
      <c r="F10" s="1560"/>
      <c r="G10" s="1561"/>
    </row>
    <row r="11" spans="1:7" ht="17.25" customHeight="1" x14ac:dyDescent="0.25">
      <c r="A11" s="2306" t="s">
        <v>1941</v>
      </c>
      <c r="B11" s="2307"/>
      <c r="C11" s="2307"/>
      <c r="D11" s="2307"/>
      <c r="E11" s="2307"/>
      <c r="F11" s="2307"/>
      <c r="G11" s="2308"/>
    </row>
    <row r="12" spans="1:7" ht="15" customHeight="1" x14ac:dyDescent="0.25">
      <c r="A12" s="1559" t="s">
        <v>1932</v>
      </c>
      <c r="B12" s="1560"/>
      <c r="C12" s="1560"/>
      <c r="D12" s="1560"/>
      <c r="E12" s="1560"/>
      <c r="F12" s="1560"/>
      <c r="G12" s="1561"/>
    </row>
    <row r="13" spans="1:7" ht="32.25" customHeight="1" x14ac:dyDescent="0.25">
      <c r="A13" s="2297" t="s">
        <v>1933</v>
      </c>
      <c r="B13" s="2298"/>
      <c r="C13" s="2298"/>
      <c r="D13" s="2298"/>
      <c r="E13" s="2298"/>
      <c r="F13" s="2298"/>
      <c r="G13" s="2299"/>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8" t="s">
        <v>3381</v>
      </c>
      <c r="B17" s="1969" t="s">
        <v>3382</v>
      </c>
      <c r="C17" s="1967" t="s">
        <v>3366</v>
      </c>
      <c r="D17" s="1867">
        <v>1188</v>
      </c>
      <c r="E17" s="1562">
        <f t="shared" ref="E17:E141" si="1">IF(D17&lt;=25000,D17,IF(D17&gt;25000,25000,0))</f>
        <v>1188</v>
      </c>
      <c r="F17" s="1815">
        <f t="shared" si="0"/>
        <v>1188</v>
      </c>
      <c r="G17" s="1816">
        <f>IF(F17=0,0,D17-F17)</f>
        <v>0</v>
      </c>
      <c r="H17" s="1669"/>
    </row>
    <row r="18" spans="1:8" x14ac:dyDescent="0.25">
      <c r="A18" s="1968" t="s">
        <v>3381</v>
      </c>
      <c r="B18" s="1969" t="s">
        <v>3382</v>
      </c>
      <c r="C18" s="1967" t="s">
        <v>3366</v>
      </c>
      <c r="D18" s="1867">
        <v>3466.96</v>
      </c>
      <c r="E18" s="1562">
        <f t="shared" ref="E18:E140" si="2">IF(D18&lt;=25000,D18,IF(D18&gt;25000,25000,0))</f>
        <v>3466.96</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3466.96</v>
      </c>
      <c r="G18" s="1816">
        <f t="shared" ref="G18:G140" si="4">IF(F18=0,0,D18-F18)</f>
        <v>0</v>
      </c>
    </row>
    <row r="19" spans="1:8" x14ac:dyDescent="0.25">
      <c r="A19" s="1968" t="s">
        <v>3381</v>
      </c>
      <c r="B19" s="1969" t="s">
        <v>3382</v>
      </c>
      <c r="C19" s="1967" t="s">
        <v>3366</v>
      </c>
      <c r="D19" s="1867">
        <v>3952.31</v>
      </c>
      <c r="E19" s="1562">
        <f t="shared" si="2"/>
        <v>3952.31</v>
      </c>
      <c r="F19" s="1815">
        <f t="shared" si="3"/>
        <v>3952.31</v>
      </c>
      <c r="G19" s="1816">
        <f t="shared" si="4"/>
        <v>0</v>
      </c>
    </row>
    <row r="20" spans="1:8" x14ac:dyDescent="0.25">
      <c r="A20" s="1968" t="s">
        <v>3381</v>
      </c>
      <c r="B20" s="1969" t="s">
        <v>3382</v>
      </c>
      <c r="C20" s="1967" t="s">
        <v>3367</v>
      </c>
      <c r="D20" s="1867">
        <v>7000</v>
      </c>
      <c r="E20" s="1562">
        <f t="shared" si="2"/>
        <v>7000</v>
      </c>
      <c r="F20" s="1815">
        <f t="shared" si="3"/>
        <v>7000</v>
      </c>
      <c r="G20" s="1816">
        <f t="shared" si="4"/>
        <v>0</v>
      </c>
    </row>
    <row r="21" spans="1:8" x14ac:dyDescent="0.25">
      <c r="A21" s="1968" t="s">
        <v>3384</v>
      </c>
      <c r="B21" s="1969" t="s">
        <v>3383</v>
      </c>
      <c r="C21" s="1967" t="s">
        <v>3353</v>
      </c>
      <c r="D21" s="1867">
        <v>61161</v>
      </c>
      <c r="E21" s="1562">
        <f t="shared" si="2"/>
        <v>25000</v>
      </c>
      <c r="F21" s="1815">
        <f t="shared" si="3"/>
        <v>25000</v>
      </c>
      <c r="G21" s="1816">
        <f t="shared" si="4"/>
        <v>36161</v>
      </c>
    </row>
    <row r="22" spans="1:8" x14ac:dyDescent="0.25">
      <c r="A22" s="1968" t="s">
        <v>3384</v>
      </c>
      <c r="B22" s="1969" t="s">
        <v>3385</v>
      </c>
      <c r="C22" s="1967" t="s">
        <v>3367</v>
      </c>
      <c r="D22" s="1867">
        <v>3000</v>
      </c>
      <c r="E22" s="1562">
        <f t="shared" si="2"/>
        <v>3000</v>
      </c>
      <c r="F22" s="1815">
        <f t="shared" si="3"/>
        <v>3000</v>
      </c>
      <c r="G22" s="1816">
        <f t="shared" si="4"/>
        <v>0</v>
      </c>
    </row>
    <row r="23" spans="1:8" x14ac:dyDescent="0.25">
      <c r="A23" s="1968" t="s">
        <v>3384</v>
      </c>
      <c r="B23" s="1969" t="s">
        <v>3386</v>
      </c>
      <c r="C23" s="1967" t="s">
        <v>3368</v>
      </c>
      <c r="D23" s="1867">
        <v>5650</v>
      </c>
      <c r="E23" s="1562">
        <f t="shared" si="2"/>
        <v>5650</v>
      </c>
      <c r="F23" s="1815">
        <f t="shared" si="3"/>
        <v>5650</v>
      </c>
      <c r="G23" s="1816">
        <f t="shared" si="4"/>
        <v>0</v>
      </c>
    </row>
    <row r="24" spans="1:8" x14ac:dyDescent="0.25">
      <c r="A24" s="1968" t="s">
        <v>3384</v>
      </c>
      <c r="B24" s="1969" t="s">
        <v>3386</v>
      </c>
      <c r="C24" s="1967" t="s">
        <v>3369</v>
      </c>
      <c r="D24" s="1867">
        <v>385</v>
      </c>
      <c r="E24" s="1562">
        <f t="shared" si="2"/>
        <v>385</v>
      </c>
      <c r="F24" s="1815">
        <f t="shared" si="3"/>
        <v>385</v>
      </c>
      <c r="G24" s="1816">
        <f t="shared" si="4"/>
        <v>0</v>
      </c>
    </row>
    <row r="25" spans="1:8" x14ac:dyDescent="0.25">
      <c r="A25" s="1968" t="s">
        <v>3384</v>
      </c>
      <c r="B25" s="1969" t="s">
        <v>3386</v>
      </c>
      <c r="C25" s="1967" t="s">
        <v>3366</v>
      </c>
      <c r="D25" s="1867">
        <v>1116.94</v>
      </c>
      <c r="E25" s="1562">
        <f t="shared" si="2"/>
        <v>1116.94</v>
      </c>
      <c r="F25" s="1815">
        <f t="shared" si="3"/>
        <v>1116.94</v>
      </c>
      <c r="G25" s="1816">
        <f t="shared" si="4"/>
        <v>0</v>
      </c>
    </row>
    <row r="26" spans="1:8" x14ac:dyDescent="0.25">
      <c r="A26" s="1968" t="s">
        <v>3384</v>
      </c>
      <c r="B26" s="1969" t="s">
        <v>3386</v>
      </c>
      <c r="C26" s="1967" t="s">
        <v>3353</v>
      </c>
      <c r="D26" s="1867">
        <v>12480</v>
      </c>
      <c r="E26" s="1562">
        <f t="shared" si="2"/>
        <v>12480</v>
      </c>
      <c r="F26" s="1815">
        <f t="shared" si="3"/>
        <v>12480</v>
      </c>
      <c r="G26" s="1816">
        <f t="shared" si="4"/>
        <v>0</v>
      </c>
    </row>
    <row r="27" spans="1:8" x14ac:dyDescent="0.25">
      <c r="A27" s="1968" t="s">
        <v>3387</v>
      </c>
      <c r="B27" s="1969" t="s">
        <v>3388</v>
      </c>
      <c r="C27" s="1967" t="s">
        <v>3370</v>
      </c>
      <c r="D27" s="1867">
        <v>305.89999999999998</v>
      </c>
      <c r="E27" s="1562">
        <f t="shared" si="2"/>
        <v>305.89999999999998</v>
      </c>
      <c r="F27" s="1815">
        <f t="shared" si="3"/>
        <v>305.89999999999998</v>
      </c>
      <c r="G27" s="1816">
        <f t="shared" si="4"/>
        <v>0</v>
      </c>
    </row>
    <row r="28" spans="1:8" x14ac:dyDescent="0.25">
      <c r="A28" s="1968" t="s">
        <v>3387</v>
      </c>
      <c r="B28" s="1969" t="s">
        <v>3388</v>
      </c>
      <c r="C28" s="1967" t="s">
        <v>3371</v>
      </c>
      <c r="D28" s="1867">
        <v>2444.9699999999998</v>
      </c>
      <c r="E28" s="1562">
        <f t="shared" si="2"/>
        <v>2444.9699999999998</v>
      </c>
      <c r="F28" s="1815">
        <f t="shared" si="3"/>
        <v>2444.9699999999998</v>
      </c>
      <c r="G28" s="1816">
        <f t="shared" si="4"/>
        <v>0</v>
      </c>
    </row>
    <row r="29" spans="1:8" x14ac:dyDescent="0.25">
      <c r="A29" s="1968" t="s">
        <v>3387</v>
      </c>
      <c r="B29" s="1969" t="s">
        <v>3388</v>
      </c>
      <c r="C29" s="1967" t="s">
        <v>3372</v>
      </c>
      <c r="D29" s="1867">
        <v>1917.5</v>
      </c>
      <c r="E29" s="1562">
        <f t="shared" si="2"/>
        <v>1917.5</v>
      </c>
      <c r="F29" s="1815">
        <f t="shared" si="3"/>
        <v>1917.5</v>
      </c>
      <c r="G29" s="1816">
        <f t="shared" si="4"/>
        <v>0</v>
      </c>
    </row>
    <row r="30" spans="1:8" x14ac:dyDescent="0.25">
      <c r="A30" s="1968" t="s">
        <v>3387</v>
      </c>
      <c r="B30" s="1969" t="s">
        <v>3388</v>
      </c>
      <c r="C30" s="1967" t="s">
        <v>3373</v>
      </c>
      <c r="D30" s="1867">
        <v>2300</v>
      </c>
      <c r="E30" s="1562">
        <f t="shared" si="2"/>
        <v>2300</v>
      </c>
      <c r="F30" s="1815">
        <f t="shared" si="3"/>
        <v>2300</v>
      </c>
      <c r="G30" s="1816">
        <f t="shared" si="4"/>
        <v>0</v>
      </c>
    </row>
    <row r="31" spans="1:8" x14ac:dyDescent="0.25">
      <c r="A31" s="1968" t="s">
        <v>3387</v>
      </c>
      <c r="B31" s="1969" t="s">
        <v>3388</v>
      </c>
      <c r="C31" s="1967" t="s">
        <v>3374</v>
      </c>
      <c r="D31" s="1867">
        <v>4092.5</v>
      </c>
      <c r="E31" s="1562">
        <f t="shared" si="2"/>
        <v>4092.5</v>
      </c>
      <c r="F31" s="1815">
        <f t="shared" si="3"/>
        <v>4092.5</v>
      </c>
      <c r="G31" s="1816">
        <f t="shared" si="4"/>
        <v>0</v>
      </c>
    </row>
    <row r="32" spans="1:8" x14ac:dyDescent="0.25">
      <c r="A32" s="1968" t="s">
        <v>3387</v>
      </c>
      <c r="B32" s="1969" t="s">
        <v>3388</v>
      </c>
      <c r="C32" s="1967" t="s">
        <v>3375</v>
      </c>
      <c r="D32" s="1867">
        <v>2109.4499999999998</v>
      </c>
      <c r="E32" s="1562">
        <f t="shared" si="2"/>
        <v>2109.4499999999998</v>
      </c>
      <c r="F32" s="1815">
        <f t="shared" si="3"/>
        <v>2109.4499999999998</v>
      </c>
      <c r="G32" s="1816">
        <f t="shared" si="4"/>
        <v>0</v>
      </c>
    </row>
    <row r="33" spans="1:7" x14ac:dyDescent="0.25">
      <c r="A33" s="1968" t="s">
        <v>3387</v>
      </c>
      <c r="B33" s="1969" t="s">
        <v>3388</v>
      </c>
      <c r="C33" s="1967" t="s">
        <v>3370</v>
      </c>
      <c r="D33" s="1867">
        <v>4339.05</v>
      </c>
      <c r="E33" s="1562">
        <f t="shared" si="2"/>
        <v>4339.05</v>
      </c>
      <c r="F33" s="1815">
        <f t="shared" si="3"/>
        <v>4339.05</v>
      </c>
      <c r="G33" s="1816">
        <f t="shared" si="4"/>
        <v>0</v>
      </c>
    </row>
    <row r="34" spans="1:7" x14ac:dyDescent="0.25">
      <c r="A34" s="1968" t="s">
        <v>3387</v>
      </c>
      <c r="B34" s="1969" t="s">
        <v>3388</v>
      </c>
      <c r="C34" s="1967" t="s">
        <v>3376</v>
      </c>
      <c r="D34" s="1867">
        <v>7122.14</v>
      </c>
      <c r="E34" s="1562">
        <f t="shared" si="2"/>
        <v>7122.14</v>
      </c>
      <c r="F34" s="1815">
        <f t="shared" si="3"/>
        <v>7122.14</v>
      </c>
      <c r="G34" s="1816">
        <f t="shared" si="4"/>
        <v>0</v>
      </c>
    </row>
    <row r="35" spans="1:7" x14ac:dyDescent="0.25">
      <c r="A35" s="1968" t="s">
        <v>3387</v>
      </c>
      <c r="B35" s="1969" t="s">
        <v>3388</v>
      </c>
      <c r="C35" s="1967" t="s">
        <v>3349</v>
      </c>
      <c r="D35" s="1867">
        <v>2400</v>
      </c>
      <c r="E35" s="1562">
        <f t="shared" si="2"/>
        <v>2400</v>
      </c>
      <c r="F35" s="1815">
        <f t="shared" si="3"/>
        <v>2400</v>
      </c>
      <c r="G35" s="1816">
        <f t="shared" si="4"/>
        <v>0</v>
      </c>
    </row>
    <row r="36" spans="1:7" ht="30" x14ac:dyDescent="0.25">
      <c r="A36" s="1968" t="s">
        <v>3390</v>
      </c>
      <c r="B36" s="1970" t="s">
        <v>3389</v>
      </c>
      <c r="C36" s="1967" t="s">
        <v>3377</v>
      </c>
      <c r="D36" s="1867">
        <v>6642.72</v>
      </c>
      <c r="E36" s="1562">
        <f t="shared" si="2"/>
        <v>6642.72</v>
      </c>
      <c r="F36" s="1815">
        <f t="shared" si="3"/>
        <v>6642.72</v>
      </c>
      <c r="G36" s="1816">
        <f t="shared" si="4"/>
        <v>0</v>
      </c>
    </row>
    <row r="37" spans="1:7" ht="30" x14ac:dyDescent="0.25">
      <c r="A37" s="1968" t="s">
        <v>3390</v>
      </c>
      <c r="B37" s="1970" t="s">
        <v>3389</v>
      </c>
      <c r="C37" s="1967" t="s">
        <v>3377</v>
      </c>
      <c r="D37" s="1867">
        <v>59982.8</v>
      </c>
      <c r="E37" s="1562">
        <f t="shared" si="2"/>
        <v>25000</v>
      </c>
      <c r="F37" s="1815">
        <f t="shared" si="3"/>
        <v>25000</v>
      </c>
      <c r="G37" s="1816">
        <f t="shared" si="4"/>
        <v>34982.800000000003</v>
      </c>
    </row>
    <row r="38" spans="1:7" ht="30" x14ac:dyDescent="0.25">
      <c r="A38" s="1968" t="s">
        <v>3390</v>
      </c>
      <c r="B38" s="1970" t="s">
        <v>3389</v>
      </c>
      <c r="C38" s="1967" t="s">
        <v>3377</v>
      </c>
      <c r="D38" s="1867">
        <v>20257.29</v>
      </c>
      <c r="E38" s="1562">
        <f t="shared" si="2"/>
        <v>20257.29</v>
      </c>
      <c r="F38" s="1815">
        <f t="shared" si="3"/>
        <v>20257.29</v>
      </c>
      <c r="G38" s="1816">
        <f t="shared" si="4"/>
        <v>0</v>
      </c>
    </row>
    <row r="39" spans="1:7" x14ac:dyDescent="0.25">
      <c r="A39" s="1968" t="s">
        <v>3391</v>
      </c>
      <c r="B39" s="1970" t="s">
        <v>3392</v>
      </c>
      <c r="C39" s="1967" t="s">
        <v>3378</v>
      </c>
      <c r="D39" s="1867">
        <v>5580</v>
      </c>
      <c r="E39" s="1562">
        <f t="shared" si="2"/>
        <v>5580</v>
      </c>
      <c r="F39" s="1815">
        <f t="shared" si="3"/>
        <v>5580</v>
      </c>
      <c r="G39" s="1816">
        <f t="shared" si="4"/>
        <v>0</v>
      </c>
    </row>
    <row r="40" spans="1:7" x14ac:dyDescent="0.25">
      <c r="A40" s="1968" t="s">
        <v>3391</v>
      </c>
      <c r="B40" s="1970" t="s">
        <v>3392</v>
      </c>
      <c r="C40" s="1967" t="s">
        <v>3379</v>
      </c>
      <c r="D40" s="1867">
        <v>1959.9</v>
      </c>
      <c r="E40" s="1562">
        <f t="shared" si="2"/>
        <v>1959.9</v>
      </c>
      <c r="F40" s="1815">
        <f t="shared" si="3"/>
        <v>1959.9</v>
      </c>
      <c r="G40" s="1816">
        <f t="shared" si="4"/>
        <v>0</v>
      </c>
    </row>
    <row r="41" spans="1:7" x14ac:dyDescent="0.25">
      <c r="A41" s="1968" t="s">
        <v>3391</v>
      </c>
      <c r="B41" s="1970" t="s">
        <v>3392</v>
      </c>
      <c r="C41" s="1967" t="s">
        <v>3380</v>
      </c>
      <c r="D41" s="1867">
        <v>10896.96</v>
      </c>
      <c r="E41" s="1562">
        <f t="shared" si="2"/>
        <v>10896.96</v>
      </c>
      <c r="F41" s="1815">
        <f t="shared" si="3"/>
        <v>10896.96</v>
      </c>
      <c r="G41" s="1816">
        <f t="shared" si="4"/>
        <v>0</v>
      </c>
    </row>
    <row r="42" spans="1:7" x14ac:dyDescent="0.25">
      <c r="A42" s="1968"/>
      <c r="B42" s="1970"/>
      <c r="C42" s="1967"/>
      <c r="D42" s="1867"/>
      <c r="E42" s="1562">
        <f t="shared" si="2"/>
        <v>0</v>
      </c>
      <c r="F42" s="1815">
        <f t="shared" si="3"/>
        <v>0</v>
      </c>
      <c r="G42" s="1816">
        <f t="shared" si="4"/>
        <v>0</v>
      </c>
    </row>
    <row r="43" spans="1:7" x14ac:dyDescent="0.25">
      <c r="A43" s="1968"/>
      <c r="B43" s="1970"/>
      <c r="C43" s="1967"/>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231751.38999999998</v>
      </c>
      <c r="E141" s="1563">
        <f t="shared" si="1"/>
        <v>25000</v>
      </c>
      <c r="F141" s="1817">
        <f>SUM(F17:F140)</f>
        <v>160607.59</v>
      </c>
      <c r="G141" s="1818">
        <f>SUM(G17:G140)</f>
        <v>71143.8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C31" sqref="C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2" t="s">
        <v>1778</v>
      </c>
      <c r="B5" s="2313"/>
      <c r="C5" s="2313"/>
      <c r="D5" s="2313"/>
      <c r="E5" s="2313"/>
      <c r="F5" s="2313"/>
      <c r="G5" s="231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24644</v>
      </c>
      <c r="F10" s="975"/>
      <c r="G10" s="976"/>
      <c r="H10" s="162"/>
      <c r="I10" s="162"/>
    </row>
    <row r="11" spans="1:9" s="669" customFormat="1" ht="22.5" customHeight="1" x14ac:dyDescent="0.2">
      <c r="A11" s="2317" t="s">
        <v>1945</v>
      </c>
      <c r="B11" s="2318"/>
      <c r="C11" s="2318"/>
      <c r="D11" s="2319"/>
      <c r="E11" s="978">
        <v>5418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1010872</v>
      </c>
      <c r="F19" s="1822"/>
      <c r="G19" s="1824">
        <f>'Expenditures 15-22'!K33-SUM('Expenditures 15-22'!G33,'Expenditures 15-22'!I33)+'Expenditures 15-22'!D229</f>
        <v>1010872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62192</v>
      </c>
      <c r="F21" s="1825"/>
      <c r="G21" s="1828">
        <f>'Expenditures 15-22'!K42-SUM('Expenditures 15-22'!G42,'Expenditures 15-22'!I42)+'Expenditures 15-22'!K120-SUM('Expenditures 15-22'!G120,'Expenditures 15-22'!I120)+'Expenditures 15-22'!K180-SUM('Expenditures 15-22'!G180,'Expenditures 15-22'!I180)+'Expenditures 15-22'!D238</f>
        <v>62192</v>
      </c>
      <c r="H21" s="988"/>
      <c r="I21" s="162"/>
    </row>
    <row r="22" spans="1:9" s="669" customFormat="1" ht="12" customHeight="1" x14ac:dyDescent="0.2">
      <c r="A22" s="995" t="s">
        <v>585</v>
      </c>
      <c r="B22" s="996"/>
      <c r="C22" s="994">
        <v>2200</v>
      </c>
      <c r="D22" s="1825"/>
      <c r="E22" s="1827">
        <f>'Expenditures 15-22'!K47-SUM('Expenditures 15-22'!G47,'Expenditures 15-22'!I47)+'Expenditures 15-22'!D243</f>
        <v>14884</v>
      </c>
      <c r="F22" s="1825"/>
      <c r="G22" s="1828">
        <f>'Expenditures 15-22'!K47-SUM('Expenditures 15-22'!G47,'Expenditures 15-22'!I47)+'Expenditures 15-22'!D243</f>
        <v>14884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270927</v>
      </c>
      <c r="F23" s="1825"/>
      <c r="G23" s="1827">
        <f>'Expenditures 15-22'!K53-SUM('Expenditures 15-22'!G53,'Expenditures 15-22'!I53)+'Expenditures 15-22'!D257+'Expenditures 15-22'!K330-SUM('Expenditures 15-22'!G330,'Expenditures 15-22'!I330)</f>
        <v>270927</v>
      </c>
      <c r="H23" s="988"/>
      <c r="I23" s="162"/>
    </row>
    <row r="24" spans="1:9" s="669" customFormat="1" ht="12" customHeight="1" x14ac:dyDescent="0.2">
      <c r="A24" s="995" t="s">
        <v>587</v>
      </c>
      <c r="B24" s="996"/>
      <c r="C24" s="994">
        <v>2400</v>
      </c>
      <c r="D24" s="1825"/>
      <c r="E24" s="1827">
        <f>'Expenditures 15-22'!K57-SUM('Expenditures 15-22'!G57,'Expenditures 15-22'!I57)+'Expenditures 15-22'!D261</f>
        <v>32567</v>
      </c>
      <c r="F24" s="1825"/>
      <c r="G24" s="1828">
        <f>'Expenditures 15-22'!K57-SUM('Expenditures 15-22'!G57,'Expenditures 15-22'!I57)+'Expenditures 15-22'!D261</f>
        <v>32567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36295</v>
      </c>
      <c r="E27" s="1827">
        <f>E8</f>
        <v>0</v>
      </c>
      <c r="F27" s="1827">
        <f>'Expenditures 15-22'!K60-SUM('Expenditures 15-22'!G60,'Expenditures 15-22'!I60)+'Expenditures 15-22'!D264-E8</f>
        <v>36295</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178970</v>
      </c>
      <c r="F28" s="1829">
        <f>'Expenditures 15-22'!K61-SUM('Expenditures 15-22'!G61,'Expenditures 15-22'!I61)+'Expenditures 15-22'!K124-SUM('Expenditures 15-22'!G124,'Expenditures 15-22'!I124)+'Expenditures 15-22'!D266-E9</f>
        <v>178970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140270</v>
      </c>
      <c r="F29" s="1825"/>
      <c r="G29" s="1828">
        <f>'Expenditures 15-22'!K62-SUM('Expenditures 15-22'!G62,'Expenditures 15-22'!I62)+'Expenditures 15-22'!K125-SUM('Expenditures 15-22'!G125,'Expenditures 15-22'!I125)+'Expenditures 15-22'!K182-SUM('Expenditures 15-22'!G182,'Expenditures 15-22'!I182)+'Expenditures 15-22'!D267</f>
        <v>140270</v>
      </c>
      <c r="H29" s="986"/>
    </row>
    <row r="30" spans="1:9" ht="12" customHeight="1" x14ac:dyDescent="0.2">
      <c r="A30" s="995" t="s">
        <v>102</v>
      </c>
      <c r="B30" s="998"/>
      <c r="C30" s="994">
        <v>2560</v>
      </c>
      <c r="D30" s="1825"/>
      <c r="E30" s="1827">
        <f>'Expenditures 15-22'!K63-SUM('Expenditures 15-22'!G63,'Expenditures 15-22'!I63)+'Expenditures 15-22'!D268-E10</f>
        <v>36544</v>
      </c>
      <c r="F30" s="1825"/>
      <c r="G30" s="1827">
        <f>'Expenditures 15-22'!K63-SUM('Expenditures 15-22'!G63,'Expenditures 15-22'!I63)+'Expenditures 15-22'!D268-E10</f>
        <v>36544</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60</v>
      </c>
      <c r="F38" s="1825"/>
      <c r="G38" s="1827">
        <f>'Expenditures 15-22'!K73-SUM('Expenditures 15-22'!G73,'Expenditures 15-22'!I73)+'Expenditures 15-22'!K128-SUM('Expenditures 15-22'!G128,'Expenditures 15-22'!I128)+'Expenditures 15-22'!K183-SUM('Expenditures 15-22'!G183,'Expenditures 15-22'!I183)+'Expenditures 15-22'!D278</f>
        <v>60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30067</v>
      </c>
      <c r="F39" s="1825"/>
      <c r="G39" s="1827">
        <f>'Expenditures 15-22'!K75-SUM('Expenditures 15-22'!G75,'Expenditures 15-22'!I75)+'Expenditures 15-22'!K130-SUM('Expenditures 15-22'!G130,'Expenditures 15-22'!I130)+'Expenditures 15-22'!K185-SUM('Expenditures 15-22'!G185,'Expenditures 15-22'!I185)+'Expenditures 15-22'!D280</f>
        <v>30067</v>
      </c>
    </row>
    <row r="40" spans="1:7" ht="12" customHeight="1" x14ac:dyDescent="0.2">
      <c r="A40" s="991" t="s">
        <v>1930</v>
      </c>
      <c r="B40" s="992"/>
      <c r="C40" s="994"/>
      <c r="D40" s="1825"/>
      <c r="E40" s="1829">
        <f>-'Contracts Paid in CY 29'!G141</f>
        <v>-71143.8</v>
      </c>
      <c r="F40" s="1825"/>
      <c r="G40" s="1829">
        <f>-'Contracts Paid in CY 29'!G141</f>
        <v>-71143.8</v>
      </c>
    </row>
    <row r="41" spans="1:7" ht="12" customHeight="1" x14ac:dyDescent="0.2">
      <c r="A41" s="999" t="s">
        <v>158</v>
      </c>
      <c r="B41" s="1000"/>
      <c r="C41" s="1001"/>
      <c r="D41" s="1829">
        <f>SUM(D19:D39)</f>
        <v>36295</v>
      </c>
      <c r="E41" s="1829">
        <f>SUM(E19:E40)</f>
        <v>1706209.2</v>
      </c>
      <c r="F41" s="1829">
        <f>SUM(F19:F39)</f>
        <v>215265</v>
      </c>
      <c r="G41" s="1829">
        <f>SUM(G19:G40)</f>
        <v>1527239.2</v>
      </c>
    </row>
    <row r="42" spans="1:7" x14ac:dyDescent="0.2">
      <c r="A42" s="988"/>
      <c r="B42" s="162"/>
      <c r="C42" s="1002"/>
      <c r="D42" s="2315" t="s">
        <v>543</v>
      </c>
      <c r="E42" s="2316"/>
      <c r="F42" s="1003" t="s">
        <v>544</v>
      </c>
      <c r="G42" s="1004"/>
    </row>
    <row r="43" spans="1:7" ht="12" customHeight="1" x14ac:dyDescent="0.2">
      <c r="A43" s="988"/>
      <c r="B43" s="162"/>
      <c r="C43" s="1002"/>
      <c r="D43" s="1830" t="s">
        <v>493</v>
      </c>
      <c r="E43" s="1831">
        <f>D41</f>
        <v>36295</v>
      </c>
      <c r="F43" s="1830" t="s">
        <v>495</v>
      </c>
      <c r="G43" s="1831">
        <f>F41</f>
        <v>215265</v>
      </c>
    </row>
    <row r="44" spans="1:7" ht="12" customHeight="1" x14ac:dyDescent="0.2">
      <c r="A44" s="988"/>
      <c r="B44" s="162"/>
      <c r="C44" s="1002"/>
      <c r="D44" s="1830" t="s">
        <v>494</v>
      </c>
      <c r="E44" s="1831">
        <f>E41</f>
        <v>1706209.2</v>
      </c>
      <c r="F44" s="1830" t="s">
        <v>494</v>
      </c>
      <c r="G44" s="1831">
        <f>G41</f>
        <v>1527239.2</v>
      </c>
    </row>
    <row r="45" spans="1:7" ht="12" customHeight="1" x14ac:dyDescent="0.2">
      <c r="A45" s="988"/>
      <c r="B45" s="162"/>
      <c r="C45" s="162"/>
      <c r="D45" s="1832" t="s">
        <v>1063</v>
      </c>
      <c r="E45" s="1833">
        <f>(E43/E44)</f>
        <v>2.1272303536987142E-2</v>
      </c>
      <c r="F45" s="1832" t="s">
        <v>1063</v>
      </c>
      <c r="G45" s="1833">
        <f>(G43/G44)</f>
        <v>0.14095041562579064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G563" sqref="G563:J563"/>
      <selection pane="bottomLeft" activeCell="G563" sqref="G563:J563"/>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3" t="s">
        <v>1446</v>
      </c>
      <c r="B1" s="2323"/>
      <c r="C1" s="2323"/>
      <c r="D1" s="2323"/>
      <c r="E1" s="2323"/>
      <c r="F1" s="2323"/>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4" t="s">
        <v>1627</v>
      </c>
      <c r="B5" s="2325"/>
      <c r="C5" s="2326"/>
      <c r="D5" s="2326"/>
      <c r="E5" s="2326"/>
      <c r="F5" s="2326"/>
    </row>
    <row r="6" spans="1:10" ht="12" customHeight="1" x14ac:dyDescent="0.25">
      <c r="A6" s="1873"/>
      <c r="B6" s="1874"/>
      <c r="C6" s="2327" t="str">
        <f>COVER!A17</f>
        <v>Saunemin Elementary</v>
      </c>
      <c r="D6" s="2327"/>
      <c r="E6" s="2327"/>
      <c r="F6" s="1875"/>
    </row>
    <row r="7" spans="1:10" ht="11.25" customHeight="1" thickBot="1" x14ac:dyDescent="0.3">
      <c r="A7" s="1873"/>
      <c r="B7" s="1874"/>
      <c r="C7" s="2328">
        <f>COVER!A13</f>
        <v>17053438004</v>
      </c>
      <c r="D7" s="2328"/>
      <c r="E7" s="2328"/>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t="s">
        <v>2089</v>
      </c>
      <c r="D16" s="1888" t="s">
        <v>2089</v>
      </c>
      <c r="E16" s="1891" t="s">
        <v>2089</v>
      </c>
      <c r="F16" s="1890" t="s">
        <v>3348</v>
      </c>
      <c r="H16" s="1901">
        <f t="shared" si="0"/>
        <v>5</v>
      </c>
      <c r="I16" s="1901">
        <f t="shared" si="1"/>
        <v>5</v>
      </c>
      <c r="J16" s="1901">
        <f t="shared" si="2"/>
        <v>5</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t="s">
        <v>2089</v>
      </c>
      <c r="E18" s="1891" t="s">
        <v>2089</v>
      </c>
      <c r="F18" s="1890" t="s">
        <v>3349</v>
      </c>
      <c r="H18" s="1901">
        <f t="shared" si="0"/>
        <v>0</v>
      </c>
      <c r="I18" s="1901">
        <f t="shared" si="1"/>
        <v>5</v>
      </c>
      <c r="J18" s="1901">
        <f t="shared" si="2"/>
        <v>5</v>
      </c>
    </row>
    <row r="19" spans="1:12" ht="12" customHeight="1" x14ac:dyDescent="0.2">
      <c r="A19" s="1886" t="s">
        <v>1608</v>
      </c>
      <c r="B19" s="1887"/>
      <c r="C19" s="1888" t="s">
        <v>2089</v>
      </c>
      <c r="D19" s="1888" t="s">
        <v>2089</v>
      </c>
      <c r="E19" s="1891" t="s">
        <v>2089</v>
      </c>
      <c r="F19" s="1890" t="s">
        <v>3350</v>
      </c>
      <c r="H19" s="1901">
        <f t="shared" si="0"/>
        <v>5</v>
      </c>
      <c r="I19" s="1901">
        <f t="shared" si="1"/>
        <v>5</v>
      </c>
      <c r="J19" s="1901">
        <f t="shared" si="2"/>
        <v>5</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t="s">
        <v>2089</v>
      </c>
      <c r="D23" s="1888" t="s">
        <v>2089</v>
      </c>
      <c r="E23" s="1891" t="s">
        <v>2089</v>
      </c>
      <c r="F23" s="1890" t="s">
        <v>3351</v>
      </c>
      <c r="H23" s="1901">
        <f t="shared" si="0"/>
        <v>5</v>
      </c>
      <c r="I23" s="1901">
        <f t="shared" si="1"/>
        <v>5</v>
      </c>
      <c r="J23" s="1901">
        <f t="shared" si="2"/>
        <v>5</v>
      </c>
    </row>
    <row r="24" spans="1:12" ht="12" customHeight="1" x14ac:dyDescent="0.2">
      <c r="A24" s="1886" t="s">
        <v>1613</v>
      </c>
      <c r="B24" s="1887"/>
      <c r="C24" s="1888" t="s">
        <v>2089</v>
      </c>
      <c r="D24" s="1888" t="s">
        <v>2089</v>
      </c>
      <c r="E24" s="1891" t="s">
        <v>2089</v>
      </c>
      <c r="F24" s="1890" t="s">
        <v>3352</v>
      </c>
      <c r="H24" s="1901">
        <f t="shared" si="0"/>
        <v>5</v>
      </c>
      <c r="I24" s="1901">
        <f t="shared" si="1"/>
        <v>5</v>
      </c>
      <c r="J24" s="1901">
        <f t="shared" si="2"/>
        <v>5</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2089</v>
      </c>
      <c r="D26" s="1888" t="s">
        <v>2089</v>
      </c>
      <c r="E26" s="1891" t="s">
        <v>2089</v>
      </c>
      <c r="F26" s="1890" t="s">
        <v>3353</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3354</v>
      </c>
      <c r="D28" s="1888" t="s">
        <v>2089</v>
      </c>
      <c r="E28" s="1891" t="s">
        <v>2089</v>
      </c>
      <c r="F28" s="1890" t="s">
        <v>3355</v>
      </c>
      <c r="H28" s="1901">
        <f t="shared" si="0"/>
        <v>5</v>
      </c>
      <c r="I28" s="1901">
        <f t="shared" si="1"/>
        <v>5</v>
      </c>
      <c r="J28" s="1901">
        <f t="shared" si="2"/>
        <v>5</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t="s">
        <v>2089</v>
      </c>
      <c r="D32" s="1888" t="s">
        <v>2089</v>
      </c>
      <c r="E32" s="1891" t="s">
        <v>2089</v>
      </c>
      <c r="F32" s="1890" t="s">
        <v>3356</v>
      </c>
      <c r="H32" s="1901">
        <f t="shared" si="0"/>
        <v>5</v>
      </c>
      <c r="I32" s="1901">
        <f t="shared" si="1"/>
        <v>5</v>
      </c>
      <c r="J32" s="1901">
        <f t="shared" si="2"/>
        <v>5</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35</v>
      </c>
      <c r="I34" s="1901">
        <f>SUM(I11:I32)</f>
        <v>40</v>
      </c>
      <c r="J34" s="1901">
        <f>SUM(J11:J32)</f>
        <v>40</v>
      </c>
      <c r="K34" s="1901">
        <f>SUM(H34:J34)</f>
        <v>115</v>
      </c>
    </row>
    <row r="35" spans="1:11" ht="12" customHeight="1" x14ac:dyDescent="0.2">
      <c r="A35" s="1894" t="s">
        <v>1459</v>
      </c>
      <c r="B35" s="1895"/>
      <c r="C35" s="2329"/>
      <c r="D35" s="2329"/>
      <c r="E35" s="2329"/>
      <c r="F35" s="2330"/>
    </row>
    <row r="36" spans="1:11" ht="12" customHeight="1" x14ac:dyDescent="0.2">
      <c r="A36" s="2320"/>
      <c r="B36" s="2321"/>
      <c r="C36" s="2321"/>
      <c r="D36" s="2321"/>
      <c r="E36" s="2321"/>
      <c r="F36" s="2322"/>
    </row>
    <row r="37" spans="1:11" ht="12" customHeight="1" x14ac:dyDescent="0.2">
      <c r="A37" s="2320"/>
      <c r="B37" s="2321"/>
      <c r="C37" s="2321"/>
      <c r="D37" s="2321"/>
      <c r="E37" s="2321"/>
      <c r="F37" s="2322"/>
    </row>
    <row r="38" spans="1:11" ht="12" customHeight="1" x14ac:dyDescent="0.2">
      <c r="A38" s="2334"/>
      <c r="B38" s="2335"/>
      <c r="C38" s="2335"/>
      <c r="D38" s="2335"/>
      <c r="E38" s="2335"/>
      <c r="F38" s="2336"/>
    </row>
    <row r="39" spans="1:11" ht="4.5" hidden="1" customHeight="1" x14ac:dyDescent="0.2">
      <c r="A39" s="1896"/>
      <c r="B39" s="1896"/>
      <c r="C39" s="1896"/>
      <c r="D39" s="1896"/>
      <c r="E39" s="1896"/>
      <c r="F39" s="1896"/>
    </row>
    <row r="40" spans="1:11" s="1893" customFormat="1" ht="12" customHeight="1" x14ac:dyDescent="0.25">
      <c r="A40" s="1897" t="s">
        <v>1458</v>
      </c>
      <c r="B40" s="1898"/>
      <c r="C40" s="2337"/>
      <c r="D40" s="2337"/>
      <c r="E40" s="2337"/>
      <c r="F40" s="2338"/>
      <c r="H40" s="1902"/>
      <c r="I40" s="1902"/>
      <c r="J40" s="1902"/>
      <c r="K40" s="1902"/>
    </row>
    <row r="41" spans="1:11" s="1893" customFormat="1" ht="12" customHeight="1" x14ac:dyDescent="0.25">
      <c r="A41" s="2339"/>
      <c r="B41" s="2340"/>
      <c r="C41" s="2340"/>
      <c r="D41" s="2340"/>
      <c r="E41" s="2340"/>
      <c r="F41" s="2341"/>
      <c r="H41" s="1902"/>
      <c r="I41" s="1902"/>
      <c r="J41" s="1902"/>
      <c r="K41" s="1902"/>
    </row>
    <row r="42" spans="1:11" s="1893" customFormat="1" ht="12" customHeight="1" x14ac:dyDescent="0.25">
      <c r="A42" s="2339"/>
      <c r="B42" s="2340"/>
      <c r="C42" s="2340"/>
      <c r="D42" s="2340"/>
      <c r="E42" s="2340"/>
      <c r="F42" s="2341"/>
      <c r="H42" s="1902"/>
      <c r="I42" s="1902"/>
      <c r="J42" s="1902"/>
      <c r="K42" s="1902"/>
    </row>
    <row r="43" spans="1:11" s="1893" customFormat="1" ht="15" x14ac:dyDescent="0.25">
      <c r="A43" s="2331"/>
      <c r="B43" s="2332"/>
      <c r="C43" s="2332"/>
      <c r="D43" s="2332"/>
      <c r="E43" s="2332"/>
      <c r="F43" s="2333"/>
      <c r="H43" s="1902"/>
      <c r="I43" s="1902"/>
      <c r="J43" s="1902"/>
      <c r="K43" s="1902"/>
    </row>
    <row r="44" spans="1:11" s="1893" customFormat="1" ht="12" hidden="1" customHeight="1" x14ac:dyDescent="0.25">
      <c r="A44" s="2331"/>
      <c r="B44" s="2332"/>
      <c r="C44" s="2332"/>
      <c r="D44" s="2332"/>
      <c r="E44" s="2332"/>
      <c r="F44" s="2333"/>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47" t="str">
        <f>COVER!A17</f>
        <v>Saunemin Elementary</v>
      </c>
      <c r="J6" s="2348"/>
      <c r="Q6" s="1686"/>
    </row>
    <row r="7" spans="1:17" x14ac:dyDescent="0.2">
      <c r="A7" s="2349" t="s">
        <v>924</v>
      </c>
      <c r="B7" s="2350"/>
      <c r="C7" s="2350"/>
      <c r="D7" s="2350"/>
      <c r="E7" s="2351"/>
      <c r="F7" s="1018"/>
      <c r="G7" s="1010"/>
      <c r="H7" s="1017" t="s">
        <v>390</v>
      </c>
      <c r="I7" s="2352">
        <f>COVER!A13</f>
        <v>17053438004</v>
      </c>
      <c r="J7" s="235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3" t="s">
        <v>502</v>
      </c>
      <c r="B11" s="2354"/>
      <c r="C11" s="235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131497</v>
      </c>
      <c r="F12" s="1040"/>
      <c r="G12" s="1834">
        <f t="shared" ref="G12:G18" si="0">SUM(E12:F12)</f>
        <v>131497</v>
      </c>
      <c r="H12" s="1041">
        <v>135108</v>
      </c>
      <c r="I12" s="1040"/>
      <c r="J12" s="1834">
        <f t="shared" ref="J12:J18" si="1">SUM(H12:I12)</f>
        <v>135108</v>
      </c>
    </row>
    <row r="13" spans="1:17" ht="15" customHeight="1" x14ac:dyDescent="0.2">
      <c r="A13" s="1036">
        <v>2</v>
      </c>
      <c r="B13" s="1037" t="s">
        <v>44</v>
      </c>
      <c r="C13" s="1038"/>
      <c r="D13" s="1039">
        <v>2330</v>
      </c>
      <c r="E13" s="1834">
        <f>'Expenditures 15-22'!K51</f>
        <v>12480</v>
      </c>
      <c r="F13" s="1040"/>
      <c r="G13" s="1834">
        <f t="shared" si="0"/>
        <v>12480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6" t="s">
        <v>7</v>
      </c>
      <c r="C18" s="2357"/>
      <c r="D18" s="235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143977</v>
      </c>
      <c r="F19" s="1836">
        <f t="shared" si="2"/>
        <v>0</v>
      </c>
      <c r="G19" s="1836">
        <f t="shared" si="2"/>
        <v>143977</v>
      </c>
      <c r="H19" s="1836">
        <f t="shared" si="2"/>
        <v>135108</v>
      </c>
      <c r="I19" s="1836">
        <f t="shared" si="2"/>
        <v>0</v>
      </c>
      <c r="J19" s="1836">
        <f t="shared" si="2"/>
        <v>135108</v>
      </c>
    </row>
    <row r="20" spans="1:10" ht="13.5" thickTop="1" x14ac:dyDescent="0.2">
      <c r="A20" s="1036">
        <v>9</v>
      </c>
      <c r="B20" s="2359" t="s">
        <v>1703</v>
      </c>
      <c r="C20" s="2359"/>
      <c r="D20" s="2360"/>
      <c r="E20" s="1047"/>
      <c r="F20" s="1047"/>
      <c r="G20" s="1047"/>
      <c r="H20" s="1047"/>
      <c r="I20" s="1047"/>
      <c r="J20" s="1837">
        <f>IF(AND(G19&gt;0,J19&gt;0),(((J19-G19)/G19)),"Enter Budget Data")</f>
        <v>-6.16001166853039E-2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5"/>
      <c r="D26" s="2365"/>
      <c r="E26" s="1051"/>
      <c r="F26" s="2364"/>
      <c r="G26" s="2364"/>
    </row>
    <row r="27" spans="1:10" x14ac:dyDescent="0.2">
      <c r="B27" s="1048"/>
      <c r="C27" s="1052" t="s">
        <v>1093</v>
      </c>
      <c r="D27" s="1053"/>
      <c r="E27" s="1054"/>
      <c r="F27" s="2361" t="s">
        <v>1589</v>
      </c>
      <c r="G27" s="2361"/>
    </row>
    <row r="28" spans="1:10" ht="28.5" customHeight="1" x14ac:dyDescent="0.2">
      <c r="B28" s="1048"/>
      <c r="C28" s="2363"/>
      <c r="D28" s="2363"/>
      <c r="E28" s="1055"/>
      <c r="F28" s="2363"/>
      <c r="G28" s="2363"/>
    </row>
    <row r="29" spans="1:10" x14ac:dyDescent="0.2">
      <c r="B29" s="1048"/>
      <c r="C29" s="1056" t="s">
        <v>1642</v>
      </c>
      <c r="E29" s="1057"/>
      <c r="F29" s="2362" t="s">
        <v>1590</v>
      </c>
      <c r="G29" s="236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4" t="s">
        <v>134</v>
      </c>
      <c r="D33" s="2345"/>
      <c r="E33" s="2345"/>
      <c r="F33" s="2345"/>
      <c r="G33" s="2345"/>
      <c r="H33" s="2345"/>
      <c r="I33" s="2345"/>
    </row>
    <row r="34" spans="1:10" ht="10.35" customHeight="1" x14ac:dyDescent="0.2">
      <c r="C34" s="2345"/>
      <c r="D34" s="2345"/>
      <c r="E34" s="2345"/>
      <c r="F34" s="2345"/>
      <c r="G34" s="2345"/>
      <c r="H34" s="2345"/>
      <c r="I34" s="2345"/>
    </row>
    <row r="35" spans="1:10" ht="7.5" customHeight="1" x14ac:dyDescent="0.2">
      <c r="C35" s="1063"/>
    </row>
    <row r="36" spans="1:10" ht="13.5" customHeight="1" x14ac:dyDescent="0.2">
      <c r="B36" s="1062"/>
      <c r="C36" s="2346" t="s">
        <v>1944</v>
      </c>
      <c r="D36" s="2345"/>
      <c r="E36" s="2345"/>
      <c r="F36" s="2345"/>
      <c r="G36" s="2345"/>
      <c r="H36" s="2345"/>
      <c r="I36" s="2345"/>
      <c r="J36" s="1064"/>
    </row>
    <row r="37" spans="1:10" ht="22.5" customHeight="1" x14ac:dyDescent="0.2">
      <c r="C37" s="2345"/>
      <c r="D37" s="2345"/>
      <c r="E37" s="2345"/>
      <c r="F37" s="2345"/>
      <c r="G37" s="2345"/>
      <c r="H37" s="2345"/>
      <c r="I37" s="2345"/>
      <c r="J37" s="1064"/>
    </row>
    <row r="38" spans="1:10" ht="7.5" customHeight="1" x14ac:dyDescent="0.2">
      <c r="C38" s="1063"/>
      <c r="D38" s="1065"/>
      <c r="E38" s="1066"/>
      <c r="F38" s="1067"/>
      <c r="G38" s="1066"/>
    </row>
    <row r="39" spans="1:10" ht="13.5" customHeight="1" x14ac:dyDescent="0.2">
      <c r="B39" s="1062"/>
      <c r="C39" s="2342" t="s">
        <v>937</v>
      </c>
      <c r="D39" s="2343"/>
      <c r="E39" s="2343"/>
      <c r="F39" s="2343"/>
      <c r="G39" s="2343"/>
      <c r="H39" s="2343"/>
      <c r="I39" s="234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G563" sqref="G563:J56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966" t="s">
        <v>3362</v>
      </c>
    </row>
    <row r="6" spans="1:2" x14ac:dyDescent="0.2">
      <c r="A6" s="1069">
        <v>2</v>
      </c>
      <c r="B6" s="1966" t="s">
        <v>3363</v>
      </c>
    </row>
    <row r="7" spans="1:2" x14ac:dyDescent="0.2">
      <c r="A7" s="1069">
        <v>3</v>
      </c>
      <c r="B7" s="1966" t="s">
        <v>3364</v>
      </c>
    </row>
    <row r="8" spans="1:2" x14ac:dyDescent="0.2">
      <c r="A8" s="1069">
        <v>4</v>
      </c>
      <c r="B8" s="1966" t="s">
        <v>3365</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Saunemin Elementary</v>
      </c>
    </row>
    <row r="65" spans="2:2" x14ac:dyDescent="0.2">
      <c r="B65" s="1071">
        <f>COVER!A13</f>
        <v>17053438004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3" t="s">
        <v>1125</v>
      </c>
      <c r="B35" s="2083"/>
      <c r="C35" s="2083"/>
      <c r="D35" s="2083"/>
      <c r="E35" s="208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0" t="s">
        <v>715</v>
      </c>
      <c r="B40" s="2080"/>
      <c r="C40" s="2080"/>
      <c r="D40" s="2080"/>
      <c r="E40" s="2080"/>
    </row>
    <row r="41" spans="1:5" x14ac:dyDescent="0.2">
      <c r="A41" s="2081" t="s">
        <v>1706</v>
      </c>
      <c r="B41" s="2081"/>
      <c r="C41" s="2081"/>
      <c r="D41" s="2081"/>
      <c r="E41" s="2081"/>
    </row>
    <row r="42" spans="1:5" ht="12.75" customHeight="1" x14ac:dyDescent="0.2">
      <c r="A42" s="2082" t="s">
        <v>1080</v>
      </c>
      <c r="B42" s="2082"/>
      <c r="C42" s="2082"/>
      <c r="D42" s="2082"/>
      <c r="E42" s="208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G563" sqref="G563:J56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opLeftCell="A4"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6" t="s">
        <v>1784</v>
      </c>
      <c r="B18" s="236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6</xdr:row>
                <xdr:rowOff>0</xdr:rowOff>
              </from>
              <to>
                <xdr:col>1</xdr:col>
                <xdr:colOff>914400</xdr:colOff>
                <xdr:row>10</xdr:row>
                <xdr:rowOff>66675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1514475</xdr:colOff>
                <xdr:row>5</xdr:row>
                <xdr:rowOff>142875</xdr:rowOff>
              </from>
              <to>
                <xdr:col>1</xdr:col>
                <xdr:colOff>2428875</xdr:colOff>
                <xdr:row>10</xdr:row>
                <xdr:rowOff>47625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G563" sqref="G563:J56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7" t="s">
        <v>1790</v>
      </c>
      <c r="B1" s="2368"/>
      <c r="C1" s="2368"/>
      <c r="D1" s="2368"/>
      <c r="E1" s="2368"/>
      <c r="F1" s="2369"/>
    </row>
    <row r="2" spans="1:8" ht="45" customHeight="1" x14ac:dyDescent="0.2">
      <c r="A2" s="2377" t="s">
        <v>1791</v>
      </c>
      <c r="B2" s="2378"/>
      <c r="C2" s="2378"/>
      <c r="D2" s="2378"/>
      <c r="E2" s="2378"/>
      <c r="F2" s="2379"/>
      <c r="G2" s="1075"/>
      <c r="H2" s="1075"/>
    </row>
    <row r="3" spans="1:8" ht="57" customHeight="1" x14ac:dyDescent="0.2">
      <c r="A3" s="2380" t="s">
        <v>1786</v>
      </c>
      <c r="B3" s="2381"/>
      <c r="C3" s="2381"/>
      <c r="D3" s="2381"/>
      <c r="E3" s="2381"/>
      <c r="F3" s="2382"/>
      <c r="G3" s="1075"/>
      <c r="H3" s="1075"/>
    </row>
    <row r="4" spans="1:8" ht="14.25" customHeight="1" x14ac:dyDescent="0.2">
      <c r="A4" s="2386" t="s">
        <v>2056</v>
      </c>
      <c r="B4" s="2387"/>
      <c r="C4" s="2387"/>
      <c r="D4" s="2387"/>
      <c r="E4" s="2387"/>
      <c r="F4" s="2388"/>
      <c r="G4" s="1075"/>
      <c r="H4" s="1075"/>
    </row>
    <row r="5" spans="1:8" ht="14.25" customHeight="1" x14ac:dyDescent="0.2">
      <c r="A5" s="2389" t="s">
        <v>2057</v>
      </c>
      <c r="B5" s="2390"/>
      <c r="C5" s="2390"/>
      <c r="D5" s="2390"/>
      <c r="E5" s="2390"/>
      <c r="F5" s="2391"/>
      <c r="G5" s="1075"/>
      <c r="H5" s="1075"/>
    </row>
    <row r="6" spans="1:8" s="1076" customFormat="1" ht="41.25" customHeight="1" x14ac:dyDescent="0.2">
      <c r="A6" s="2383" t="s">
        <v>1792</v>
      </c>
      <c r="B6" s="2384"/>
      <c r="C6" s="2384"/>
      <c r="D6" s="2384"/>
      <c r="E6" s="2384"/>
      <c r="F6" s="238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1625922.99</v>
      </c>
      <c r="C8" s="1838">
        <f>'Acct Summary 7-8'!D8</f>
        <v>235081</v>
      </c>
      <c r="D8" s="1838">
        <f>'Acct Summary 7-8'!F8</f>
        <v>251783</v>
      </c>
      <c r="E8" s="1838">
        <f>'Acct Summary 7-8'!I8</f>
        <v>10423</v>
      </c>
      <c r="F8" s="1838">
        <f>SUM(B8:E8)</f>
        <v>2123209.9900000002</v>
      </c>
    </row>
    <row r="9" spans="1:8" s="1080" customFormat="1" ht="14.25" customHeight="1" thickBot="1" x14ac:dyDescent="0.25">
      <c r="A9" s="1079" t="s">
        <v>1436</v>
      </c>
      <c r="B9" s="1839">
        <f>'Acct Summary 7-8'!C17</f>
        <v>1494103</v>
      </c>
      <c r="C9" s="1839">
        <f>'Acct Summary 7-8'!D17</f>
        <v>240396</v>
      </c>
      <c r="D9" s="1839">
        <f>'Acct Summary 7-8'!F17</f>
        <v>137547</v>
      </c>
      <c r="E9" s="1838"/>
      <c r="F9" s="1838">
        <f>SUM(B9:E9)</f>
        <v>1872046</v>
      </c>
    </row>
    <row r="10" spans="1:8" s="1080" customFormat="1" ht="14.25" thickTop="1" thickBot="1" x14ac:dyDescent="0.25">
      <c r="A10" s="1081" t="s">
        <v>1437</v>
      </c>
      <c r="B10" s="1840">
        <f>(B8-B9)</f>
        <v>131819.99</v>
      </c>
      <c r="C10" s="1840">
        <f>(C8-C9)</f>
        <v>-5315</v>
      </c>
      <c r="D10" s="1840">
        <f>(D8-D9)</f>
        <v>114236</v>
      </c>
      <c r="E10" s="1839">
        <f>(E8-E9)</f>
        <v>10423</v>
      </c>
      <c r="F10" s="1841">
        <f>SUM(F8-F9)</f>
        <v>251163.99000000022</v>
      </c>
    </row>
    <row r="11" spans="1:8" s="1080" customFormat="1" ht="14.25" thickTop="1" thickBot="1" x14ac:dyDescent="0.25">
      <c r="A11" s="1082" t="s">
        <v>1785</v>
      </c>
      <c r="B11" s="1842">
        <f>'Acct Summary 7-8'!C81</f>
        <v>2319982</v>
      </c>
      <c r="C11" s="1842">
        <f>'Acct Summary 7-8'!D81</f>
        <v>604247</v>
      </c>
      <c r="D11" s="1842">
        <f>'Acct Summary 7-8'!F81</f>
        <v>506934</v>
      </c>
      <c r="E11" s="1842">
        <f>'Acct Summary 7-8'!I81</f>
        <v>129822</v>
      </c>
      <c r="F11" s="1843">
        <f>SUM(B11:E11)</f>
        <v>3560985</v>
      </c>
    </row>
    <row r="12" spans="1:8" ht="16.5" customHeight="1" thickTop="1" x14ac:dyDescent="0.2">
      <c r="A12" s="1083"/>
      <c r="B12" s="1084"/>
      <c r="C12" s="2371" t="str">
        <f>IF(AND(F10&lt;0,F11&gt;=0,ABS(F10*3)&gt;ABS(F11)),A16,IF(AND(F10&lt;0,F11&gt;0,ABS(F10*3)&lt;=ABS(F11)),A17,IF(AND(F10&lt;0,F11&lt;0),A16,IF(F11=0,A19,A18))))</f>
        <v>Balanced - no deficit reduction plan is required.</v>
      </c>
      <c r="D12" s="2372"/>
      <c r="E12" s="2372"/>
      <c r="F12" s="2373"/>
    </row>
    <row r="13" spans="1:8" ht="19.5" customHeight="1" x14ac:dyDescent="0.2">
      <c r="A13" s="1085"/>
      <c r="B13" s="1086"/>
      <c r="C13" s="2371"/>
      <c r="D13" s="2372"/>
      <c r="E13" s="2372"/>
      <c r="F13" s="2373"/>
      <c r="H13" s="1075"/>
    </row>
    <row r="14" spans="1:8" ht="19.5" customHeight="1" x14ac:dyDescent="0.2">
      <c r="A14" s="1085"/>
      <c r="B14" s="1086"/>
      <c r="C14" s="2371"/>
      <c r="D14" s="2372"/>
      <c r="E14" s="2372"/>
      <c r="F14" s="2373"/>
      <c r="H14" s="1075"/>
    </row>
    <row r="15" spans="1:8" ht="17.25" customHeight="1" x14ac:dyDescent="0.2">
      <c r="A15" s="1085"/>
      <c r="B15" s="1086"/>
      <c r="C15" s="2374"/>
      <c r="D15" s="2375"/>
      <c r="E15" s="2375"/>
      <c r="F15" s="2376"/>
      <c r="H15" s="1075"/>
    </row>
    <row r="16" spans="1:8" s="310" customFormat="1" ht="51.75" hidden="1" customHeight="1" x14ac:dyDescent="0.2">
      <c r="A16" s="2370" t="s">
        <v>1787</v>
      </c>
      <c r="B16" s="2370"/>
      <c r="C16" s="2370"/>
      <c r="D16" s="2370"/>
      <c r="E16" s="237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17053438004</v>
      </c>
    </row>
    <row r="3" spans="1:2" x14ac:dyDescent="0.2">
      <c r="A3" t="s">
        <v>1013</v>
      </c>
      <c r="B3" s="138" t="str">
        <f>COVER!A15</f>
        <v>Livingston</v>
      </c>
    </row>
    <row r="4" spans="1:2" x14ac:dyDescent="0.2">
      <c r="A4" t="s">
        <v>1064</v>
      </c>
      <c r="B4" s="138" t="str">
        <f>COVER!A17</f>
        <v>Saunemin Elementary</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060-003995</v>
      </c>
    </row>
    <row r="16" spans="1:2" x14ac:dyDescent="0.2">
      <c r="A16" t="s">
        <v>442</v>
      </c>
      <c r="B16" s="138" t="str">
        <f>COVER!T13</f>
        <v>Roenfeldt &amp; Lockas, P.C.</v>
      </c>
    </row>
    <row r="17" spans="1:2" x14ac:dyDescent="0.2">
      <c r="A17" t="s">
        <v>939</v>
      </c>
      <c r="B17" s="138" t="str">
        <f>COVER!T15</f>
        <v>Duane K. Lockas, C.P.A.</v>
      </c>
    </row>
    <row r="18" spans="1:2" x14ac:dyDescent="0.2">
      <c r="A18" t="s">
        <v>1212</v>
      </c>
      <c r="B18" s="138" t="str">
        <f>COVER!T17</f>
        <v>1100 Columbus Street</v>
      </c>
    </row>
    <row r="19" spans="1:2" x14ac:dyDescent="0.2">
      <c r="A19" t="s">
        <v>941</v>
      </c>
      <c r="B19" s="138" t="str">
        <f>COVER!T25</f>
        <v>admin@roenfeldtlockas.com</v>
      </c>
    </row>
    <row r="20" spans="1:2" x14ac:dyDescent="0.2">
      <c r="A20" t="s">
        <v>942</v>
      </c>
      <c r="B20" s="138" t="str">
        <f>COVER!T19</f>
        <v>Ottawa</v>
      </c>
    </row>
    <row r="21" spans="1:2" x14ac:dyDescent="0.2">
      <c r="A21" t="s">
        <v>500</v>
      </c>
      <c r="B21" s="138" t="str">
        <f>COVER!X19</f>
        <v>Illinois</v>
      </c>
    </row>
    <row r="22" spans="1:2" x14ac:dyDescent="0.2">
      <c r="A22" t="s">
        <v>943</v>
      </c>
      <c r="B22" s="138">
        <f>COVER!Z19</f>
        <v>61350</v>
      </c>
    </row>
    <row r="23" spans="1:2" x14ac:dyDescent="0.2">
      <c r="A23" t="s">
        <v>1214</v>
      </c>
      <c r="B23" s="138" t="str">
        <f>COVER!T21</f>
        <v>815-433-0464</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Yes</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36526</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469301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2319982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2319982</v>
      </c>
      <c r="D92" s="2" t="str">
        <f t="shared" si="0"/>
        <v>Error?</v>
      </c>
    </row>
    <row r="93" spans="1:4" x14ac:dyDescent="0.2">
      <c r="A93" s="5">
        <v>32</v>
      </c>
      <c r="B93" s="138">
        <f>'Assets-Liab 5-6'!C41</f>
        <v>2319982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604247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604247</v>
      </c>
      <c r="D123" s="2" t="str">
        <f t="shared" si="0"/>
        <v>Error?</v>
      </c>
    </row>
    <row r="124" spans="1:4" x14ac:dyDescent="0.2">
      <c r="A124" s="5">
        <v>63</v>
      </c>
      <c r="B124" s="138">
        <f>'Assets-Liab 5-6'!D41</f>
        <v>604247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256076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506934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506934</v>
      </c>
      <c r="D170" s="2" t="str">
        <f t="shared" si="1"/>
        <v>Error?</v>
      </c>
    </row>
    <row r="171" spans="1:4" x14ac:dyDescent="0.2">
      <c r="A171" s="5">
        <v>110</v>
      </c>
      <c r="B171" s="138">
        <f>'Assets-Liab 5-6'!F41</f>
        <v>506934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101903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102548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102548</v>
      </c>
      <c r="D189" s="2" t="str">
        <f t="shared" si="1"/>
        <v>Error?</v>
      </c>
    </row>
    <row r="190" spans="1:4" x14ac:dyDescent="0.2">
      <c r="A190" s="5">
        <v>129</v>
      </c>
      <c r="B190" s="138">
        <f>'Assets-Liab 5-6'!G41</f>
        <v>102548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140640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140640</v>
      </c>
      <c r="D212" s="2" t="str">
        <f t="shared" si="2"/>
        <v>Error?</v>
      </c>
    </row>
    <row r="213" spans="1:4" x14ac:dyDescent="0.2">
      <c r="A213" s="12">
        <v>152</v>
      </c>
      <c r="B213" s="138">
        <f>'Assets-Liab 5-6'!H41</f>
        <v>140640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166496</v>
      </c>
      <c r="D273" s="2" t="str">
        <f t="shared" si="3"/>
        <v>Error?</v>
      </c>
    </row>
    <row r="274" spans="1:4" x14ac:dyDescent="0.2">
      <c r="A274" s="5">
        <v>213</v>
      </c>
      <c r="B274" s="138">
        <f>'Assets-Liab 5-6'!M17</f>
        <v>2050285</v>
      </c>
      <c r="D274" s="2" t="str">
        <f t="shared" si="3"/>
        <v>Error?</v>
      </c>
    </row>
    <row r="275" spans="1:4" x14ac:dyDescent="0.2">
      <c r="A275" s="5">
        <v>214</v>
      </c>
      <c r="B275" s="138">
        <f>'Assets-Liab 5-6'!M18</f>
        <v>20699</v>
      </c>
      <c r="D275" s="2" t="str">
        <f t="shared" si="3"/>
        <v>Error?</v>
      </c>
    </row>
    <row r="276" spans="1:4" x14ac:dyDescent="0.2">
      <c r="A276" s="5">
        <v>215</v>
      </c>
      <c r="B276" s="138">
        <f>'Assets-Liab 5-6'!M19</f>
        <v>158937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2396417</v>
      </c>
      <c r="C279" s="2" t="s">
        <v>594</v>
      </c>
      <c r="D279" s="2" t="str">
        <f t="shared" si="3"/>
        <v>Error?</v>
      </c>
    </row>
    <row r="280" spans="1:4" x14ac:dyDescent="0.2">
      <c r="A280" s="5">
        <v>219</v>
      </c>
      <c r="B280" s="138">
        <f>'Assets-Liab 5-6'!M40</f>
        <v>2396417</v>
      </c>
      <c r="D280" s="2" t="str">
        <f t="shared" si="3"/>
        <v>Error?</v>
      </c>
    </row>
    <row r="281" spans="1:4" x14ac:dyDescent="0.2">
      <c r="A281" s="5">
        <v>220</v>
      </c>
      <c r="B281" s="138">
        <f>'Assets-Liab 5-6'!M41</f>
        <v>2396417</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544953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22115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711801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2160</v>
      </c>
      <c r="D732" s="2" t="str">
        <f t="shared" si="10"/>
        <v>Error?</v>
      </c>
    </row>
    <row r="733" spans="1:4" x14ac:dyDescent="0.2">
      <c r="A733" s="5">
        <v>672</v>
      </c>
      <c r="B733" s="138">
        <f>'Expenditures 15-22'!C50</f>
        <v>92139</v>
      </c>
      <c r="D733" s="2" t="str">
        <f t="shared" si="10"/>
        <v>Error?</v>
      </c>
    </row>
    <row r="734" spans="1:4" x14ac:dyDescent="0.2">
      <c r="A734" s="5">
        <v>673</v>
      </c>
      <c r="B734" s="138">
        <f>'Expenditures 15-22'!C53</f>
        <v>94299</v>
      </c>
      <c r="C734" s="2" t="s">
        <v>594</v>
      </c>
      <c r="D734" s="2" t="str">
        <f t="shared" si="10"/>
        <v>Error?</v>
      </c>
    </row>
    <row r="735" spans="1:4" x14ac:dyDescent="0.2">
      <c r="A735" s="5">
        <v>674</v>
      </c>
      <c r="B735" s="138">
        <f>'Expenditures 15-22'!C55</f>
        <v>30885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30885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21569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31129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52698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177882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889683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87244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248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104895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9059</v>
      </c>
      <c r="D791" s="2" t="str">
        <f t="shared" si="11"/>
        <v>Error?</v>
      </c>
    </row>
    <row r="792" spans="1:4" x14ac:dyDescent="0.2">
      <c r="A792" s="5">
        <v>731</v>
      </c>
      <c r="B792" s="138">
        <f>'Expenditures 15-22'!D53</f>
        <v>9059</v>
      </c>
      <c r="C792" s="2" t="s">
        <v>594</v>
      </c>
      <c r="D792" s="2" t="str">
        <f t="shared" si="11"/>
        <v>Error?</v>
      </c>
    </row>
    <row r="793" spans="1:4" x14ac:dyDescent="0.2">
      <c r="A793" s="5">
        <v>732</v>
      </c>
      <c r="B793" s="138">
        <f>'Expenditures 15-22'!D55</f>
        <v>749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749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6075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6123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15931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120826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15335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9289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29553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62192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62192</v>
      </c>
      <c r="C843" s="2" t="s">
        <v>594</v>
      </c>
      <c r="D843" s="2" t="str">
        <f t="shared" si="12"/>
        <v>Error?</v>
      </c>
    </row>
    <row r="844" spans="1:4" x14ac:dyDescent="0.2">
      <c r="A844" s="5">
        <v>783</v>
      </c>
      <c r="B844" s="138">
        <f>'Expenditures 15-22'!E44</f>
        <v>4791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4791</v>
      </c>
      <c r="C847" s="2" t="s">
        <v>594</v>
      </c>
      <c r="D847" s="2" t="str">
        <f t="shared" si="12"/>
        <v>Error?</v>
      </c>
    </row>
    <row r="848" spans="1:4" x14ac:dyDescent="0.2">
      <c r="A848" s="5">
        <v>787</v>
      </c>
      <c r="B848" s="138">
        <f>'Expenditures 15-22'!E49</f>
        <v>6646</v>
      </c>
      <c r="D848" s="2" t="str">
        <f t="shared" si="12"/>
        <v>Error?</v>
      </c>
    </row>
    <row r="849" spans="1:4" x14ac:dyDescent="0.2">
      <c r="A849" s="5">
        <v>788</v>
      </c>
      <c r="B849" s="138">
        <f>'Expenditures 15-22'!E50</f>
        <v>8635</v>
      </c>
      <c r="D849" s="2" t="str">
        <f t="shared" si="12"/>
        <v>Error?</v>
      </c>
    </row>
    <row r="850" spans="1:4" x14ac:dyDescent="0.2">
      <c r="A850" s="5">
        <v>789</v>
      </c>
      <c r="B850" s="138">
        <f>'Expenditures 15-22'!E53</f>
        <v>27761</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264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264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95008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128598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99838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3158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130849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7372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7372</v>
      </c>
      <c r="C905" s="2" t="s">
        <v>594</v>
      </c>
      <c r="D905" s="2" t="str">
        <f t="shared" si="13"/>
        <v>Error?</v>
      </c>
    </row>
    <row r="906" spans="1:4" x14ac:dyDescent="0.2">
      <c r="A906" s="5">
        <v>845</v>
      </c>
      <c r="B906" s="138">
        <f>'Expenditures 15-22'!F49</f>
        <v>1085</v>
      </c>
      <c r="D906" s="2" t="str">
        <f t="shared" si="13"/>
        <v>Error?</v>
      </c>
    </row>
    <row r="907" spans="1:4" x14ac:dyDescent="0.2">
      <c r="A907" s="5">
        <v>846</v>
      </c>
      <c r="B907" s="138">
        <f>'Expenditures 15-22'!F50</f>
        <v>6407</v>
      </c>
      <c r="D907" s="2" t="str">
        <f t="shared" si="13"/>
        <v>Error?</v>
      </c>
    </row>
    <row r="908" spans="1:4" x14ac:dyDescent="0.2">
      <c r="A908" s="5">
        <v>847</v>
      </c>
      <c r="B908" s="138">
        <f>'Expenditures 15-22'!F53</f>
        <v>7492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24936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24936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60</v>
      </c>
      <c r="D928" s="2" t="str">
        <f t="shared" si="13"/>
        <v>Error?</v>
      </c>
    </row>
    <row r="929" spans="1:4" x14ac:dyDescent="0.2">
      <c r="A929" s="5">
        <v>868</v>
      </c>
      <c r="B929" s="138">
        <f>'Expenditures 15-22'!F74</f>
        <v>39860</v>
      </c>
      <c r="C929" s="2" t="s">
        <v>594</v>
      </c>
      <c r="D929" s="2" t="str">
        <f t="shared" si="13"/>
        <v>Error?</v>
      </c>
    </row>
    <row r="930" spans="1:4" x14ac:dyDescent="0.2">
      <c r="A930" s="5">
        <v>869</v>
      </c>
      <c r="B930" s="138">
        <f>'Expenditures 15-22'!F75</f>
        <v>425</v>
      </c>
      <c r="D930" s="2" t="str">
        <f t="shared" si="13"/>
        <v>Error?</v>
      </c>
    </row>
    <row r="931" spans="1:4" x14ac:dyDescent="0.2">
      <c r="A931" s="5">
        <v>870</v>
      </c>
      <c r="B931" s="138">
        <f>'Expenditures 15-22'!F114</f>
        <v>171134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43973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7187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51622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5055</v>
      </c>
      <c r="D965" s="2" t="str">
        <f t="shared" si="14"/>
        <v>Error?</v>
      </c>
    </row>
    <row r="966" spans="1:4" x14ac:dyDescent="0.2">
      <c r="A966" s="5">
        <v>905</v>
      </c>
      <c r="B966" s="138">
        <f>'Expenditures 15-22'!G53</f>
        <v>5055</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3982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3982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9037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60659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7756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3478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11234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2721</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2721</v>
      </c>
      <c r="C1021" s="2" t="s">
        <v>594</v>
      </c>
      <c r="D1021" s="2" t="str">
        <f t="shared" si="14"/>
        <v>Error?</v>
      </c>
    </row>
    <row r="1022" spans="1:4" x14ac:dyDescent="0.2">
      <c r="A1022" s="5">
        <v>961</v>
      </c>
      <c r="B1022" s="138">
        <f>'Expenditures 15-22'!H49</f>
        <v>8711</v>
      </c>
      <c r="D1022" s="2" t="str">
        <f t="shared" si="14"/>
        <v>Error?</v>
      </c>
    </row>
    <row r="1023" spans="1:4" x14ac:dyDescent="0.2">
      <c r="A1023" s="5">
        <v>962</v>
      </c>
      <c r="B1023" s="138">
        <f>'Expenditures 15-22'!H50</f>
        <v>10202</v>
      </c>
      <c r="D1023" s="2" t="str">
        <f t="shared" ref="D1023:D1086" si="15">IF(ISBLANK(B1023),"OK",IF(A1023-B1023=0,"OK","Error?"))</f>
        <v>Error?</v>
      </c>
    </row>
    <row r="1024" spans="1:4" x14ac:dyDescent="0.2">
      <c r="A1024" s="5">
        <v>963</v>
      </c>
      <c r="B1024" s="138">
        <f>'Expenditures 15-22'!H53</f>
        <v>18913</v>
      </c>
      <c r="C1024" s="2" t="s">
        <v>594</v>
      </c>
      <c r="D1024" s="2" t="str">
        <f t="shared" si="15"/>
        <v>Error?</v>
      </c>
    </row>
    <row r="1025" spans="1:4" x14ac:dyDescent="0.2">
      <c r="A1025" s="5">
        <v>964</v>
      </c>
      <c r="B1025" s="138">
        <f>'Expenditures 15-22'!H55</f>
        <v>485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4747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4850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26969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84800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123003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799099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45475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1039954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62192</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62192</v>
      </c>
      <c r="C1115" s="2" t="s">
        <v>594</v>
      </c>
      <c r="D1115" s="2" t="str">
        <f t="shared" si="16"/>
        <v>Error?</v>
      </c>
    </row>
    <row r="1116" spans="1:4" x14ac:dyDescent="0.2">
      <c r="A1116" s="5">
        <v>1055</v>
      </c>
      <c r="B1116" s="138">
        <f>'Expenditures 15-22'!K44</f>
        <v>4791</v>
      </c>
      <c r="C1116" s="2" t="s">
        <v>594</v>
      </c>
      <c r="D1116" s="2" t="str">
        <f t="shared" si="16"/>
        <v>Error?</v>
      </c>
    </row>
    <row r="1117" spans="1:4" x14ac:dyDescent="0.2">
      <c r="A1117" s="5">
        <v>1056</v>
      </c>
      <c r="B1117" s="138">
        <f>'Expenditures 15-22'!K45</f>
        <v>10093</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14884</v>
      </c>
      <c r="C1119" s="2" t="s">
        <v>594</v>
      </c>
      <c r="D1119" s="2" t="str">
        <f t="shared" si="16"/>
        <v>Error?</v>
      </c>
    </row>
    <row r="1120" spans="1:4" x14ac:dyDescent="0.2">
      <c r="A1120" s="5">
        <v>1059</v>
      </c>
      <c r="B1120" s="138">
        <f>'Expenditures 15-22'!K49</f>
        <v>18602</v>
      </c>
      <c r="C1120" s="2" t="s">
        <v>594</v>
      </c>
      <c r="D1120" s="2" t="str">
        <f t="shared" si="16"/>
        <v>Error?</v>
      </c>
    </row>
    <row r="1121" spans="1:4" x14ac:dyDescent="0.2">
      <c r="A1121" s="5">
        <v>1060</v>
      </c>
      <c r="B1121" s="138">
        <f>'Expenditures 15-22'!K50</f>
        <v>131497</v>
      </c>
      <c r="C1121" s="2" t="s">
        <v>594</v>
      </c>
      <c r="D1121" s="2" t="str">
        <f t="shared" si="16"/>
        <v>Error?</v>
      </c>
    </row>
    <row r="1122" spans="1:4" x14ac:dyDescent="0.2">
      <c r="A1122" s="5">
        <v>1061</v>
      </c>
      <c r="B1122" s="138">
        <f>'Expenditures 15-22'!K53</f>
        <v>162579</v>
      </c>
      <c r="C1122" s="2" t="s">
        <v>594</v>
      </c>
      <c r="D1122" s="2" t="str">
        <f t="shared" si="16"/>
        <v>Error?</v>
      </c>
    </row>
    <row r="1123" spans="1:4" x14ac:dyDescent="0.2">
      <c r="A1123" s="5">
        <v>1062</v>
      </c>
      <c r="B1123" s="138">
        <f>'Expenditures 15-22'!K55</f>
        <v>32119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32119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32655</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60198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92853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60</v>
      </c>
      <c r="C1142" s="2" t="s">
        <v>594</v>
      </c>
      <c r="D1142" s="2" t="str">
        <f t="shared" si="16"/>
        <v>Error?</v>
      </c>
    </row>
    <row r="1143" spans="1:4" x14ac:dyDescent="0.2">
      <c r="A1143" s="5">
        <v>1082</v>
      </c>
      <c r="B1143" s="138">
        <f>'Expenditures 15-22'!K74</f>
        <v>364687</v>
      </c>
      <c r="C1143" s="2" t="s">
        <v>594</v>
      </c>
      <c r="D1143" s="2" t="str">
        <f t="shared" si="16"/>
        <v>Error?</v>
      </c>
    </row>
    <row r="1144" spans="1:4" x14ac:dyDescent="0.2">
      <c r="A1144" s="5">
        <v>1083</v>
      </c>
      <c r="B1144" s="138">
        <f>'Expenditures 15-22'!K75</f>
        <v>625</v>
      </c>
      <c r="C1144" s="2" t="s">
        <v>594</v>
      </c>
      <c r="D1144" s="2" t="str">
        <f t="shared" si="16"/>
        <v>Error?</v>
      </c>
    </row>
    <row r="1145" spans="1:4" x14ac:dyDescent="0.2">
      <c r="A1145" s="5">
        <v>1084</v>
      </c>
      <c r="B1145" s="138">
        <f>'Expenditures 15-22'!K102</f>
        <v>88837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1494103</v>
      </c>
      <c r="C1152" s="2" t="s">
        <v>594</v>
      </c>
      <c r="D1152" s="2" t="str">
        <f t="shared" si="17"/>
        <v>Error?</v>
      </c>
    </row>
    <row r="1153" spans="1:4" x14ac:dyDescent="0.2">
      <c r="A1153" s="5">
        <v>1092</v>
      </c>
      <c r="B1153" s="138">
        <f>'Expenditures 15-22'!K115</f>
        <v>131819.99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67757</v>
      </c>
      <c r="D1221" s="2" t="str">
        <f t="shared" si="18"/>
        <v>Error?</v>
      </c>
    </row>
    <row r="1222" spans="1:4" x14ac:dyDescent="0.2">
      <c r="A1222" s="10">
        <v>1161</v>
      </c>
      <c r="D1222" s="2" t="str">
        <f t="shared" si="18"/>
        <v>OK</v>
      </c>
    </row>
    <row r="1223" spans="1:4" x14ac:dyDescent="0.2">
      <c r="A1223" s="5">
        <v>1162</v>
      </c>
      <c r="B1223" s="138">
        <f>'Expenditures 15-22'!C127</f>
        <v>67757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67757</v>
      </c>
      <c r="C1225" s="2" t="s">
        <v>594</v>
      </c>
      <c r="D1225" s="2" t="str">
        <f t="shared" si="18"/>
        <v>Error?</v>
      </c>
    </row>
    <row r="1226" spans="1:4" x14ac:dyDescent="0.2">
      <c r="A1226" s="5">
        <v>1165</v>
      </c>
      <c r="B1226" s="138">
        <f>'Expenditures 15-22'!C151</f>
        <v>95095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6636</v>
      </c>
      <c r="D1229" s="2" t="str">
        <f t="shared" si="18"/>
        <v>Error?</v>
      </c>
    </row>
    <row r="1230" spans="1:4" x14ac:dyDescent="0.2">
      <c r="A1230" s="10">
        <v>1169</v>
      </c>
      <c r="D1230" s="2" t="str">
        <f t="shared" si="18"/>
        <v>OK</v>
      </c>
    </row>
    <row r="1231" spans="1:4" x14ac:dyDescent="0.2">
      <c r="A1231" s="5">
        <v>1170</v>
      </c>
      <c r="B1231" s="138">
        <f>'Expenditures 15-22'!D127</f>
        <v>6636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6636</v>
      </c>
      <c r="C1233" s="2" t="s">
        <v>594</v>
      </c>
      <c r="D1233" s="2" t="str">
        <f t="shared" si="18"/>
        <v>Error?</v>
      </c>
    </row>
    <row r="1234" spans="1:4" x14ac:dyDescent="0.2">
      <c r="A1234" s="5">
        <v>1173</v>
      </c>
      <c r="B1234" s="138">
        <f>'Expenditures 15-22'!D151</f>
        <v>6636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566</v>
      </c>
      <c r="D1236" s="2" t="str">
        <f t="shared" si="18"/>
        <v>Error?</v>
      </c>
    </row>
    <row r="1237" spans="1:4" x14ac:dyDescent="0.2">
      <c r="A1237" s="5">
        <v>1176</v>
      </c>
      <c r="B1237" s="138">
        <f>'Expenditures 15-22'!E124</f>
        <v>48636</v>
      </c>
      <c r="D1237" s="2" t="str">
        <f t="shared" si="18"/>
        <v>Error?</v>
      </c>
    </row>
    <row r="1238" spans="1:4" x14ac:dyDescent="0.2">
      <c r="A1238" s="10">
        <v>1177</v>
      </c>
      <c r="D1238" s="2" t="str">
        <f t="shared" si="18"/>
        <v>OK</v>
      </c>
    </row>
    <row r="1239" spans="1:4" x14ac:dyDescent="0.2">
      <c r="A1239" s="5">
        <v>1178</v>
      </c>
      <c r="B1239" s="138">
        <f>'Expenditures 15-22'!E127</f>
        <v>49202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49202</v>
      </c>
      <c r="C1241" s="2" t="s">
        <v>594</v>
      </c>
      <c r="D1241" s="2" t="str">
        <f t="shared" si="18"/>
        <v>Error?</v>
      </c>
    </row>
    <row r="1242" spans="1:4" x14ac:dyDescent="0.2">
      <c r="A1242" s="5">
        <v>1181</v>
      </c>
      <c r="B1242" s="138">
        <f>'Expenditures 15-22'!E151</f>
        <v>49306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45853</v>
      </c>
      <c r="D1245" s="2" t="str">
        <f t="shared" si="18"/>
        <v>Error?</v>
      </c>
    </row>
    <row r="1246" spans="1:4" x14ac:dyDescent="0.2">
      <c r="A1246" s="10">
        <v>1185</v>
      </c>
      <c r="D1246" s="2" t="str">
        <f t="shared" si="18"/>
        <v>OK</v>
      </c>
    </row>
    <row r="1247" spans="1:4" x14ac:dyDescent="0.2">
      <c r="A1247" s="5">
        <v>1186</v>
      </c>
      <c r="B1247" s="138">
        <f>'Expenditures 15-22'!F127</f>
        <v>45853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45853</v>
      </c>
      <c r="C1249" s="2" t="s">
        <v>594</v>
      </c>
      <c r="D1249" s="2" t="str">
        <f t="shared" si="18"/>
        <v>Error?</v>
      </c>
    </row>
    <row r="1250" spans="1:4" x14ac:dyDescent="0.2">
      <c r="A1250" s="5">
        <v>1189</v>
      </c>
      <c r="B1250" s="138">
        <f>'Expenditures 15-22'!F151</f>
        <v>45937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43422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43422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43422</v>
      </c>
      <c r="C1258" s="2" t="s">
        <v>594</v>
      </c>
      <c r="D1258" s="2" t="str">
        <f t="shared" si="18"/>
        <v>Error?</v>
      </c>
    </row>
    <row r="1259" spans="1:4" x14ac:dyDescent="0.2">
      <c r="A1259" s="5">
        <v>1198</v>
      </c>
      <c r="B1259" s="138">
        <f>'Expenditures 15-22'!G151</f>
        <v>43422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566</v>
      </c>
      <c r="C1275" s="2" t="s">
        <v>594</v>
      </c>
      <c r="D1275" s="2" t="str">
        <f t="shared" si="18"/>
        <v>Error?</v>
      </c>
    </row>
    <row r="1276" spans="1:4" x14ac:dyDescent="0.2">
      <c r="A1276" s="5">
        <v>1215</v>
      </c>
      <c r="B1276" s="138">
        <f>'Expenditures 15-22'!K124</f>
        <v>212304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212870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212870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240396</v>
      </c>
      <c r="C1288" s="2" t="s">
        <v>594</v>
      </c>
      <c r="D1288" s="2" t="str">
        <f t="shared" si="19"/>
        <v>Error?</v>
      </c>
    </row>
    <row r="1289" spans="1:4" x14ac:dyDescent="0.2">
      <c r="A1289" s="5">
        <v>1228</v>
      </c>
      <c r="B1289" s="138">
        <f>'Expenditures 15-22'!K152</f>
        <v>-5315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25794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25794</v>
      </c>
      <c r="C1339" s="2" t="s">
        <v>594</v>
      </c>
      <c r="D1339" s="2" t="str">
        <f t="shared" si="19"/>
        <v>Error?</v>
      </c>
    </row>
    <row r="1340" spans="1:4" x14ac:dyDescent="0.2">
      <c r="A1340" s="5">
        <v>1279</v>
      </c>
      <c r="B1340" s="138">
        <f>'Expenditures 15-22'!C210</f>
        <v>25794</v>
      </c>
      <c r="C1340" s="2" t="s">
        <v>594</v>
      </c>
      <c r="D1340" s="2" t="str">
        <f t="shared" si="19"/>
        <v>Error?</v>
      </c>
    </row>
    <row r="1341" spans="1:4" x14ac:dyDescent="0.2">
      <c r="A1341" s="5">
        <v>1280</v>
      </c>
      <c r="B1341" s="138">
        <f>'Expenditures 15-22'!D182</f>
        <v>5652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5652</v>
      </c>
      <c r="C1345" s="2" t="s">
        <v>594</v>
      </c>
      <c r="D1345" s="2" t="str">
        <f t="shared" si="20"/>
        <v>Error?</v>
      </c>
    </row>
    <row r="1346" spans="1:4" x14ac:dyDescent="0.2">
      <c r="A1346" s="5">
        <v>1285</v>
      </c>
      <c r="B1346" s="138">
        <f>'Expenditures 15-22'!D210</f>
        <v>5652</v>
      </c>
      <c r="C1346" s="2" t="s">
        <v>594</v>
      </c>
      <c r="D1346" s="2" t="str">
        <f t="shared" si="20"/>
        <v>Error?</v>
      </c>
    </row>
    <row r="1347" spans="1:4" x14ac:dyDescent="0.2">
      <c r="A1347" s="5">
        <v>1286</v>
      </c>
      <c r="B1347" s="138">
        <f>'Expenditures 15-22'!E182</f>
        <v>91291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91291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91291</v>
      </c>
      <c r="C1353" s="2" t="s">
        <v>594</v>
      </c>
      <c r="D1353" s="2" t="str">
        <f t="shared" si="20"/>
        <v>Error?</v>
      </c>
    </row>
    <row r="1354" spans="1:4" x14ac:dyDescent="0.2">
      <c r="A1354" s="5">
        <v>1293</v>
      </c>
      <c r="B1354" s="138">
        <f>'Expenditures 15-22'!F182</f>
        <v>13603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13603</v>
      </c>
      <c r="C1358" s="2" t="s">
        <v>594</v>
      </c>
      <c r="D1358" s="2" t="str">
        <f t="shared" si="20"/>
        <v>Error?</v>
      </c>
    </row>
    <row r="1359" spans="1:4" x14ac:dyDescent="0.2">
      <c r="A1359" s="5">
        <v>1298</v>
      </c>
      <c r="B1359" s="138">
        <f>'Expenditures 15-22'!F210</f>
        <v>13603</v>
      </c>
      <c r="C1359" s="2" t="s">
        <v>594</v>
      </c>
      <c r="D1359" s="2" t="str">
        <f t="shared" si="20"/>
        <v>Error?</v>
      </c>
    </row>
    <row r="1360" spans="1:4" x14ac:dyDescent="0.2">
      <c r="A1360" s="5">
        <v>1299</v>
      </c>
      <c r="B1360" s="138">
        <f>'Expenditures 15-22'!G182</f>
        <v>742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742</v>
      </c>
      <c r="C1364" s="2" t="s">
        <v>594</v>
      </c>
      <c r="D1364" s="2" t="str">
        <f t="shared" si="20"/>
        <v>Error?</v>
      </c>
    </row>
    <row r="1365" spans="1:4" x14ac:dyDescent="0.2">
      <c r="A1365" s="5">
        <v>1304</v>
      </c>
      <c r="B1365" s="138">
        <f>'Expenditures 15-22'!G210</f>
        <v>742</v>
      </c>
      <c r="C1365" s="2" t="s">
        <v>594</v>
      </c>
      <c r="D1365" s="2" t="str">
        <f t="shared" si="20"/>
        <v>Error?</v>
      </c>
    </row>
    <row r="1366" spans="1:4" x14ac:dyDescent="0.2">
      <c r="A1366" s="5">
        <v>1305</v>
      </c>
      <c r="B1366" s="138">
        <f>'Expenditures 15-22'!H182</f>
        <v>465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465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465</v>
      </c>
      <c r="C1376" s="2" t="s">
        <v>594</v>
      </c>
      <c r="D1376" s="2" t="str">
        <f t="shared" si="20"/>
        <v>Error?</v>
      </c>
    </row>
    <row r="1377" spans="1:4" x14ac:dyDescent="0.2">
      <c r="A1377" s="5">
        <v>1316</v>
      </c>
      <c r="B1377" s="138">
        <f>'Expenditures 15-22'!K182</f>
        <v>137547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137547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137547</v>
      </c>
      <c r="C1388" s="2" t="s">
        <v>594</v>
      </c>
      <c r="D1388" s="2" t="str">
        <f t="shared" si="20"/>
        <v>Error?</v>
      </c>
    </row>
    <row r="1389" spans="1:4" x14ac:dyDescent="0.2">
      <c r="A1389" s="5">
        <v>1328</v>
      </c>
      <c r="B1389" s="138">
        <f>'Expenditures 15-22'!K211</f>
        <v>114236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621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22540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188</v>
      </c>
      <c r="D1422" s="2" t="str">
        <f t="shared" si="21"/>
        <v>Error?</v>
      </c>
    </row>
    <row r="1423" spans="1:4" x14ac:dyDescent="0.2">
      <c r="A1423" s="5">
        <v>1362</v>
      </c>
      <c r="B1423" s="138">
        <f>'Expenditures 15-22'!D246</f>
        <v>3651</v>
      </c>
      <c r="D1423" s="2" t="str">
        <f t="shared" si="21"/>
        <v>Error?</v>
      </c>
    </row>
    <row r="1424" spans="1:4" x14ac:dyDescent="0.2">
      <c r="A1424" s="5">
        <v>1363</v>
      </c>
      <c r="B1424" s="138">
        <f>'Expenditures 15-22'!D257</f>
        <v>5107</v>
      </c>
      <c r="C1424" s="2" t="s">
        <v>594</v>
      </c>
      <c r="D1424" s="2" t="str">
        <f t="shared" si="21"/>
        <v>Error?</v>
      </c>
    </row>
    <row r="1425" spans="1:4" x14ac:dyDescent="0.2">
      <c r="A1425" s="5">
        <v>1364</v>
      </c>
      <c r="B1425" s="138">
        <f>'Expenditures 15-22'!D259</f>
        <v>448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448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3640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10088</v>
      </c>
      <c r="D1431" s="2" t="str">
        <f t="shared" si="21"/>
        <v>Error?</v>
      </c>
    </row>
    <row r="1432" spans="1:4" x14ac:dyDescent="0.2">
      <c r="A1432" s="5">
        <v>1371</v>
      </c>
      <c r="B1432" s="138">
        <f>'Expenditures 15-22'!D267</f>
        <v>3465</v>
      </c>
      <c r="D1432" s="2" t="str">
        <f t="shared" si="21"/>
        <v>Error?</v>
      </c>
    </row>
    <row r="1433" spans="1:4" x14ac:dyDescent="0.2">
      <c r="A1433" s="5">
        <v>1372</v>
      </c>
      <c r="B1433" s="138">
        <f>'Expenditures 15-22'!D268</f>
        <v>4972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22165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27720</v>
      </c>
      <c r="C1446" s="2" t="s">
        <v>594</v>
      </c>
      <c r="D1446" s="2" t="str">
        <f t="shared" si="21"/>
        <v>Error?</v>
      </c>
    </row>
    <row r="1447" spans="1:4" x14ac:dyDescent="0.2">
      <c r="A1447" s="5">
        <v>1386</v>
      </c>
      <c r="B1447" s="138">
        <f>'Expenditures 15-22'!D280</f>
        <v>2116</v>
      </c>
      <c r="D1447" s="2" t="str">
        <f t="shared" si="21"/>
        <v>Error?</v>
      </c>
    </row>
    <row r="1448" spans="1:4" x14ac:dyDescent="0.2">
      <c r="A1448" s="5">
        <v>1387</v>
      </c>
      <c r="B1448" s="138">
        <f>'Expenditures 15-22'!D295</f>
        <v>52376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621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22540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188</v>
      </c>
      <c r="C1486" s="2" t="s">
        <v>594</v>
      </c>
      <c r="D1486" s="2" t="str">
        <f t="shared" si="22"/>
        <v>Error?</v>
      </c>
    </row>
    <row r="1487" spans="1:4" x14ac:dyDescent="0.2">
      <c r="A1487" s="5">
        <v>1426</v>
      </c>
      <c r="B1487" s="138">
        <f>'Expenditures 15-22'!K246</f>
        <v>3651</v>
      </c>
      <c r="C1487" s="2" t="s">
        <v>594</v>
      </c>
      <c r="D1487" s="2" t="str">
        <f t="shared" si="22"/>
        <v>Error?</v>
      </c>
    </row>
    <row r="1488" spans="1:4" x14ac:dyDescent="0.2">
      <c r="A1488" s="5">
        <v>1427</v>
      </c>
      <c r="B1488" s="138">
        <f>'Expenditures 15-22'!K257</f>
        <v>5107</v>
      </c>
      <c r="C1488" s="2" t="s">
        <v>594</v>
      </c>
      <c r="D1488" s="2" t="str">
        <f t="shared" si="22"/>
        <v>Error?</v>
      </c>
    </row>
    <row r="1489" spans="1:4" x14ac:dyDescent="0.2">
      <c r="A1489" s="5">
        <v>1428</v>
      </c>
      <c r="B1489" s="138">
        <f>'Expenditures 15-22'!K259</f>
        <v>448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448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3640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10088</v>
      </c>
      <c r="C1495" s="2" t="s">
        <v>594</v>
      </c>
      <c r="D1495" s="2" t="str">
        <f t="shared" si="22"/>
        <v>Error?</v>
      </c>
    </row>
    <row r="1496" spans="1:4" x14ac:dyDescent="0.2">
      <c r="A1496" s="5">
        <v>1435</v>
      </c>
      <c r="B1496" s="138">
        <f>'Expenditures 15-22'!K267</f>
        <v>3465</v>
      </c>
      <c r="C1496" s="2" t="s">
        <v>594</v>
      </c>
      <c r="D1496" s="2" t="str">
        <f t="shared" si="22"/>
        <v>Error?</v>
      </c>
    </row>
    <row r="1497" spans="1:4" x14ac:dyDescent="0.2">
      <c r="A1497" s="5">
        <v>1436</v>
      </c>
      <c r="B1497" s="138">
        <f>'Expenditures 15-22'!K268</f>
        <v>4972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22165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27720</v>
      </c>
      <c r="C1510" s="2" t="s">
        <v>594</v>
      </c>
      <c r="D1510" s="2" t="str">
        <f t="shared" si="22"/>
        <v>Error?</v>
      </c>
    </row>
    <row r="1511" spans="1:4" x14ac:dyDescent="0.2">
      <c r="A1511" s="5">
        <v>1450</v>
      </c>
      <c r="B1511" s="138">
        <f>'Expenditures 15-22'!K280</f>
        <v>2116</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52376</v>
      </c>
      <c r="C1517" s="2" t="s">
        <v>594</v>
      </c>
      <c r="D1517" s="2" t="str">
        <f t="shared" si="22"/>
        <v>Error?</v>
      </c>
    </row>
    <row r="1518" spans="1:4" x14ac:dyDescent="0.2">
      <c r="A1518" s="5">
        <v>1457</v>
      </c>
      <c r="B1518" s="138">
        <f>'Expenditures 15-22'!K296</f>
        <v>-44668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v>
      </c>
      <c r="C1535" s="2" t="s">
        <v>594</v>
      </c>
      <c r="D1535" s="2" t="str">
        <f t="shared" ref="D1535:D1598" si="23">IF(ISBLANK(B1535),"OK",IF(A1535-B1535=0,"OK","Error?"))</f>
        <v>Error?</v>
      </c>
    </row>
    <row r="1536" spans="1:4" x14ac:dyDescent="0.2">
      <c r="A1536" s="5">
        <v>1475</v>
      </c>
      <c r="B1536" s="138">
        <f>'Expenditures 15-22'!E312</f>
        <v>1</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v>
      </c>
      <c r="C1559" s="2" t="s">
        <v>594</v>
      </c>
      <c r="D1559" s="2" t="str">
        <f t="shared" si="23"/>
        <v>Error?</v>
      </c>
    </row>
    <row r="1560" spans="1:4" x14ac:dyDescent="0.2">
      <c r="A1560" s="5">
        <v>1499</v>
      </c>
      <c r="B1560" s="138">
        <f>'Expenditures 15-22'!K312</f>
        <v>1</v>
      </c>
      <c r="C1560" s="2" t="s">
        <v>594</v>
      </c>
      <c r="D1560" s="2" t="str">
        <f t="shared" si="23"/>
        <v>Error?</v>
      </c>
    </row>
    <row r="1561" spans="1:4" x14ac:dyDescent="0.2">
      <c r="A1561" s="5">
        <v>1500</v>
      </c>
      <c r="B1561" s="138">
        <f>'Expenditures 15-22'!K313</f>
        <v>60996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2188162.0099999998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2319982</v>
      </c>
      <c r="C1630" s="2" t="s">
        <v>594</v>
      </c>
      <c r="D1630" s="2" t="str">
        <f t="shared" si="24"/>
        <v>Error?</v>
      </c>
    </row>
    <row r="1631" spans="1:4" x14ac:dyDescent="0.2">
      <c r="A1631" s="5">
        <v>1570</v>
      </c>
      <c r="B1631" s="138">
        <f>'Acct Summary 7-8'!D79</f>
        <v>609562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604247</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392698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506934</v>
      </c>
      <c r="C1672" s="2" t="s">
        <v>594</v>
      </c>
      <c r="D1672" s="2" t="str">
        <f t="shared" si="25"/>
        <v>Error?</v>
      </c>
    </row>
    <row r="1673" spans="1:4" x14ac:dyDescent="0.2">
      <c r="A1673" s="5">
        <v>1612</v>
      </c>
      <c r="B1673" s="138">
        <f>'Acct Summary 7-8'!G79</f>
        <v>147216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102548</v>
      </c>
      <c r="C1686" s="2" t="s">
        <v>594</v>
      </c>
      <c r="D1686" s="2" t="str">
        <f t="shared" si="25"/>
        <v>Error?</v>
      </c>
    </row>
    <row r="1687" spans="1:4" x14ac:dyDescent="0.2">
      <c r="A1687" s="5">
        <v>1626</v>
      </c>
      <c r="B1687" s="138">
        <f>'Acct Summary 7-8'!H79</f>
        <v>79644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140640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763756</v>
      </c>
      <c r="C1744" s="2" t="s">
        <v>594</v>
      </c>
      <c r="D1744" s="2" t="str">
        <f t="shared" si="26"/>
        <v>Error?</v>
      </c>
    </row>
    <row r="1745" spans="1:5" x14ac:dyDescent="0.2">
      <c r="A1745" s="5">
        <v>1684</v>
      </c>
      <c r="B1745" s="138">
        <f>'Tax Sched 23'!B5</f>
        <v>98057</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9886</v>
      </c>
      <c r="C1747" s="2" t="s">
        <v>594</v>
      </c>
      <c r="D1747" s="2" t="str">
        <f t="shared" si="26"/>
        <v>Error?</v>
      </c>
    </row>
    <row r="1748" spans="1:5" x14ac:dyDescent="0.2">
      <c r="A1748" s="5">
        <v>1687</v>
      </c>
      <c r="B1748" s="138">
        <f>'Tax Sched 23'!B8</f>
        <v>990</v>
      </c>
      <c r="C1748" s="2" t="s">
        <v>594</v>
      </c>
      <c r="D1748" s="2" t="str">
        <f t="shared" si="26"/>
        <v>Error?</v>
      </c>
    </row>
    <row r="1749" spans="1:5" x14ac:dyDescent="0.2">
      <c r="A1749" s="5">
        <v>1688</v>
      </c>
      <c r="B1749" s="138">
        <f>'Tax Sched 23'!B10</f>
        <v>10265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9887</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27678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921509</v>
      </c>
      <c r="C1759" s="2" t="s">
        <v>594</v>
      </c>
      <c r="D1759" s="2" t="str">
        <f t="shared" si="26"/>
        <v>Error?</v>
      </c>
    </row>
    <row r="1760" spans="1:5" x14ac:dyDescent="0.2">
      <c r="A1760" s="5">
        <v>1699</v>
      </c>
      <c r="B1760" s="138">
        <f>'Tax Sched 23'!D4</f>
        <v>763756</v>
      </c>
      <c r="C1760" s="2" t="s">
        <v>594</v>
      </c>
      <c r="D1760" s="2" t="str">
        <f t="shared" si="26"/>
        <v>Error?</v>
      </c>
    </row>
    <row r="1761" spans="1:5" x14ac:dyDescent="0.2">
      <c r="A1761" s="5">
        <v>1700</v>
      </c>
      <c r="B1761" s="138">
        <f>'Tax Sched 23'!D5</f>
        <v>98057</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9886</v>
      </c>
      <c r="C1763" s="2" t="s">
        <v>594</v>
      </c>
      <c r="D1763" s="2" t="str">
        <f t="shared" si="26"/>
        <v>Error?</v>
      </c>
    </row>
    <row r="1764" spans="1:5" x14ac:dyDescent="0.2">
      <c r="A1764" s="5">
        <v>1703</v>
      </c>
      <c r="B1764" s="138">
        <f>'Tax Sched 23'!D8</f>
        <v>990</v>
      </c>
      <c r="C1764" s="2" t="s">
        <v>594</v>
      </c>
      <c r="D1764" s="2" t="str">
        <f t="shared" si="26"/>
        <v>Error?</v>
      </c>
    </row>
    <row r="1765" spans="1:5" x14ac:dyDescent="0.2">
      <c r="A1765" s="5">
        <v>1704</v>
      </c>
      <c r="B1765" s="138">
        <f>'Tax Sched 23'!D10</f>
        <v>10265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9887</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27678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921509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793103</v>
      </c>
      <c r="C1792" s="2" t="s">
        <v>594</v>
      </c>
      <c r="D1792" s="2" t="str">
        <f t="shared" si="27"/>
        <v>Error?</v>
      </c>
    </row>
    <row r="1793" spans="1:4" x14ac:dyDescent="0.2">
      <c r="A1793" s="5">
        <v>1732</v>
      </c>
      <c r="B1793" s="138">
        <f>'Tax Sched 23'!F5</f>
        <v>101123</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14377</v>
      </c>
      <c r="C1795" s="2" t="s">
        <v>594</v>
      </c>
      <c r="D1795" s="2" t="str">
        <f t="shared" si="27"/>
        <v>Error?</v>
      </c>
    </row>
    <row r="1796" spans="1:4" x14ac:dyDescent="0.2">
      <c r="A1796" s="5">
        <v>1735</v>
      </c>
      <c r="B1796" s="138">
        <f>'Tax Sched 23'!F8</f>
        <v>4463</v>
      </c>
      <c r="C1796" s="2" t="s">
        <v>594</v>
      </c>
      <c r="D1796" s="2" t="str">
        <f t="shared" si="27"/>
        <v>Error?</v>
      </c>
    </row>
    <row r="1797" spans="1:4" x14ac:dyDescent="0.2">
      <c r="A1797" s="5">
        <v>1736</v>
      </c>
      <c r="B1797" s="138">
        <f>'Tax Sched 23'!F10</f>
        <v>11254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10906</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29746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969930</v>
      </c>
      <c r="C1807" s="2" t="s">
        <v>594</v>
      </c>
      <c r="D1807" s="2" t="str">
        <f t="shared" si="27"/>
        <v>Error?</v>
      </c>
    </row>
    <row r="1808" spans="1:4" x14ac:dyDescent="0.2">
      <c r="A1808" s="5">
        <v>1747</v>
      </c>
      <c r="B1808" s="138">
        <f>'Tax Sched 23'!E4</f>
        <v>793103</v>
      </c>
      <c r="D1808" s="2" t="str">
        <f t="shared" si="27"/>
        <v>Error?</v>
      </c>
    </row>
    <row r="1809" spans="1:4" x14ac:dyDescent="0.2">
      <c r="A1809" s="5">
        <v>1748</v>
      </c>
      <c r="B1809" s="138">
        <f>'Tax Sched 23'!E5</f>
        <v>101123</v>
      </c>
      <c r="D1809" s="2" t="str">
        <f t="shared" si="27"/>
        <v>Error?</v>
      </c>
    </row>
    <row r="1810" spans="1:4" x14ac:dyDescent="0.2">
      <c r="A1810" s="5">
        <v>1749</v>
      </c>
      <c r="B1810" s="138">
        <f>'Tax Sched 23'!E6</f>
        <v>0</v>
      </c>
      <c r="D1810" s="2" t="str">
        <f t="shared" si="27"/>
        <v>Error?</v>
      </c>
    </row>
    <row r="1811" spans="1:4" x14ac:dyDescent="0.2">
      <c r="A1811" s="5">
        <v>1750</v>
      </c>
      <c r="B1811" s="138">
        <f>'Tax Sched 23'!E7</f>
        <v>14377</v>
      </c>
      <c r="D1811" s="2" t="str">
        <f t="shared" si="27"/>
        <v>Error?</v>
      </c>
    </row>
    <row r="1812" spans="1:4" x14ac:dyDescent="0.2">
      <c r="A1812" s="5">
        <v>1751</v>
      </c>
      <c r="B1812" s="138">
        <f>'Tax Sched 23'!E8</f>
        <v>4463</v>
      </c>
      <c r="D1812" s="2" t="str">
        <f t="shared" si="27"/>
        <v>Error?</v>
      </c>
    </row>
    <row r="1813" spans="1:4" x14ac:dyDescent="0.2">
      <c r="A1813" s="5">
        <v>1752</v>
      </c>
      <c r="B1813" s="138">
        <f>'Tax Sched 23'!E10</f>
        <v>11254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10906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29746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969930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27678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27678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27678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166496</v>
      </c>
      <c r="D2008" s="2" t="str">
        <f t="shared" si="30"/>
        <v>Error?</v>
      </c>
    </row>
    <row r="2009" spans="1:4" x14ac:dyDescent="0.2">
      <c r="A2009" s="5">
        <v>1948</v>
      </c>
      <c r="B2009" s="138">
        <f>'Cap Outlay Deprec 26'!C8</f>
        <v>3101603</v>
      </c>
      <c r="D2009" s="2" t="str">
        <f t="shared" si="30"/>
        <v>Error?</v>
      </c>
    </row>
    <row r="2010" spans="1:4" x14ac:dyDescent="0.2">
      <c r="A2010" s="5">
        <v>1949</v>
      </c>
      <c r="B2010" s="138">
        <f>'Cap Outlay Deprec 26'!C10</f>
        <v>74490</v>
      </c>
      <c r="D2010" s="2" t="str">
        <f t="shared" si="30"/>
        <v>Error?</v>
      </c>
    </row>
    <row r="2011" spans="1:4" x14ac:dyDescent="0.2">
      <c r="A2011" s="5">
        <v>1950</v>
      </c>
      <c r="B2011" s="138">
        <f>'Cap Outlay Deprec 26'!C12</f>
        <v>191674</v>
      </c>
      <c r="D2011" s="2" t="str">
        <f t="shared" si="30"/>
        <v>Error?</v>
      </c>
    </row>
    <row r="2012" spans="1:4" x14ac:dyDescent="0.2">
      <c r="A2012" s="5">
        <v>1951</v>
      </c>
      <c r="B2012" s="138">
        <f>'Cap Outlay Deprec 26'!C13</f>
        <v>19630</v>
      </c>
      <c r="D2012" s="2" t="str">
        <f t="shared" si="30"/>
        <v>Error?</v>
      </c>
    </row>
    <row r="2013" spans="1:4" x14ac:dyDescent="0.2">
      <c r="A2013" s="5">
        <v>1952</v>
      </c>
      <c r="B2013" s="138">
        <f>'Cap Outlay Deprec 26'!C16</f>
        <v>3553893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25720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79104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104824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6168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6168</v>
      </c>
      <c r="C2025" s="2" t="s">
        <v>594</v>
      </c>
      <c r="D2025" s="2" t="str">
        <f t="shared" si="30"/>
        <v>Error?</v>
      </c>
    </row>
    <row r="2026" spans="1:4" x14ac:dyDescent="0.2">
      <c r="A2026" s="5">
        <v>1965</v>
      </c>
      <c r="B2026" s="138">
        <f>'Cap Outlay Deprec 26'!F5</f>
        <v>166496</v>
      </c>
      <c r="C2026" s="2" t="s">
        <v>594</v>
      </c>
      <c r="D2026" s="2" t="str">
        <f t="shared" si="30"/>
        <v>Error?</v>
      </c>
    </row>
    <row r="2027" spans="1:4" x14ac:dyDescent="0.2">
      <c r="A2027" s="5">
        <v>1966</v>
      </c>
      <c r="B2027" s="138">
        <f>'Cap Outlay Deprec 26'!F8</f>
        <v>3127323</v>
      </c>
      <c r="C2027" s="2" t="s">
        <v>594</v>
      </c>
      <c r="D2027" s="2" t="str">
        <f t="shared" si="30"/>
        <v>Error?</v>
      </c>
    </row>
    <row r="2028" spans="1:4" x14ac:dyDescent="0.2">
      <c r="A2028" s="5">
        <v>1967</v>
      </c>
      <c r="B2028" s="138">
        <f>'Cap Outlay Deprec 26'!F10</f>
        <v>74490</v>
      </c>
      <c r="C2028" s="2" t="s">
        <v>594</v>
      </c>
      <c r="D2028" s="2" t="str">
        <f t="shared" si="30"/>
        <v>Error?</v>
      </c>
    </row>
    <row r="2029" spans="1:4" x14ac:dyDescent="0.2">
      <c r="A2029" s="5">
        <v>1968</v>
      </c>
      <c r="B2029" s="138">
        <f>'Cap Outlay Deprec 26'!F12</f>
        <v>264610</v>
      </c>
      <c r="C2029" s="2" t="s">
        <v>594</v>
      </c>
      <c r="D2029" s="2" t="str">
        <f t="shared" si="30"/>
        <v>Error?</v>
      </c>
    </row>
    <row r="2030" spans="1:4" x14ac:dyDescent="0.2">
      <c r="A2030" s="5">
        <v>1969</v>
      </c>
      <c r="B2030" s="138">
        <f>'Cap Outlay Deprec 26'!F13</f>
        <v>19630</v>
      </c>
      <c r="C2030" s="2" t="s">
        <v>594</v>
      </c>
      <c r="D2030" s="2" t="str">
        <f t="shared" si="30"/>
        <v>Error?</v>
      </c>
    </row>
    <row r="2031" spans="1:4" x14ac:dyDescent="0.2">
      <c r="A2031" s="5">
        <v>1970</v>
      </c>
      <c r="B2031" s="138">
        <f>'Cap Outlay Deprec 26'!F16</f>
        <v>3652549</v>
      </c>
      <c r="C2031" s="2" t="s">
        <v>594</v>
      </c>
      <c r="D2031" s="2" t="str">
        <f t="shared" si="30"/>
        <v>Error?</v>
      </c>
    </row>
    <row r="2032" spans="1:4" x14ac:dyDescent="0.2">
      <c r="A2032" s="10">
        <v>1971</v>
      </c>
      <c r="D2032" s="2" t="str">
        <f t="shared" si="30"/>
        <v>OK</v>
      </c>
    </row>
    <row r="2033" spans="1:4" x14ac:dyDescent="0.2">
      <c r="A2033" s="5">
        <v>1972</v>
      </c>
      <c r="B2033" s="138">
        <f>'Cap Outlay Deprec 26'!H8</f>
        <v>1023393</v>
      </c>
      <c r="D2033" s="2" t="str">
        <f t="shared" si="30"/>
        <v>Error?</v>
      </c>
    </row>
    <row r="2034" spans="1:4" x14ac:dyDescent="0.2">
      <c r="A2034" s="5">
        <v>1973</v>
      </c>
      <c r="B2034" s="138">
        <f>'Cap Outlay Deprec 26'!H10</f>
        <v>48190</v>
      </c>
      <c r="D2034" s="2" t="str">
        <f t="shared" si="30"/>
        <v>Error?</v>
      </c>
    </row>
    <row r="2035" spans="1:4" x14ac:dyDescent="0.2">
      <c r="A2035" s="5">
        <v>1974</v>
      </c>
      <c r="B2035" s="138">
        <f>'Cap Outlay Deprec 26'!H12</f>
        <v>93231</v>
      </c>
      <c r="D2035" s="2" t="str">
        <f t="shared" si="30"/>
        <v>Error?</v>
      </c>
    </row>
    <row r="2036" spans="1:4" x14ac:dyDescent="0.2">
      <c r="A2036" s="5">
        <v>1975</v>
      </c>
      <c r="B2036" s="138">
        <f>'Cap Outlay Deprec 26'!H13</f>
        <v>7852</v>
      </c>
      <c r="D2036" s="2" t="str">
        <f t="shared" si="30"/>
        <v>Error?</v>
      </c>
    </row>
    <row r="2037" spans="1:4" x14ac:dyDescent="0.2">
      <c r="A2037" s="5">
        <v>1976</v>
      </c>
      <c r="B2037" s="138">
        <f>'Cap Outlay Deprec 26'!H16</f>
        <v>1172666</v>
      </c>
      <c r="C2037" s="2" t="s">
        <v>594</v>
      </c>
      <c r="D2037" s="2" t="str">
        <f t="shared" si="30"/>
        <v>Error?</v>
      </c>
    </row>
    <row r="2038" spans="1:4" x14ac:dyDescent="0.2">
      <c r="A2038" s="10">
        <v>1977</v>
      </c>
      <c r="D2038" s="2" t="str">
        <f t="shared" si="30"/>
        <v>OK</v>
      </c>
    </row>
    <row r="2039" spans="1:4" x14ac:dyDescent="0.2">
      <c r="A2039" s="5">
        <v>1978</v>
      </c>
      <c r="B2039" s="138">
        <f>'Cap Outlay Deprec 26'!I8</f>
        <v>53645</v>
      </c>
      <c r="D2039" s="2" t="str">
        <f t="shared" si="30"/>
        <v>Error?</v>
      </c>
    </row>
    <row r="2040" spans="1:4" x14ac:dyDescent="0.2">
      <c r="A2040" s="5">
        <v>1979</v>
      </c>
      <c r="B2040" s="138">
        <f>'Cap Outlay Deprec 26'!I10</f>
        <v>5601</v>
      </c>
      <c r="D2040" s="2" t="str">
        <f t="shared" si="30"/>
        <v>Error?</v>
      </c>
    </row>
    <row r="2041" spans="1:4" x14ac:dyDescent="0.2">
      <c r="A2041" s="5">
        <v>1980</v>
      </c>
      <c r="B2041" s="138">
        <f>'Cap Outlay Deprec 26'!I12</f>
        <v>26462</v>
      </c>
      <c r="D2041" s="2" t="str">
        <f t="shared" si="30"/>
        <v>Error?</v>
      </c>
    </row>
    <row r="2042" spans="1:4" x14ac:dyDescent="0.2">
      <c r="A2042" s="5">
        <v>1981</v>
      </c>
      <c r="B2042" s="138">
        <f>'Cap Outlay Deprec 26'!I13</f>
        <v>3926</v>
      </c>
      <c r="D2042" s="2" t="str">
        <f t="shared" si="30"/>
        <v>Error?</v>
      </c>
    </row>
    <row r="2043" spans="1:4" x14ac:dyDescent="0.2">
      <c r="A2043" s="5">
        <v>1982</v>
      </c>
      <c r="B2043" s="138">
        <f>'Cap Outlay Deprec 26'!I16</f>
        <v>89634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6168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6168</v>
      </c>
      <c r="C2049" s="2" t="s">
        <v>594</v>
      </c>
      <c r="D2049" s="2" t="str">
        <f t="shared" si="31"/>
        <v>Error?</v>
      </c>
    </row>
    <row r="2050" spans="1:4" x14ac:dyDescent="0.2">
      <c r="A2050" s="10">
        <v>1989</v>
      </c>
      <c r="D2050" s="2" t="str">
        <f t="shared" si="31"/>
        <v>OK</v>
      </c>
    </row>
    <row r="2051" spans="1:4" x14ac:dyDescent="0.2">
      <c r="A2051" s="5">
        <v>1990</v>
      </c>
      <c r="B2051" s="138">
        <f>'Cap Outlay Deprec 26'!K8</f>
        <v>1077038</v>
      </c>
      <c r="C2051" s="2" t="s">
        <v>594</v>
      </c>
      <c r="D2051" s="2" t="str">
        <f t="shared" si="31"/>
        <v>Error?</v>
      </c>
    </row>
    <row r="2052" spans="1:4" x14ac:dyDescent="0.2">
      <c r="A2052" s="5">
        <v>1991</v>
      </c>
      <c r="B2052" s="138">
        <f>'Cap Outlay Deprec 26'!K10</f>
        <v>53791</v>
      </c>
      <c r="C2052" s="2" t="s">
        <v>594</v>
      </c>
      <c r="D2052" s="2" t="str">
        <f t="shared" si="31"/>
        <v>Error?</v>
      </c>
    </row>
    <row r="2053" spans="1:4" x14ac:dyDescent="0.2">
      <c r="A2053" s="5">
        <v>1992</v>
      </c>
      <c r="B2053" s="138">
        <f>'Cap Outlay Deprec 26'!K12</f>
        <v>113525</v>
      </c>
      <c r="C2053" s="2" t="s">
        <v>594</v>
      </c>
      <c r="D2053" s="2" t="str">
        <f t="shared" si="31"/>
        <v>Error?</v>
      </c>
    </row>
    <row r="2054" spans="1:4" x14ac:dyDescent="0.2">
      <c r="A2054" s="5">
        <v>1993</v>
      </c>
      <c r="B2054" s="138">
        <f>'Cap Outlay Deprec 26'!K13</f>
        <v>11778</v>
      </c>
      <c r="C2054" s="2" t="s">
        <v>594</v>
      </c>
      <c r="D2054" s="2" t="str">
        <f t="shared" si="31"/>
        <v>Error?</v>
      </c>
    </row>
    <row r="2055" spans="1:4" x14ac:dyDescent="0.2">
      <c r="A2055" s="5">
        <v>1994</v>
      </c>
      <c r="B2055" s="138">
        <f>'Cap Outlay Deprec 26'!K16</f>
        <v>1256132</v>
      </c>
      <c r="C2055" s="2" t="s">
        <v>594</v>
      </c>
      <c r="D2055" s="2" t="str">
        <f t="shared" si="31"/>
        <v>Error?</v>
      </c>
    </row>
    <row r="2056" spans="1:4" x14ac:dyDescent="0.2">
      <c r="A2056" s="5">
        <v>1995</v>
      </c>
      <c r="B2056" s="138">
        <f>'Cap Outlay Deprec 26'!L5</f>
        <v>166496</v>
      </c>
      <c r="C2056" s="2" t="s">
        <v>594</v>
      </c>
      <c r="D2056" s="2" t="str">
        <f t="shared" si="31"/>
        <v>Error?</v>
      </c>
    </row>
    <row r="2057" spans="1:4" x14ac:dyDescent="0.2">
      <c r="A2057" s="5">
        <v>1996</v>
      </c>
      <c r="B2057" s="138">
        <f>'Cap Outlay Deprec 26'!L8</f>
        <v>2050285</v>
      </c>
      <c r="C2057" s="2" t="s">
        <v>594</v>
      </c>
      <c r="D2057" s="2" t="str">
        <f t="shared" si="31"/>
        <v>Error?</v>
      </c>
    </row>
    <row r="2058" spans="1:4" x14ac:dyDescent="0.2">
      <c r="A2058" s="5">
        <v>1997</v>
      </c>
      <c r="B2058" s="138">
        <f>'Cap Outlay Deprec 26'!L10</f>
        <v>20699</v>
      </c>
      <c r="C2058" s="2" t="s">
        <v>594</v>
      </c>
      <c r="D2058" s="2" t="str">
        <f t="shared" si="31"/>
        <v>Error?</v>
      </c>
    </row>
    <row r="2059" spans="1:4" x14ac:dyDescent="0.2">
      <c r="A2059" s="5">
        <v>1998</v>
      </c>
      <c r="B2059" s="138">
        <f>'Cap Outlay Deprec 26'!L12</f>
        <v>151085</v>
      </c>
      <c r="C2059" s="2" t="s">
        <v>594</v>
      </c>
      <c r="D2059" s="2" t="str">
        <f t="shared" si="31"/>
        <v>Error?</v>
      </c>
    </row>
    <row r="2060" spans="1:4" x14ac:dyDescent="0.2">
      <c r="A2060" s="5">
        <v>1999</v>
      </c>
      <c r="B2060" s="138">
        <f>'Cap Outlay Deprec 26'!L13</f>
        <v>7852</v>
      </c>
      <c r="C2060" s="2" t="s">
        <v>594</v>
      </c>
      <c r="D2060" s="2" t="str">
        <f t="shared" si="31"/>
        <v>Error?</v>
      </c>
    </row>
    <row r="2061" spans="1:4" x14ac:dyDescent="0.2">
      <c r="A2061" s="5">
        <v>2000</v>
      </c>
      <c r="B2061" s="138">
        <f>'Cap Outlay Deprec 26'!L16</f>
        <v>2396417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1581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5618</v>
      </c>
      <c r="C2088" s="2" t="s">
        <v>594</v>
      </c>
      <c r="D2088" s="2" t="str">
        <f t="shared" si="31"/>
        <v>Error?</v>
      </c>
    </row>
    <row r="2089" spans="1:4" x14ac:dyDescent="0.2">
      <c r="A2089" s="5">
        <v>2028</v>
      </c>
      <c r="B2089" s="138">
        <f>'Expenditures 15-22'!K92</f>
        <v>83219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1086709</v>
      </c>
      <c r="C2551" s="2" t="s">
        <v>594</v>
      </c>
      <c r="D2551" s="2" t="str">
        <f t="shared" si="38"/>
        <v>Error?</v>
      </c>
    </row>
    <row r="2552" spans="1:4" x14ac:dyDescent="0.2">
      <c r="A2552" s="10">
        <v>2491</v>
      </c>
      <c r="D2552" s="2" t="str">
        <f t="shared" si="38"/>
        <v>OK</v>
      </c>
    </row>
    <row r="2553" spans="1:4" x14ac:dyDescent="0.2">
      <c r="A2553" s="5">
        <v>2492</v>
      </c>
      <c r="B2553" s="138">
        <f>'Acct Summary 7-8'!C6</f>
        <v>371717</v>
      </c>
      <c r="C2553" s="2" t="s">
        <v>594</v>
      </c>
      <c r="D2553" s="2" t="str">
        <f t="shared" si="38"/>
        <v>Error?</v>
      </c>
    </row>
    <row r="2554" spans="1:4" x14ac:dyDescent="0.2">
      <c r="A2554" s="5">
        <v>2493</v>
      </c>
      <c r="B2554" s="138">
        <f>'Acct Summary 7-8'!C7</f>
        <v>167496.99</v>
      </c>
      <c r="C2554" s="2" t="s">
        <v>594</v>
      </c>
      <c r="D2554" s="2" t="str">
        <f t="shared" si="38"/>
        <v>Error?</v>
      </c>
    </row>
    <row r="2555" spans="1:4" x14ac:dyDescent="0.2">
      <c r="A2555" s="5">
        <v>2494</v>
      </c>
      <c r="B2555" s="138">
        <f>'Acct Summary 7-8'!C8</f>
        <v>1625922.99</v>
      </c>
      <c r="C2555" s="2" t="s">
        <v>594</v>
      </c>
      <c r="D2555" s="2" t="str">
        <f t="shared" si="38"/>
        <v>Error?</v>
      </c>
    </row>
    <row r="2556" spans="1:4" x14ac:dyDescent="0.2">
      <c r="A2556" s="5">
        <v>2495</v>
      </c>
      <c r="B2556" s="138">
        <f>'Acct Summary 7-8'!C12</f>
        <v>1039954</v>
      </c>
      <c r="C2556" s="2" t="s">
        <v>594</v>
      </c>
      <c r="D2556" s="2" t="str">
        <f t="shared" si="38"/>
        <v>Error?</v>
      </c>
    </row>
    <row r="2557" spans="1:4" x14ac:dyDescent="0.2">
      <c r="A2557" s="5">
        <v>2496</v>
      </c>
      <c r="B2557" s="138">
        <f>'Acct Summary 7-8'!C13</f>
        <v>364687</v>
      </c>
      <c r="C2557" s="2" t="s">
        <v>594</v>
      </c>
      <c r="D2557" s="2" t="str">
        <f t="shared" si="38"/>
        <v>Error?</v>
      </c>
    </row>
    <row r="2558" spans="1:4" x14ac:dyDescent="0.2">
      <c r="A2558" s="5">
        <v>2497</v>
      </c>
      <c r="B2558" s="138">
        <f>'Acct Summary 7-8'!C14</f>
        <v>625</v>
      </c>
      <c r="C2558" s="2" t="s">
        <v>594</v>
      </c>
      <c r="D2558" s="2" t="str">
        <f t="shared" si="38"/>
        <v>Error?</v>
      </c>
    </row>
    <row r="2559" spans="1:4" x14ac:dyDescent="0.2">
      <c r="A2559" s="5">
        <v>2498</v>
      </c>
      <c r="B2559" s="138">
        <f>'Acct Summary 7-8'!C15</f>
        <v>88837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1494103</v>
      </c>
      <c r="C2561" s="2" t="s">
        <v>594</v>
      </c>
      <c r="D2561" s="2" t="str">
        <f t="shared" si="39"/>
        <v>Error?</v>
      </c>
    </row>
    <row r="2562" spans="1:4" x14ac:dyDescent="0.2">
      <c r="A2562" s="5">
        <v>2501</v>
      </c>
      <c r="B2562" s="138">
        <f>'Acct Summary 7-8'!C20</f>
        <v>131819.99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163159</v>
      </c>
      <c r="C2564" s="2" t="s">
        <v>594</v>
      </c>
      <c r="D2564" s="2" t="str">
        <f t="shared" si="39"/>
        <v>Error?</v>
      </c>
    </row>
    <row r="2565" spans="1:4" x14ac:dyDescent="0.2">
      <c r="A2565" s="10">
        <v>2504</v>
      </c>
      <c r="D2565" s="2" t="str">
        <f t="shared" si="39"/>
        <v>OK</v>
      </c>
    </row>
    <row r="2566" spans="1:4" x14ac:dyDescent="0.2">
      <c r="A2566" s="5">
        <v>2505</v>
      </c>
      <c r="B2566" s="138">
        <f>'Acct Summary 7-8'!D6</f>
        <v>71922</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235081</v>
      </c>
      <c r="C2568" s="2" t="s">
        <v>594</v>
      </c>
      <c r="D2568" s="2" t="str">
        <f t="shared" si="39"/>
        <v>Error?</v>
      </c>
    </row>
    <row r="2569" spans="1:4" x14ac:dyDescent="0.2">
      <c r="A2569" s="5">
        <v>2508</v>
      </c>
      <c r="B2569" s="138">
        <f>'Acct Summary 7-8'!D13</f>
        <v>212870</v>
      </c>
      <c r="C2569" s="2" t="s">
        <v>594</v>
      </c>
      <c r="D2569" s="2" t="str">
        <f t="shared" si="39"/>
        <v>Error?</v>
      </c>
    </row>
    <row r="2570" spans="1:4" x14ac:dyDescent="0.2">
      <c r="A2570" s="5">
        <v>2509</v>
      </c>
      <c r="B2570" s="138">
        <f>'Acct Summary 7-8'!D14</f>
        <v>27526</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240396</v>
      </c>
      <c r="C2573" s="2" t="s">
        <v>594</v>
      </c>
      <c r="D2573" s="2" t="str">
        <f t="shared" si="39"/>
        <v>Error?</v>
      </c>
    </row>
    <row r="2574" spans="1:4" x14ac:dyDescent="0.2">
      <c r="A2574" s="5">
        <v>2513</v>
      </c>
      <c r="B2574" s="138">
        <f>'Acct Summary 7-8'!D20</f>
        <v>-5315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21533</v>
      </c>
      <c r="C2591" s="2" t="s">
        <v>594</v>
      </c>
      <c r="D2591" s="2" t="str">
        <f t="shared" si="39"/>
        <v>Error?</v>
      </c>
    </row>
    <row r="2592" spans="1:4" x14ac:dyDescent="0.2">
      <c r="A2592" s="10">
        <v>2531</v>
      </c>
      <c r="D2592" s="2" t="str">
        <f t="shared" si="39"/>
        <v>OK</v>
      </c>
    </row>
    <row r="2593" spans="1:4" x14ac:dyDescent="0.2">
      <c r="A2593" s="5">
        <v>2532</v>
      </c>
      <c r="B2593" s="138">
        <f>'Acct Summary 7-8'!F6</f>
        <v>230250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251783</v>
      </c>
      <c r="C2595" s="2" t="s">
        <v>594</v>
      </c>
      <c r="D2595" s="2" t="str">
        <f t="shared" si="39"/>
        <v>Error?</v>
      </c>
    </row>
    <row r="2596" spans="1:4" x14ac:dyDescent="0.2">
      <c r="A2596" s="5">
        <v>2535</v>
      </c>
      <c r="B2596" s="138">
        <f>'Acct Summary 7-8'!F13</f>
        <v>137547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137547</v>
      </c>
      <c r="C2600" s="2" t="s">
        <v>594</v>
      </c>
      <c r="D2600" s="2" t="str">
        <f t="shared" si="39"/>
        <v>Error?</v>
      </c>
    </row>
    <row r="2601" spans="1:4" x14ac:dyDescent="0.2">
      <c r="A2601" s="5">
        <v>2540</v>
      </c>
      <c r="B2601" s="138">
        <f>'Acct Summary 7-8'!F20</f>
        <v>114236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7708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7708</v>
      </c>
      <c r="C2606" s="2" t="s">
        <v>594</v>
      </c>
      <c r="D2606" s="2" t="str">
        <f t="shared" si="39"/>
        <v>Error?</v>
      </c>
    </row>
    <row r="2607" spans="1:4" x14ac:dyDescent="0.2">
      <c r="A2607" s="5">
        <v>2546</v>
      </c>
      <c r="B2607" s="138">
        <f>'Acct Summary 7-8'!G12</f>
        <v>22540</v>
      </c>
      <c r="C2607" s="2" t="s">
        <v>594</v>
      </c>
      <c r="D2607" s="2" t="str">
        <f t="shared" si="39"/>
        <v>Error?</v>
      </c>
    </row>
    <row r="2608" spans="1:4" x14ac:dyDescent="0.2">
      <c r="A2608" s="5">
        <v>2547</v>
      </c>
      <c r="B2608" s="138">
        <f>'Acct Summary 7-8'!G13</f>
        <v>27720</v>
      </c>
      <c r="C2608" s="2" t="s">
        <v>594</v>
      </c>
      <c r="D2608" s="2" t="str">
        <f t="shared" si="39"/>
        <v>Error?</v>
      </c>
    </row>
    <row r="2609" spans="1:4" x14ac:dyDescent="0.2">
      <c r="A2609" s="5">
        <v>2548</v>
      </c>
      <c r="B2609" s="138">
        <f>'Acct Summary 7-8'!G14</f>
        <v>2116</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52376</v>
      </c>
      <c r="C2612" s="2" t="s">
        <v>594</v>
      </c>
      <c r="D2612" s="2" t="str">
        <f t="shared" si="39"/>
        <v>Error?</v>
      </c>
    </row>
    <row r="2613" spans="1:4" x14ac:dyDescent="0.2">
      <c r="A2613" s="5">
        <v>2552</v>
      </c>
      <c r="B2613" s="138">
        <f>'Acct Summary 7-8'!G20</f>
        <v>-44668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60997</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60997</v>
      </c>
      <c r="C2658" s="2" t="s">
        <v>594</v>
      </c>
      <c r="D2658" s="2" t="str">
        <f t="shared" si="40"/>
        <v>Error?</v>
      </c>
    </row>
    <row r="2659" spans="1:4" x14ac:dyDescent="0.2">
      <c r="A2659" s="5">
        <v>2598</v>
      </c>
      <c r="B2659" s="138">
        <f>'Acct Summary 7-8'!H13</f>
        <v>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v>
      </c>
      <c r="C2661" s="2" t="s">
        <v>594</v>
      </c>
      <c r="D2661" s="2" t="str">
        <f t="shared" si="40"/>
        <v>Error?</v>
      </c>
    </row>
    <row r="2662" spans="1:4" x14ac:dyDescent="0.2">
      <c r="A2662" s="5">
        <v>2601</v>
      </c>
      <c r="B2662" s="138">
        <f>'Acct Summary 7-8'!H20</f>
        <v>60996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12480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12480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4037</v>
      </c>
      <c r="C2789" s="2" t="s">
        <v>594</v>
      </c>
      <c r="D2789" s="2" t="str">
        <f t="shared" si="42"/>
        <v>Error?</v>
      </c>
    </row>
    <row r="2790" spans="1:4" x14ac:dyDescent="0.2">
      <c r="A2790" s="5">
        <v>2729</v>
      </c>
      <c r="B2790" s="138">
        <f>'Expenditures 15-22'!E102</f>
        <v>4037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27338</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104</v>
      </c>
      <c r="D2799" s="2" t="str">
        <f t="shared" si="42"/>
        <v>Error?</v>
      </c>
    </row>
    <row r="2800" spans="1:4" x14ac:dyDescent="0.2">
      <c r="A2800" s="5">
        <v>2739</v>
      </c>
      <c r="B2800" s="138">
        <f>'Expenditures 15-22'!F130</f>
        <v>84</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27526</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41078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129822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19105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129822</v>
      </c>
      <c r="D2912" s="2" t="str">
        <f t="shared" si="44"/>
        <v>Error?</v>
      </c>
    </row>
    <row r="2913" spans="1:4" x14ac:dyDescent="0.2">
      <c r="A2913" s="5">
        <v>2852</v>
      </c>
      <c r="B2913" s="138">
        <f>'Assets-Liab 5-6'!I41</f>
        <v>129822</v>
      </c>
      <c r="C2913" s="2" t="s">
        <v>594</v>
      </c>
      <c r="D2913" s="2" t="str">
        <f t="shared" si="44"/>
        <v>Error?</v>
      </c>
    </row>
    <row r="2914" spans="1:4" x14ac:dyDescent="0.2">
      <c r="A2914" s="5">
        <v>2853</v>
      </c>
      <c r="B2914" s="138">
        <f>'Assets-Liab 5-6'!L33</f>
        <v>19105</v>
      </c>
      <c r="D2914" s="2" t="str">
        <f t="shared" si="44"/>
        <v>Error?</v>
      </c>
    </row>
    <row r="2915" spans="1:4" x14ac:dyDescent="0.2">
      <c r="A2915" s="10">
        <v>2854</v>
      </c>
      <c r="D2915" s="2" t="str">
        <f t="shared" si="44"/>
        <v>OK</v>
      </c>
    </row>
    <row r="2916" spans="1:4" x14ac:dyDescent="0.2">
      <c r="A2916" s="5">
        <v>2855</v>
      </c>
      <c r="B2916" s="138">
        <f>'Assets-Liab 5-6'!L34</f>
        <v>19105</v>
      </c>
      <c r="C2916" s="2" t="s">
        <v>594</v>
      </c>
      <c r="D2916" s="2" t="str">
        <f t="shared" si="44"/>
        <v>Error?</v>
      </c>
    </row>
    <row r="2917" spans="1:4" x14ac:dyDescent="0.2">
      <c r="A2917" s="5">
        <v>2856</v>
      </c>
      <c r="B2917" s="138">
        <f>'Assets-Liab 5-6'!L41</f>
        <v>19105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4037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1581</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1581</v>
      </c>
      <c r="C2973" s="2" t="s">
        <v>594</v>
      </c>
      <c r="D2973" s="2" t="str">
        <f t="shared" si="45"/>
        <v>Error?</v>
      </c>
    </row>
    <row r="2974" spans="1:4" x14ac:dyDescent="0.2">
      <c r="A2974" s="5">
        <v>2913</v>
      </c>
      <c r="B2974" s="138">
        <f>'Expenditures 15-22'!K79</f>
        <v>4037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28959</v>
      </c>
      <c r="D3055" s="2" t="str">
        <f t="shared" si="46"/>
        <v>Error?</v>
      </c>
    </row>
    <row r="3056" spans="1:4" x14ac:dyDescent="0.2">
      <c r="A3056" s="5">
        <v>2995</v>
      </c>
      <c r="B3056" s="138">
        <f>'Expenditures 15-22'!D10</f>
        <v>5788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25590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60337</v>
      </c>
      <c r="C3062" s="2" t="s">
        <v>594</v>
      </c>
      <c r="D3062" s="2" t="str">
        <f t="shared" si="46"/>
        <v>Error?</v>
      </c>
    </row>
    <row r="3063" spans="1:4" x14ac:dyDescent="0.2">
      <c r="A3063" s="10">
        <v>3002</v>
      </c>
      <c r="D3063" s="2" t="str">
        <f t="shared" si="46"/>
        <v>OK</v>
      </c>
    </row>
    <row r="3064" spans="1:4" x14ac:dyDescent="0.2">
      <c r="A3064" s="5">
        <v>3003</v>
      </c>
      <c r="B3064" s="138">
        <f>'Expenditures 15-22'!D219</f>
        <v>4568</v>
      </c>
      <c r="D3064" s="2" t="str">
        <f t="shared" si="46"/>
        <v>Error?</v>
      </c>
    </row>
    <row r="3065" spans="1:4" x14ac:dyDescent="0.2">
      <c r="A3065" s="5">
        <v>3004</v>
      </c>
      <c r="B3065" s="138">
        <f>'Expenditures 15-22'!K219</f>
        <v>4568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10423</v>
      </c>
      <c r="C3225" s="2" t="s">
        <v>594</v>
      </c>
      <c r="D3225" s="2" t="str">
        <f t="shared" si="49"/>
        <v>Error?</v>
      </c>
    </row>
    <row r="3226" spans="1:4" x14ac:dyDescent="0.2">
      <c r="A3226" s="5">
        <v>3165</v>
      </c>
      <c r="B3226" s="138">
        <f>'Acct Summary 7-8'!I8</f>
        <v>10423</v>
      </c>
      <c r="C3226" s="2" t="s">
        <v>594</v>
      </c>
      <c r="D3226" s="2" t="str">
        <f t="shared" si="49"/>
        <v>Error?</v>
      </c>
    </row>
    <row r="3227" spans="1:4" x14ac:dyDescent="0.2">
      <c r="A3227" s="5">
        <v>3166</v>
      </c>
      <c r="B3227" s="138">
        <f>'Acct Summary 7-8'!I20</f>
        <v>10423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131819.99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-5315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114236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-44668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60996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10423</v>
      </c>
      <c r="C3320" s="2" t="s">
        <v>594</v>
      </c>
      <c r="D3320" s="2" t="str">
        <f t="shared" si="50"/>
        <v>Error?</v>
      </c>
    </row>
    <row r="3321" spans="1:4" x14ac:dyDescent="0.2">
      <c r="A3321" s="5">
        <v>3260</v>
      </c>
      <c r="B3321" s="138">
        <f>'Acct Summary 7-8'!I79</f>
        <v>119399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129822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82449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7792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4929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95170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8102</v>
      </c>
      <c r="D3387" s="2" t="str">
        <f t="shared" si="51"/>
        <v>Error?</v>
      </c>
    </row>
    <row r="3388" spans="1:4" x14ac:dyDescent="0.2">
      <c r="A3388" s="5">
        <v>3327</v>
      </c>
      <c r="B3388" s="138">
        <f>'Expenditures 15-22'!D217</f>
        <v>7408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8102</v>
      </c>
      <c r="C3390" s="2" t="s">
        <v>594</v>
      </c>
      <c r="D3390" s="2" t="str">
        <f t="shared" si="51"/>
        <v>Error?</v>
      </c>
    </row>
    <row r="3391" spans="1:4" x14ac:dyDescent="0.2">
      <c r="A3391" s="5">
        <v>3330</v>
      </c>
      <c r="B3391" s="138">
        <f>'Expenditures 15-22'!K217</f>
        <v>7408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1850681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604247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250858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645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140640</v>
      </c>
      <c r="D3425" s="2" t="str">
        <f t="shared" si="52"/>
        <v>Error?</v>
      </c>
    </row>
    <row r="3426" spans="1:4" x14ac:dyDescent="0.2">
      <c r="A3426" s="10">
        <v>3365</v>
      </c>
      <c r="D3426" s="2" t="str">
        <f t="shared" si="52"/>
        <v>OK</v>
      </c>
    </row>
    <row r="3427" spans="1:4" x14ac:dyDescent="0.2">
      <c r="A3427" s="5">
        <v>3366</v>
      </c>
      <c r="B3427" s="138">
        <f>'Assets-Liab 5-6'!I4</f>
        <v>88744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19105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990</v>
      </c>
      <c r="C3446" s="2" t="s">
        <v>594</v>
      </c>
      <c r="D3446" s="2" t="str">
        <f t="shared" si="52"/>
        <v>Error?</v>
      </c>
    </row>
    <row r="3447" spans="1:4" x14ac:dyDescent="0.2">
      <c r="A3447" s="5">
        <v>3386</v>
      </c>
      <c r="B3447" s="138">
        <f>'Tax Sched 23'!D16</f>
        <v>990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4958</v>
      </c>
      <c r="C3449" s="2" t="s">
        <v>594</v>
      </c>
      <c r="D3449" s="2" t="str">
        <f t="shared" si="52"/>
        <v>Error?</v>
      </c>
    </row>
    <row r="3450" spans="1:4" x14ac:dyDescent="0.2">
      <c r="A3450" s="5">
        <v>3389</v>
      </c>
      <c r="B3450" s="138">
        <f>'Tax Sched 23'!E16</f>
        <v>4958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24644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453671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2079593.99</v>
      </c>
      <c r="C4122" s="2" t="s">
        <v>594</v>
      </c>
      <c r="D4122" s="2" t="str">
        <f t="shared" si="63"/>
        <v>Error?</v>
      </c>
    </row>
    <row r="4123" spans="1:4" x14ac:dyDescent="0.2">
      <c r="A4123" s="5">
        <v>4062</v>
      </c>
      <c r="B4123" s="138">
        <f>'Acct Summary 7-8'!D10</f>
        <v>235081</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251783</v>
      </c>
      <c r="C4125" s="2" t="s">
        <v>594</v>
      </c>
      <c r="D4125" s="2" t="str">
        <f t="shared" si="63"/>
        <v>Error?</v>
      </c>
    </row>
    <row r="4126" spans="1:4" x14ac:dyDescent="0.2">
      <c r="A4126" s="5">
        <v>4065</v>
      </c>
      <c r="B4126" s="138">
        <f>'Acct Summary 7-8'!G10</f>
        <v>7708</v>
      </c>
      <c r="C4126" s="2" t="s">
        <v>594</v>
      </c>
      <c r="D4126" s="2" t="str">
        <f t="shared" si="63"/>
        <v>Error?</v>
      </c>
    </row>
    <row r="4127" spans="1:4" x14ac:dyDescent="0.2">
      <c r="A4127" s="5">
        <v>4066</v>
      </c>
      <c r="B4127" s="138">
        <f>'Acct Summary 7-8'!H10</f>
        <v>60997</v>
      </c>
      <c r="C4127" s="2" t="s">
        <v>594</v>
      </c>
      <c r="D4127" s="2" t="str">
        <f t="shared" si="63"/>
        <v>Error?</v>
      </c>
    </row>
    <row r="4128" spans="1:4" x14ac:dyDescent="0.2">
      <c r="A4128" s="5">
        <v>4067</v>
      </c>
      <c r="B4128" s="138">
        <f>'Acct Summary 7-8'!I10</f>
        <v>10423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453671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1947774</v>
      </c>
      <c r="C4136" s="2" t="s">
        <v>594</v>
      </c>
      <c r="D4136" s="2" t="str">
        <f t="shared" si="63"/>
        <v>Error?</v>
      </c>
    </row>
    <row r="4137" spans="1:4" x14ac:dyDescent="0.2">
      <c r="A4137" s="5">
        <v>4076</v>
      </c>
      <c r="B4137" s="138">
        <f>'Acct Summary 7-8'!D19</f>
        <v>240396</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137547</v>
      </c>
      <c r="C4139" s="2" t="s">
        <v>594</v>
      </c>
      <c r="D4139" s="2" t="str">
        <f t="shared" si="63"/>
        <v>Error?</v>
      </c>
    </row>
    <row r="4140" spans="1:4" x14ac:dyDescent="0.2">
      <c r="A4140" s="5">
        <v>4079</v>
      </c>
      <c r="B4140" s="138">
        <f>'Acct Summary 7-8'!G19</f>
        <v>52376</v>
      </c>
      <c r="C4140" s="2" t="s">
        <v>594</v>
      </c>
      <c r="D4140" s="2" t="str">
        <f t="shared" si="63"/>
        <v>Error?</v>
      </c>
    </row>
    <row r="4141" spans="1:4" x14ac:dyDescent="0.2">
      <c r="A4141" s="5">
        <v>4080</v>
      </c>
      <c r="B4141" s="138">
        <f>'Acct Summary 7-8'!H19</f>
        <v>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3215.8049999999998</v>
      </c>
      <c r="C4265" s="2" t="s">
        <v>594</v>
      </c>
      <c r="D4265" s="2" t="str">
        <f t="shared" si="65"/>
        <v>Error?</v>
      </c>
      <c r="E4265" s="128"/>
    </row>
    <row r="4266" spans="1:5" x14ac:dyDescent="0.2">
      <c r="A4266" s="12">
        <v>4205</v>
      </c>
      <c r="B4266" s="138">
        <f>('FP Info 3'!F10)*100000</f>
        <v>410.02</v>
      </c>
      <c r="C4266" s="2" t="s">
        <v>594</v>
      </c>
      <c r="D4266" s="2" t="str">
        <f t="shared" si="65"/>
        <v>Error?</v>
      </c>
      <c r="E4266" s="128"/>
    </row>
    <row r="4267" spans="1:5" x14ac:dyDescent="0.2">
      <c r="A4267" s="12">
        <v>4206</v>
      </c>
      <c r="B4267" s="138">
        <f>('FP Info 3'!H10)*100000</f>
        <v>582.9</v>
      </c>
      <c r="C4267" s="2" t="s">
        <v>594</v>
      </c>
      <c r="D4267" s="2" t="str">
        <f t="shared" si="65"/>
        <v>Error?</v>
      </c>
      <c r="E4267" s="128"/>
    </row>
    <row r="4268" spans="1:5" x14ac:dyDescent="0.2">
      <c r="A4268" s="12">
        <v>4207</v>
      </c>
      <c r="B4268" s="138">
        <f>('FP Info 3'!J10)*100000</f>
        <v>4209</v>
      </c>
      <c r="C4268" s="2" t="s">
        <v>594</v>
      </c>
      <c r="D4268" s="2" t="str">
        <f t="shared" si="65"/>
        <v>Error?</v>
      </c>
    </row>
    <row r="4269" spans="1:5" x14ac:dyDescent="0.2">
      <c r="A4269" s="12">
        <v>4208</v>
      </c>
      <c r="B4269" s="138">
        <f>'FP Info 3'!J16</f>
        <v>3560985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8285.99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456.3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34416</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36704943</v>
      </c>
      <c r="D4995" s="2" t="str">
        <f t="shared" si="77"/>
        <v>Error?</v>
      </c>
    </row>
    <row r="4996" spans="1:4" x14ac:dyDescent="0.2">
      <c r="A4996" s="12">
        <v>4935</v>
      </c>
      <c r="B4996" s="138">
        <f>'FP Info 3'!H31</f>
        <v>2532641.0670000003</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763756</v>
      </c>
      <c r="D5061" s="2" t="str">
        <f t="shared" si="78"/>
        <v>Error?</v>
      </c>
    </row>
    <row r="5062" spans="1:4" x14ac:dyDescent="0.2">
      <c r="A5062" s="10">
        <v>5001</v>
      </c>
      <c r="D5062" s="2" t="str">
        <f t="shared" si="78"/>
        <v>OK</v>
      </c>
    </row>
    <row r="5063" spans="1:4" x14ac:dyDescent="0.2">
      <c r="A5063" s="5">
        <v>5002</v>
      </c>
      <c r="B5063" s="138">
        <f>'Revenues 9-14'!C7</f>
        <v>27678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791434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34220</v>
      </c>
      <c r="D5069" s="2" t="str">
        <f t="shared" si="78"/>
        <v>Error?</v>
      </c>
    </row>
    <row r="5070" spans="1:4" x14ac:dyDescent="0.2">
      <c r="A5070" s="5">
        <v>5009</v>
      </c>
      <c r="B5070" s="138">
        <f>'Revenues 9-14'!C17</f>
        <v>231272</v>
      </c>
      <c r="D5070" s="2" t="str">
        <f t="shared" si="78"/>
        <v>Error?</v>
      </c>
    </row>
    <row r="5071" spans="1:4" x14ac:dyDescent="0.2">
      <c r="A5071" s="5">
        <v>5010</v>
      </c>
      <c r="B5071" s="138">
        <f>'Revenues 9-14'!C18</f>
        <v>265492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4151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4151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580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12453</v>
      </c>
      <c r="C5096" s="2" t="s">
        <v>594</v>
      </c>
      <c r="D5096" s="2" t="str">
        <f t="shared" si="78"/>
        <v>Error?</v>
      </c>
    </row>
    <row r="5097" spans="1:4" x14ac:dyDescent="0.2">
      <c r="A5097" s="5">
        <v>5036</v>
      </c>
      <c r="B5097" s="138">
        <f>'Revenues 9-14'!C77</f>
        <v>9607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9607</v>
      </c>
      <c r="C5102" s="2" t="s">
        <v>594</v>
      </c>
      <c r="D5102" s="2" t="str">
        <f t="shared" si="78"/>
        <v>Error?</v>
      </c>
    </row>
    <row r="5103" spans="1:4" x14ac:dyDescent="0.2">
      <c r="A5103" s="5">
        <v>5042</v>
      </c>
      <c r="B5103" s="138">
        <f>'Revenues 9-14'!C84</f>
        <v>2060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2060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1512</v>
      </c>
      <c r="D5119" s="2" t="str">
        <f t="shared" ref="D5119:D5182" si="79">IF(ISBLANK(B5119),"OK",IF(A5119-B5119=0,"OK","Error?"))</f>
        <v>Error?</v>
      </c>
    </row>
    <row r="5120" spans="1:4" x14ac:dyDescent="0.2">
      <c r="A5120" s="5">
        <v>5059</v>
      </c>
      <c r="B5120" s="138">
        <f>'Revenues 9-14'!C108</f>
        <v>1512</v>
      </c>
      <c r="C5120" s="2" t="s">
        <v>594</v>
      </c>
      <c r="D5120" s="2" t="str">
        <f t="shared" si="79"/>
        <v>Error?</v>
      </c>
    </row>
    <row r="5121" spans="1:4" x14ac:dyDescent="0.2">
      <c r="A5121" s="5">
        <v>5060</v>
      </c>
      <c r="B5121" s="138">
        <f>'Revenues 9-14'!C109</f>
        <v>1086709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294188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294188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7662</v>
      </c>
      <c r="D5134" s="2" t="str">
        <f t="shared" si="79"/>
        <v>Error?</v>
      </c>
    </row>
    <row r="5135" spans="1:4" x14ac:dyDescent="0.2">
      <c r="A5135" s="5">
        <v>5074</v>
      </c>
      <c r="B5135" s="138">
        <f>'Revenues 9-14'!C126</f>
        <v>8500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16162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636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60731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77529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371717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34416</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30583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7048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37631</v>
      </c>
      <c r="C5246" s="2" t="s">
        <v>594</v>
      </c>
      <c r="D5246" s="2" t="str">
        <f t="shared" si="80"/>
        <v>Error?</v>
      </c>
    </row>
    <row r="5247" spans="1:4" x14ac:dyDescent="0.2">
      <c r="A5247" s="5">
        <v>5186</v>
      </c>
      <c r="B5247" s="138">
        <f>'Revenues 9-14'!C203</f>
        <v>87164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87164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133080.99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167496.99</v>
      </c>
      <c r="C5326" s="2" t="s">
        <v>594</v>
      </c>
      <c r="D5326" s="2" t="str">
        <f t="shared" si="82"/>
        <v>Error?</v>
      </c>
    </row>
    <row r="5327" spans="1:4" x14ac:dyDescent="0.2">
      <c r="A5327" s="5">
        <v>5266</v>
      </c>
      <c r="B5327" s="138">
        <f>'Revenues 9-14'!C275</f>
        <v>1625922.99</v>
      </c>
      <c r="C5327" s="2" t="s">
        <v>594</v>
      </c>
      <c r="D5327" s="2" t="str">
        <f t="shared" si="82"/>
        <v>Error?</v>
      </c>
    </row>
    <row r="5328" spans="1:4" x14ac:dyDescent="0.2">
      <c r="A5328" s="5">
        <v>5267</v>
      </c>
      <c r="B5328" s="138">
        <f>'Revenues 9-14'!D5</f>
        <v>98057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98057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45000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4845</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4845</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15257</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15257</v>
      </c>
      <c r="C5355" s="2" t="s">
        <v>594</v>
      </c>
      <c r="D5355" s="2" t="str">
        <f t="shared" si="82"/>
        <v>Error?</v>
      </c>
    </row>
    <row r="5356" spans="1:4" x14ac:dyDescent="0.2">
      <c r="A5356" s="5">
        <v>5295</v>
      </c>
      <c r="B5356" s="138">
        <f>'Revenues 9-14'!D109</f>
        <v>163159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71922</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71922</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71922</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235081</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9886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9886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10500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10500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1147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1147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21533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152221</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152221</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50525</v>
      </c>
      <c r="D5615" s="2" t="str">
        <f t="shared" si="86"/>
        <v>Error?</v>
      </c>
    </row>
    <row r="5616" spans="1:4" x14ac:dyDescent="0.2">
      <c r="A5616" s="10">
        <v>5555</v>
      </c>
      <c r="D5616" s="2" t="str">
        <f t="shared" si="86"/>
        <v>OK</v>
      </c>
    </row>
    <row r="5617" spans="1:4" x14ac:dyDescent="0.2">
      <c r="A5617" s="5">
        <v>5556</v>
      </c>
      <c r="B5617" s="138">
        <f>'Revenues 9-14'!F152</f>
        <v>27504</v>
      </c>
      <c r="D5617" s="2" t="str">
        <f t="shared" si="86"/>
        <v>Error?</v>
      </c>
    </row>
    <row r="5618" spans="1:4" x14ac:dyDescent="0.2">
      <c r="A5618" s="5">
        <v>5557</v>
      </c>
      <c r="B5618" s="138">
        <f>'Revenues 9-14'!F154</f>
        <v>78029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78029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230250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251783</v>
      </c>
      <c r="C5720" s="2" t="s">
        <v>594</v>
      </c>
      <c r="D5720" s="2" t="str">
        <f t="shared" si="88"/>
        <v>Error?</v>
      </c>
    </row>
    <row r="5721" spans="1:4" x14ac:dyDescent="0.2">
      <c r="A5721" s="5">
        <v>5660</v>
      </c>
      <c r="B5721" s="138">
        <f>'Revenues 9-14'!G5</f>
        <v>990</v>
      </c>
      <c r="D5721" s="2" t="str">
        <f t="shared" si="88"/>
        <v>Error?</v>
      </c>
    </row>
    <row r="5722" spans="1:4" x14ac:dyDescent="0.2">
      <c r="A5722" s="5">
        <v>5661</v>
      </c>
      <c r="B5722" s="138">
        <f>'Revenues 9-14'!G7</f>
        <v>0</v>
      </c>
      <c r="D5722" s="2" t="str">
        <f t="shared" si="88"/>
        <v>Error?</v>
      </c>
    </row>
    <row r="5723" spans="1:4" x14ac:dyDescent="0.2">
      <c r="A5723" s="5">
        <v>5662</v>
      </c>
      <c r="B5723" s="138">
        <f>'Revenues 9-14'!G8</f>
        <v>990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1980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5500</v>
      </c>
      <c r="C5730" s="2" t="s">
        <v>594</v>
      </c>
      <c r="D5730" s="2" t="str">
        <f t="shared" si="88"/>
        <v>Error?</v>
      </c>
    </row>
    <row r="5731" spans="1:4" x14ac:dyDescent="0.2">
      <c r="A5731" s="5">
        <v>5670</v>
      </c>
      <c r="B5731" s="138">
        <f>'Revenues 9-14'!G65</f>
        <v>228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7708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60997</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60997</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60997</v>
      </c>
      <c r="C5915" s="2" t="s">
        <v>594</v>
      </c>
      <c r="D5915" s="2" t="str">
        <f t="shared" si="91"/>
        <v>Error?</v>
      </c>
    </row>
    <row r="5916" spans="1:4" x14ac:dyDescent="0.2">
      <c r="A5916" s="5">
        <v>5855</v>
      </c>
      <c r="B5916" s="138">
        <f>'Revenues 9-14'!I5</f>
        <v>10265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10265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158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10423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7708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10423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11873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5418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120.96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2028</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52603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52603</v>
      </c>
      <c r="D6215" s="2" t="str">
        <f t="shared" si="96"/>
        <v>Error?</v>
      </c>
      <c r="E6215" s="2" t="s">
        <v>199</v>
      </c>
    </row>
    <row r="6216" spans="1:5" x14ac:dyDescent="0.2">
      <c r="A6216">
        <v>6155</v>
      </c>
      <c r="B6216" s="138">
        <f>'Assets-Liab 5-6'!J41</f>
        <v>52603</v>
      </c>
      <c r="D6216" s="2" t="str">
        <f t="shared" si="96"/>
        <v>Error?</v>
      </c>
      <c r="E6216" s="2" t="s">
        <v>199</v>
      </c>
    </row>
    <row r="6217" spans="1:5" x14ac:dyDescent="0.2">
      <c r="A6217">
        <v>6156</v>
      </c>
      <c r="B6217" s="138">
        <f>'Assets-Liab 5-6'!J4</f>
        <v>50575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9887</v>
      </c>
      <c r="D6220" s="2" t="str">
        <f t="shared" si="96"/>
        <v>Error?</v>
      </c>
      <c r="E6220" s="2" t="s">
        <v>199</v>
      </c>
    </row>
    <row r="6221" spans="1:5" x14ac:dyDescent="0.2">
      <c r="A6221">
        <v>6160</v>
      </c>
      <c r="B6221" s="138">
        <f>'Acct Summary 7-8'!J6</f>
        <v>53617</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63504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63504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108296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108296</v>
      </c>
      <c r="D6229" s="2" t="str">
        <f t="shared" si="96"/>
        <v>Error?</v>
      </c>
      <c r="E6229" s="2" t="s">
        <v>199</v>
      </c>
    </row>
    <row r="6230" spans="1:5" x14ac:dyDescent="0.2">
      <c r="A6230">
        <v>6169</v>
      </c>
      <c r="B6230" s="138">
        <f>'Acct Summary 7-8'!J20</f>
        <v>-44792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-44792</v>
      </c>
      <c r="D6263" s="2" t="str">
        <f t="shared" si="96"/>
        <v>Error?</v>
      </c>
      <c r="E6263" s="2" t="s">
        <v>199</v>
      </c>
    </row>
    <row r="6264" spans="1:5" x14ac:dyDescent="0.2">
      <c r="A6264">
        <v>6203</v>
      </c>
      <c r="B6264" s="138">
        <f>'Acct Summary 7-8'!J79</f>
        <v>97395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52603</v>
      </c>
      <c r="D6266" s="2" t="str">
        <f t="shared" si="96"/>
        <v>Error?</v>
      </c>
      <c r="E6266" s="2" t="s">
        <v>199</v>
      </c>
    </row>
    <row r="6267" spans="1:5" x14ac:dyDescent="0.2">
      <c r="A6267">
        <v>6206</v>
      </c>
      <c r="B6267" s="138">
        <f>'Acct Summary 7-8'!C82</f>
        <v>131819.99000000022</v>
      </c>
      <c r="D6267" s="2" t="str">
        <f t="shared" si="96"/>
        <v>Error?</v>
      </c>
      <c r="E6267" s="2" t="s">
        <v>199</v>
      </c>
    </row>
    <row r="6268" spans="1:5" x14ac:dyDescent="0.2">
      <c r="A6268">
        <v>6207</v>
      </c>
      <c r="B6268" s="138">
        <f>'Acct Summary 7-8'!D82</f>
        <v>-5315</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114236</v>
      </c>
      <c r="D6270" s="2" t="str">
        <f t="shared" si="96"/>
        <v>Error?</v>
      </c>
      <c r="E6270" s="2" t="s">
        <v>199</v>
      </c>
    </row>
    <row r="6271" spans="1:5" x14ac:dyDescent="0.2">
      <c r="A6271">
        <v>6210</v>
      </c>
      <c r="B6271" s="138">
        <f>'Acct Summary 7-8'!G82</f>
        <v>-44668</v>
      </c>
      <c r="D6271" s="2" t="str">
        <f t="shared" ref="D6271:D6334" si="97">IF(ISBLANK(B6271),"OK",IF(A6271-B6271=0,"OK","Error?"))</f>
        <v>Error?</v>
      </c>
      <c r="E6271" s="2" t="s">
        <v>199</v>
      </c>
    </row>
    <row r="6272" spans="1:5" x14ac:dyDescent="0.2">
      <c r="A6272">
        <v>6211</v>
      </c>
      <c r="B6272" s="138">
        <f>'Acct Summary 7-8'!H82</f>
        <v>60996</v>
      </c>
      <c r="D6272" s="2" t="str">
        <f t="shared" si="97"/>
        <v>Error?</v>
      </c>
      <c r="E6272" s="2" t="s">
        <v>199</v>
      </c>
    </row>
    <row r="6273" spans="1:5" x14ac:dyDescent="0.2">
      <c r="A6273">
        <v>6212</v>
      </c>
      <c r="B6273" s="138">
        <f>'Acct Summary 7-8'!I82</f>
        <v>10423</v>
      </c>
      <c r="D6273" s="2" t="str">
        <f t="shared" si="97"/>
        <v>Error?</v>
      </c>
      <c r="E6273" s="2" t="s">
        <v>199</v>
      </c>
    </row>
    <row r="6274" spans="1:5" x14ac:dyDescent="0.2">
      <c r="A6274">
        <v>6213</v>
      </c>
      <c r="B6274" s="138">
        <f>'Acct Summary 7-8'!J82</f>
        <v>-44792</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5.6819402047084945E-2</v>
      </c>
      <c r="D6276" s="2" t="str">
        <f t="shared" si="97"/>
        <v>Error?</v>
      </c>
      <c r="E6276" s="2" t="s">
        <v>199</v>
      </c>
    </row>
    <row r="6277" spans="1:5" x14ac:dyDescent="0.2">
      <c r="A6277">
        <v>6216</v>
      </c>
      <c r="B6277" s="138">
        <f>'Acct Summary 7-8'!D83</f>
        <v>-8.7960718050730906E-3</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0.22534688933865157</v>
      </c>
      <c r="D6279" s="2" t="str">
        <f t="shared" si="97"/>
        <v>Error?</v>
      </c>
      <c r="E6279" s="2" t="s">
        <v>199</v>
      </c>
    </row>
    <row r="6280" spans="1:5" x14ac:dyDescent="0.2">
      <c r="A6280">
        <v>6219</v>
      </c>
      <c r="B6280" s="138">
        <f>'Acct Summary 7-8'!G83</f>
        <v>-0.43558138627764559</v>
      </c>
      <c r="D6280" s="2" t="str">
        <f t="shared" si="97"/>
        <v>Error?</v>
      </c>
      <c r="E6280" s="2" t="s">
        <v>199</v>
      </c>
    </row>
    <row r="6281" spans="1:5" x14ac:dyDescent="0.2">
      <c r="A6281">
        <v>6220</v>
      </c>
      <c r="B6281" s="138">
        <f>'Acct Summary 7-8'!H83</f>
        <v>0.43370307167235495</v>
      </c>
      <c r="D6281" s="2" t="str">
        <f t="shared" si="97"/>
        <v>Error?</v>
      </c>
      <c r="E6281" s="2" t="s">
        <v>199</v>
      </c>
    </row>
    <row r="6282" spans="1:5" x14ac:dyDescent="0.2">
      <c r="A6282">
        <v>6221</v>
      </c>
      <c r="B6282" s="138">
        <f>'Acct Summary 7-8'!I83</f>
        <v>8.0286854308206618E-2</v>
      </c>
      <c r="D6282" s="2" t="str">
        <f t="shared" si="97"/>
        <v>Error?</v>
      </c>
      <c r="E6282" s="2" t="s">
        <v>199</v>
      </c>
    </row>
    <row r="6283" spans="1:5" x14ac:dyDescent="0.2">
      <c r="A6283">
        <v>6222</v>
      </c>
      <c r="B6283" s="138">
        <f>'Acct Summary 7-8'!J83</f>
        <v>-0.85151037013098108</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9887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9887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9887</v>
      </c>
      <c r="D6352" s="2" t="str">
        <f t="shared" si="98"/>
        <v>Error?</v>
      </c>
      <c r="E6352" s="2" t="s">
        <v>199</v>
      </c>
    </row>
    <row r="6353" spans="1:5" x14ac:dyDescent="0.2">
      <c r="A6353">
        <v>6292</v>
      </c>
      <c r="B6353" s="138">
        <f>'Revenues 9-14'!J117</f>
        <v>53617</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53617</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53617</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33325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39873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200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83219</v>
      </c>
      <c r="D6983" s="2" t="str">
        <f t="shared" si="108"/>
        <v>Error?</v>
      </c>
    </row>
    <row r="6984" spans="1:4" x14ac:dyDescent="0.2">
      <c r="A6984">
        <v>6923</v>
      </c>
      <c r="B6984" s="138">
        <f>'Expenditures 15-22'!K86</f>
        <v>83219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83219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200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108296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63504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1841</v>
      </c>
      <c r="D7073" s="2" t="str">
        <f t="shared" si="109"/>
        <v>Error?</v>
      </c>
    </row>
    <row r="7074" spans="1:4" x14ac:dyDescent="0.2">
      <c r="A7074">
        <v>7013</v>
      </c>
      <c r="B7074" s="138">
        <f>'Expenditures 15-22'!K216</f>
        <v>1841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1268</v>
      </c>
      <c r="D7089" s="2" t="str">
        <f t="shared" si="109"/>
        <v>Error?</v>
      </c>
    </row>
    <row r="7090" spans="1:4" x14ac:dyDescent="0.2">
      <c r="A7090">
        <v>7029</v>
      </c>
      <c r="B7090" s="138">
        <f>'Expenditures 15-22'!K252</f>
        <v>1268</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1487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1487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2881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2881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19773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19773</v>
      </c>
      <c r="D7153" s="2" t="str">
        <f t="shared" si="110"/>
        <v>Error?</v>
      </c>
    </row>
    <row r="7154" spans="1:4" x14ac:dyDescent="0.2">
      <c r="A7154">
        <v>7093</v>
      </c>
      <c r="B7154" s="138">
        <f>'Expenditures 15-22'!C323</f>
        <v>15731</v>
      </c>
      <c r="D7154" s="2" t="str">
        <f t="shared" si="110"/>
        <v>Error?</v>
      </c>
    </row>
    <row r="7155" spans="1:4" x14ac:dyDescent="0.2">
      <c r="A7155">
        <v>7094</v>
      </c>
      <c r="B7155" s="138">
        <f>'Expenditures 15-22'!D323</f>
        <v>238</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15969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49750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49750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18436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18436</v>
      </c>
      <c r="D7198" s="2" t="str">
        <f t="shared" si="111"/>
        <v>Error?</v>
      </c>
    </row>
    <row r="7199" spans="1:4" x14ac:dyDescent="0.2">
      <c r="A7199">
        <v>7138</v>
      </c>
      <c r="B7199" s="138">
        <f>'Expenditures 15-22'!C330</f>
        <v>15731</v>
      </c>
      <c r="D7199" s="2" t="str">
        <f t="shared" si="111"/>
        <v>Error?</v>
      </c>
    </row>
    <row r="7200" spans="1:4" x14ac:dyDescent="0.2">
      <c r="A7200">
        <v>7139</v>
      </c>
      <c r="B7200" s="138">
        <f>'Expenditures 15-22'!D330</f>
        <v>238</v>
      </c>
      <c r="D7200" s="2" t="str">
        <f t="shared" si="111"/>
        <v>Error?</v>
      </c>
    </row>
    <row r="7201" spans="1:4" x14ac:dyDescent="0.2">
      <c r="A7201">
        <v>7140</v>
      </c>
      <c r="B7201" s="138">
        <f>'Expenditures 15-22'!E330</f>
        <v>92327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108296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15731</v>
      </c>
      <c r="D7216" s="2" t="str">
        <f t="shared" si="111"/>
        <v>Error?</v>
      </c>
    </row>
    <row r="7217" spans="1:4" x14ac:dyDescent="0.2">
      <c r="A7217">
        <v>7156</v>
      </c>
      <c r="B7217" s="138">
        <f>'Expenditures 15-22'!D342</f>
        <v>238</v>
      </c>
      <c r="D7217" s="2" t="str">
        <f t="shared" si="111"/>
        <v>Error?</v>
      </c>
    </row>
    <row r="7218" spans="1:4" x14ac:dyDescent="0.2">
      <c r="A7218">
        <v>7157</v>
      </c>
      <c r="B7218" s="138">
        <f>'Expenditures 15-22'!E342</f>
        <v>92327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108296</v>
      </c>
      <c r="D7224" s="2" t="str">
        <f t="shared" si="111"/>
        <v>Error?</v>
      </c>
    </row>
    <row r="7225" spans="1:4" x14ac:dyDescent="0.2">
      <c r="A7225">
        <v>7164</v>
      </c>
      <c r="B7225" s="138">
        <f>'Expenditures 15-22'!K343</f>
        <v>-44792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3823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2263</v>
      </c>
      <c r="D7248" s="2" t="str">
        <f t="shared" si="112"/>
        <v>Error?</v>
      </c>
    </row>
    <row r="7249" spans="1:4" x14ac:dyDescent="0.2">
      <c r="A7249">
        <f t="shared" si="113"/>
        <v>7188</v>
      </c>
      <c r="B7249" s="138">
        <f>'Expenditures 15-22'!G7</f>
        <v>462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200</v>
      </c>
      <c r="D7624" s="2" t="str">
        <f t="shared" si="124"/>
        <v>Error?</v>
      </c>
      <c r="E7624" s="2" t="s">
        <v>19</v>
      </c>
    </row>
    <row r="7625" spans="1:5" x14ac:dyDescent="0.2">
      <c r="A7625">
        <f t="shared" si="123"/>
        <v>7564</v>
      </c>
      <c r="B7625" s="138">
        <f>'Cap Outlay Deprec 26'!I17</f>
        <v>20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89654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60997</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27678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231751.38999999998</v>
      </c>
      <c r="D7797" s="2" t="str">
        <f t="shared" si="127"/>
        <v>Error?</v>
      </c>
      <c r="E7797" s="4" t="s">
        <v>2020</v>
      </c>
    </row>
    <row r="7798" spans="1:5" x14ac:dyDescent="0.2">
      <c r="A7798">
        <v>7737</v>
      </c>
      <c r="B7798" s="138">
        <f>'Contracts Paid in CY 29'!F141</f>
        <v>160607.59</v>
      </c>
      <c r="D7798" s="2" t="str">
        <f t="shared" si="127"/>
        <v>Error?</v>
      </c>
      <c r="E7798" s="4" t="s">
        <v>2020</v>
      </c>
    </row>
    <row r="7799" spans="1:5" x14ac:dyDescent="0.2">
      <c r="A7799">
        <v>7738</v>
      </c>
      <c r="B7799" s="138">
        <f>'Contracts Paid in CY 29'!G141</f>
        <v>71143.8</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7" colorId="8" zoomScale="110" zoomScaleNormal="110" workbookViewId="0">
      <selection activeCell="E70" sqref="E7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92" t="s">
        <v>686</v>
      </c>
      <c r="B3" s="2393"/>
      <c r="C3" s="2393"/>
      <c r="D3" s="2394"/>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3" t="s">
        <v>1584</v>
      </c>
      <c r="D7" s="2404"/>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5" t="s">
        <v>1065</v>
      </c>
      <c r="B15" s="2396"/>
      <c r="C15" s="2396"/>
      <c r="D15" s="2397"/>
    </row>
    <row r="16" spans="1:4" s="669" customFormat="1" ht="24" customHeight="1" x14ac:dyDescent="0.2">
      <c r="A16" s="2398" t="s">
        <v>684</v>
      </c>
      <c r="B16" s="2399"/>
      <c r="C16" s="2399"/>
      <c r="D16" s="240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7" t="s">
        <v>332</v>
      </c>
      <c r="D21" s="2408"/>
    </row>
    <row r="22" spans="1:10" ht="12.75" x14ac:dyDescent="0.2">
      <c r="A22" s="1140"/>
      <c r="B22" s="1141">
        <v>2</v>
      </c>
      <c r="C22" s="2405" t="s">
        <v>1605</v>
      </c>
      <c r="D22" s="240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9" t="s">
        <v>557</v>
      </c>
      <c r="D43" s="241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1" t="s">
        <v>817</v>
      </c>
      <c r="D56" s="240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401" t="s">
        <v>1797</v>
      </c>
      <c r="D70" s="240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1" t="s">
        <v>1253</v>
      </c>
      <c r="B2" s="2411"/>
      <c r="C2" s="2411"/>
      <c r="D2" s="2411"/>
      <c r="E2" s="2411"/>
      <c r="F2" s="2411"/>
      <c r="G2" s="2411"/>
      <c r="H2" s="2411"/>
      <c r="I2" s="2411"/>
      <c r="J2" s="2411"/>
      <c r="K2" s="2411"/>
      <c r="L2" s="2411"/>
    </row>
    <row r="3" spans="1:29" ht="13.5" customHeight="1" x14ac:dyDescent="0.2">
      <c r="A3" s="2442" t="s">
        <v>1252</v>
      </c>
      <c r="B3" s="2442"/>
      <c r="C3" s="2442"/>
      <c r="D3" s="2442"/>
      <c r="E3" s="2442"/>
      <c r="F3" s="2442"/>
      <c r="G3" s="2442"/>
      <c r="H3" s="2442"/>
      <c r="I3" s="2442"/>
      <c r="J3" s="2442"/>
      <c r="K3" s="2442"/>
      <c r="L3" s="2442"/>
    </row>
    <row r="4" spans="1:29" ht="13.5" customHeight="1" x14ac:dyDescent="0.2">
      <c r="A4" s="2411" t="s">
        <v>1799</v>
      </c>
      <c r="B4" s="2432"/>
      <c r="C4" s="2432"/>
      <c r="D4" s="2432"/>
      <c r="E4" s="2432"/>
      <c r="F4" s="2432"/>
      <c r="G4" s="2432"/>
      <c r="H4" s="2432"/>
      <c r="I4" s="2432"/>
      <c r="J4" s="2432"/>
      <c r="K4" s="2432"/>
      <c r="L4" s="243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33" t="str">
        <f>COVER!A17</f>
        <v>Saunemin Elementary</v>
      </c>
      <c r="B7" s="2434"/>
      <c r="C7" s="2434"/>
      <c r="D7" s="2435"/>
      <c r="E7" s="2436">
        <f>COVER!A13</f>
        <v>17053438004</v>
      </c>
      <c r="F7" s="2437"/>
      <c r="G7" s="2443" t="str">
        <f>COVER!T23</f>
        <v>060-003995</v>
      </c>
      <c r="H7" s="2444"/>
      <c r="I7" s="2444"/>
      <c r="J7" s="2444"/>
      <c r="K7" s="2444"/>
      <c r="L7" s="244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46"/>
      <c r="B9" s="2447"/>
      <c r="C9" s="2447"/>
      <c r="D9" s="2447"/>
      <c r="E9" s="2447"/>
      <c r="F9" s="2448"/>
      <c r="G9" s="2417" t="str">
        <f>COVER!T13</f>
        <v>Roenfeldt &amp; Lockas, P.C.</v>
      </c>
      <c r="H9" s="2449"/>
      <c r="I9" s="2449"/>
      <c r="J9" s="2449"/>
      <c r="K9" s="2449"/>
      <c r="L9" s="2450"/>
    </row>
    <row r="10" spans="1:29" ht="13.5" customHeight="1" x14ac:dyDescent="0.2">
      <c r="A10" s="2423">
        <f>COVER!A38</f>
        <v>0</v>
      </c>
      <c r="B10" s="2424"/>
      <c r="C10" s="2424"/>
      <c r="D10" s="2424"/>
      <c r="E10" s="2424"/>
      <c r="F10" s="2425"/>
      <c r="G10" s="2417" t="str">
        <f>COVER!T17</f>
        <v>1100 Columbus Street</v>
      </c>
      <c r="H10" s="2418"/>
      <c r="I10" s="2418"/>
      <c r="J10" s="2418"/>
      <c r="K10" s="2418"/>
      <c r="L10" s="2419"/>
    </row>
    <row r="11" spans="1:29" ht="13.5" customHeight="1" x14ac:dyDescent="0.2">
      <c r="A11" s="1185" t="s">
        <v>1599</v>
      </c>
      <c r="B11" s="1186"/>
      <c r="C11" s="1187"/>
      <c r="D11" s="1192"/>
      <c r="E11" s="1187"/>
      <c r="F11" s="1191"/>
      <c r="G11" s="2417" t="str">
        <f>COVER!T19</f>
        <v>Ottawa</v>
      </c>
      <c r="H11" s="2418"/>
      <c r="I11" s="2418"/>
      <c r="J11" s="2418"/>
      <c r="K11" s="2418"/>
      <c r="L11" s="2419"/>
    </row>
    <row r="12" spans="1:29" ht="13.5" customHeight="1" x14ac:dyDescent="0.2">
      <c r="A12" s="2426" t="s">
        <v>1598</v>
      </c>
      <c r="B12" s="2427"/>
      <c r="C12" s="2427"/>
      <c r="D12" s="2427"/>
      <c r="E12" s="2427"/>
      <c r="F12" s="2428"/>
      <c r="G12" s="2420"/>
      <c r="H12" s="2421"/>
      <c r="I12" s="2421"/>
      <c r="J12" s="2421"/>
      <c r="K12" s="2421"/>
      <c r="L12" s="2422"/>
    </row>
    <row r="13" spans="1:29" ht="13.5" customHeight="1" x14ac:dyDescent="0.2">
      <c r="A13" s="2417"/>
      <c r="B13" s="2418"/>
      <c r="C13" s="2418"/>
      <c r="D13" s="2418"/>
      <c r="E13" s="2418"/>
      <c r="F13" s="2419"/>
      <c r="G13" s="2412" t="s">
        <v>1600</v>
      </c>
      <c r="H13" s="2413"/>
      <c r="I13" s="2429" t="str">
        <f>COVER!T25</f>
        <v>admin@roenfeldtlockas.com</v>
      </c>
      <c r="J13" s="2430"/>
      <c r="K13" s="2430"/>
      <c r="L13" s="2431"/>
    </row>
    <row r="14" spans="1:29" ht="13.5" customHeight="1" x14ac:dyDescent="0.2">
      <c r="A14" s="2417" t="str">
        <f>COVER!A19</f>
        <v>P.O. Box 290</v>
      </c>
      <c r="B14" s="2418"/>
      <c r="C14" s="2418"/>
      <c r="D14" s="2418"/>
      <c r="E14" s="2418"/>
      <c r="F14" s="2419"/>
      <c r="G14" s="1196" t="s">
        <v>1247</v>
      </c>
      <c r="H14" s="1194"/>
      <c r="I14" s="1194"/>
      <c r="J14" s="1194"/>
      <c r="K14" s="1194"/>
      <c r="L14" s="1195"/>
    </row>
    <row r="15" spans="1:29" ht="13.5" customHeight="1" x14ac:dyDescent="0.2">
      <c r="A15" s="2417" t="str">
        <f>COVER!A21</f>
        <v>Saunemin</v>
      </c>
      <c r="B15" s="2418"/>
      <c r="C15" s="2418"/>
      <c r="D15" s="2418"/>
      <c r="E15" s="2418"/>
      <c r="F15" s="2419"/>
      <c r="G15" s="2414" t="str">
        <f>COVER!T15</f>
        <v>Duane K. Lockas, C.P.A.</v>
      </c>
      <c r="H15" s="2415"/>
      <c r="I15" s="2415"/>
      <c r="J15" s="2415"/>
      <c r="K15" s="2415"/>
      <c r="L15" s="2416"/>
    </row>
    <row r="16" spans="1:29" ht="12.2" customHeight="1" x14ac:dyDescent="0.2">
      <c r="A16" s="2439">
        <f>COVER!A25</f>
        <v>61769</v>
      </c>
      <c r="B16" s="2440"/>
      <c r="C16" s="2440"/>
      <c r="D16" s="2440"/>
      <c r="E16" s="2440"/>
      <c r="F16" s="2441"/>
      <c r="G16" s="2451"/>
      <c r="H16" s="2452"/>
      <c r="I16" s="2452"/>
      <c r="J16" s="2452"/>
      <c r="K16" s="2452"/>
      <c r="L16" s="2453"/>
    </row>
    <row r="17" spans="1:13" ht="12.2" customHeight="1" x14ac:dyDescent="0.2">
      <c r="A17" s="2454"/>
      <c r="B17" s="2440"/>
      <c r="C17" s="2440"/>
      <c r="D17" s="2440"/>
      <c r="E17" s="2440"/>
      <c r="F17" s="2441"/>
      <c r="G17" s="1196" t="s">
        <v>1246</v>
      </c>
      <c r="H17" s="1194"/>
      <c r="I17" s="1194"/>
      <c r="J17" s="1194"/>
      <c r="K17" s="1198" t="s">
        <v>1245</v>
      </c>
      <c r="L17" s="1191"/>
      <c r="M17" s="1184"/>
    </row>
    <row r="18" spans="1:13" ht="12.2" customHeight="1" x14ac:dyDescent="0.2">
      <c r="A18" s="2423"/>
      <c r="B18" s="2424"/>
      <c r="C18" s="2424"/>
      <c r="D18" s="2424"/>
      <c r="E18" s="2424"/>
      <c r="F18" s="2425"/>
      <c r="G18" s="2433" t="str">
        <f>COVER!T21</f>
        <v>815-433-0464</v>
      </c>
      <c r="H18" s="2434"/>
      <c r="I18" s="2434"/>
      <c r="J18" s="2434"/>
      <c r="K18" s="2433" t="str">
        <f>COVER!X21</f>
        <v>815-433-6464</v>
      </c>
      <c r="L18" s="243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5" t="str">
        <f>'Single Audit Cover'!A7</f>
        <v>Saunemin Elementary</v>
      </c>
      <c r="B1" s="2432"/>
      <c r="C1" s="2432"/>
      <c r="D1" s="2432"/>
    </row>
    <row r="2" spans="1:11" s="1215" customFormat="1" ht="12.75" x14ac:dyDescent="0.2">
      <c r="A2" s="2456">
        <f>'Single Audit Cover'!E7</f>
        <v>17053438004</v>
      </c>
      <c r="B2" s="2457"/>
      <c r="C2" s="2457"/>
      <c r="D2" s="2457"/>
    </row>
    <row r="3" spans="1:11" s="1215" customFormat="1" ht="12.75" x14ac:dyDescent="0.2">
      <c r="A3" s="2455" t="s">
        <v>1593</v>
      </c>
      <c r="B3" s="2432"/>
      <c r="C3" s="2432"/>
      <c r="D3" s="243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9" t="str">
        <f>'Single Audit Cover'!A7</f>
        <v>Saunemin Elementary</v>
      </c>
      <c r="B1" s="2459"/>
      <c r="C1" s="2459"/>
      <c r="D1" s="2459"/>
      <c r="E1" s="2459"/>
    </row>
    <row r="2" spans="1:5" x14ac:dyDescent="0.2">
      <c r="A2" s="2460">
        <f>'Single Audit Cover'!E7</f>
        <v>17053438004</v>
      </c>
      <c r="B2" s="2460"/>
      <c r="C2" s="2460"/>
      <c r="D2" s="2460"/>
      <c r="E2" s="2460"/>
    </row>
    <row r="3" spans="1:5" ht="4.5" customHeight="1" x14ac:dyDescent="0.2"/>
    <row r="4" spans="1:5" x14ac:dyDescent="0.2">
      <c r="A4" s="2459" t="s">
        <v>1307</v>
      </c>
      <c r="B4" s="2459"/>
      <c r="C4" s="2459"/>
      <c r="D4" s="2459"/>
      <c r="E4" s="2459"/>
    </row>
    <row r="5" spans="1:5" x14ac:dyDescent="0.2">
      <c r="A5" s="2462" t="str">
        <f>'Single Audit Cover'!A4</f>
        <v>Year Ending June 30, 2018</v>
      </c>
      <c r="B5" s="2462"/>
      <c r="C5" s="2462"/>
      <c r="D5" s="2462"/>
      <c r="E5" s="2462"/>
    </row>
    <row r="6" spans="1:5" x14ac:dyDescent="0.2">
      <c r="A6" s="2459" t="s">
        <v>1306</v>
      </c>
      <c r="B6" s="2459"/>
      <c r="C6" s="2459"/>
      <c r="D6" s="2459"/>
      <c r="E6" s="2459"/>
    </row>
    <row r="8" spans="1:5" x14ac:dyDescent="0.2">
      <c r="A8" s="1260" t="s">
        <v>1305</v>
      </c>
    </row>
    <row r="10" spans="1:5" x14ac:dyDescent="0.2">
      <c r="A10" s="1261" t="s">
        <v>1304</v>
      </c>
      <c r="B10" s="1262" t="s">
        <v>1303</v>
      </c>
      <c r="C10" s="1262"/>
      <c r="D10" s="1263">
        <f>SUM('Acct Summary 7-8'!C7:K7)</f>
        <v>167496.99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5418</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172914.99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1"/>
      <c r="B24" s="2461"/>
      <c r="D24" s="1268"/>
    </row>
    <row r="25" spans="1:4" x14ac:dyDescent="0.2">
      <c r="A25" s="2458"/>
      <c r="B25" s="2458"/>
      <c r="D25" s="1268"/>
    </row>
    <row r="26" spans="1:4" x14ac:dyDescent="0.2">
      <c r="A26" s="2458"/>
      <c r="B26" s="2458"/>
      <c r="D26" s="1268"/>
    </row>
    <row r="27" spans="1:4" x14ac:dyDescent="0.2">
      <c r="A27" s="2458"/>
      <c r="B27" s="2458"/>
      <c r="D27" s="1268"/>
    </row>
    <row r="28" spans="1:4" x14ac:dyDescent="0.2">
      <c r="A28" s="2458"/>
      <c r="B28" s="2458"/>
      <c r="D28" s="1268"/>
    </row>
    <row r="29" spans="1:4" x14ac:dyDescent="0.2">
      <c r="A29" s="2458"/>
      <c r="B29" s="2458"/>
      <c r="D29" s="1268"/>
    </row>
    <row r="30" spans="1:4" x14ac:dyDescent="0.2">
      <c r="A30" s="2458"/>
      <c r="B30" s="2458"/>
      <c r="D30" s="1268"/>
    </row>
    <row r="32" spans="1:4" x14ac:dyDescent="0.2">
      <c r="A32" s="1260" t="s">
        <v>1295</v>
      </c>
      <c r="D32" s="1263">
        <f>SUM(D19:D30)</f>
        <v>172914.99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8"/>
      <c r="B40" s="2458"/>
      <c r="D40" s="1268"/>
    </row>
    <row r="41" spans="1:4" x14ac:dyDescent="0.2">
      <c r="A41" s="2458"/>
      <c r="B41" s="2458"/>
      <c r="D41" s="1271"/>
    </row>
    <row r="42" spans="1:4" x14ac:dyDescent="0.2">
      <c r="A42" s="2458"/>
      <c r="B42" s="2458"/>
      <c r="D42" s="1271"/>
    </row>
    <row r="43" spans="1:4" x14ac:dyDescent="0.2">
      <c r="A43" s="2458"/>
      <c r="B43" s="2458"/>
      <c r="D43" s="1271"/>
    </row>
    <row r="44" spans="1:4" x14ac:dyDescent="0.2">
      <c r="A44" s="2458"/>
      <c r="B44" s="2458"/>
      <c r="D44" s="1271"/>
    </row>
    <row r="45" spans="1:4" x14ac:dyDescent="0.2">
      <c r="A45" s="2458"/>
      <c r="B45" s="2458"/>
      <c r="D45" s="1271"/>
    </row>
    <row r="47" spans="1:4" x14ac:dyDescent="0.2">
      <c r="B47" s="1272" t="s">
        <v>1289</v>
      </c>
      <c r="C47" s="1272"/>
      <c r="D47" s="1273">
        <f>SUM(D35:D45)</f>
        <v>0</v>
      </c>
    </row>
    <row r="49" spans="2:4" x14ac:dyDescent="0.2">
      <c r="B49" s="1272" t="s">
        <v>1288</v>
      </c>
      <c r="C49" s="1272"/>
      <c r="D49" s="1273">
        <f>D32-D47</f>
        <v>172914.99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2" t="str">
        <f>'Single Audit Cover'!A7</f>
        <v>Saunemin Elementary</v>
      </c>
      <c r="B1" s="2472"/>
      <c r="C1" s="2472"/>
      <c r="D1" s="2472"/>
      <c r="E1" s="2472"/>
      <c r="F1" s="2472"/>
    </row>
    <row r="2" spans="1:7" ht="13.5" customHeight="1" x14ac:dyDescent="0.2">
      <c r="A2" s="2473">
        <f>'Single Audit Cover'!E7</f>
        <v>17053438004</v>
      </c>
      <c r="B2" s="2473"/>
      <c r="C2" s="2473"/>
      <c r="D2" s="2473"/>
      <c r="E2" s="2473"/>
      <c r="F2" s="2473"/>
      <c r="G2" s="1275"/>
    </row>
    <row r="3" spans="1:7" ht="15.75" customHeight="1" x14ac:dyDescent="0.2">
      <c r="A3" s="2474" t="s">
        <v>1333</v>
      </c>
      <c r="B3" s="2474"/>
      <c r="C3" s="2474"/>
      <c r="D3" s="2474"/>
      <c r="E3" s="2474"/>
      <c r="F3" s="2474"/>
    </row>
    <row r="4" spans="1:7" ht="13.5" customHeight="1" x14ac:dyDescent="0.2">
      <c r="A4" s="2475" t="str">
        <f>'Single Audit Cover'!A4</f>
        <v>Year Ending June 30, 2018</v>
      </c>
      <c r="B4" s="2475"/>
      <c r="C4" s="2475"/>
      <c r="D4" s="2475"/>
      <c r="E4" s="2475"/>
      <c r="F4" s="2475"/>
    </row>
    <row r="5" spans="1:7" ht="8.25" customHeight="1" x14ac:dyDescent="0.2">
      <c r="C5" s="317"/>
      <c r="D5" s="317"/>
    </row>
    <row r="6" spans="1:7" ht="13.5" customHeight="1" x14ac:dyDescent="0.2">
      <c r="A6" s="1276" t="s">
        <v>1831</v>
      </c>
      <c r="C6" s="317"/>
      <c r="D6" s="317"/>
    </row>
    <row r="7" spans="1:7" ht="60.95" customHeight="1" x14ac:dyDescent="0.2">
      <c r="A7" s="2471" t="s">
        <v>1832</v>
      </c>
      <c r="B7" s="2471"/>
      <c r="C7" s="2471"/>
      <c r="D7" s="2471"/>
      <c r="E7" s="2471"/>
      <c r="F7" s="247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71" t="s">
        <v>1834</v>
      </c>
      <c r="B13" s="2471"/>
      <c r="C13" s="2471"/>
      <c r="D13" s="2471"/>
      <c r="E13" s="2471"/>
      <c r="F13" s="2471"/>
    </row>
    <row r="14" spans="1:7" ht="9.75" customHeight="1" x14ac:dyDescent="0.2">
      <c r="C14" s="1260"/>
      <c r="D14" s="1260"/>
    </row>
    <row r="15" spans="1:7" ht="13.5" customHeight="1" x14ac:dyDescent="0.2">
      <c r="C15" s="1869" t="s">
        <v>1332</v>
      </c>
      <c r="D15" s="2469" t="s">
        <v>1331</v>
      </c>
      <c r="E15" s="2469"/>
      <c r="F15" s="2469"/>
    </row>
    <row r="16" spans="1:7" ht="13.5" customHeight="1" x14ac:dyDescent="0.2">
      <c r="A16" s="1282"/>
      <c r="B16" s="1276" t="s">
        <v>1330</v>
      </c>
      <c r="C16" s="1869" t="s">
        <v>1329</v>
      </c>
      <c r="D16" s="2470" t="s">
        <v>1670</v>
      </c>
      <c r="E16" s="2470"/>
      <c r="F16" s="2470"/>
    </row>
    <row r="17" spans="1:6" ht="20.45" customHeight="1" x14ac:dyDescent="0.2">
      <c r="A17" s="1283"/>
      <c r="B17" s="1284"/>
      <c r="C17" s="1285"/>
      <c r="D17" s="2464"/>
      <c r="E17" s="2464"/>
      <c r="F17" s="2464"/>
    </row>
    <row r="18" spans="1:6" ht="20.65" customHeight="1" x14ac:dyDescent="0.2">
      <c r="A18" s="1283"/>
      <c r="B18" s="1284"/>
      <c r="C18" s="1285"/>
      <c r="D18" s="2464"/>
      <c r="E18" s="2464"/>
      <c r="F18" s="2464"/>
    </row>
    <row r="19" spans="1:6" ht="20.65" customHeight="1" x14ac:dyDescent="0.2">
      <c r="A19" s="1283"/>
      <c r="B19" s="1284"/>
      <c r="C19" s="1285"/>
      <c r="D19" s="2464"/>
      <c r="E19" s="2464"/>
      <c r="F19" s="2464"/>
    </row>
    <row r="20" spans="1:6" ht="20.65" customHeight="1" x14ac:dyDescent="0.2">
      <c r="A20" s="1283"/>
      <c r="B20" s="1284"/>
      <c r="C20" s="1285"/>
      <c r="D20" s="2464"/>
      <c r="E20" s="2464"/>
      <c r="F20" s="2464"/>
    </row>
    <row r="21" spans="1:6" ht="20.65" customHeight="1" x14ac:dyDescent="0.2">
      <c r="A21" s="1283"/>
      <c r="B21" s="1284"/>
      <c r="C21" s="1285"/>
      <c r="D21" s="2464"/>
      <c r="E21" s="2464"/>
      <c r="F21" s="2464"/>
    </row>
    <row r="22" spans="1:6" ht="20.65" customHeight="1" x14ac:dyDescent="0.2">
      <c r="A22" s="1283"/>
      <c r="B22" s="1284"/>
      <c r="C22" s="1285"/>
      <c r="D22" s="2464"/>
      <c r="E22" s="2464"/>
      <c r="F22" s="2464"/>
    </row>
    <row r="23" spans="1:6" ht="20.65" customHeight="1" x14ac:dyDescent="0.2">
      <c r="A23" s="1283"/>
      <c r="B23" s="1284"/>
      <c r="C23" s="1285"/>
      <c r="D23" s="2464"/>
      <c r="E23" s="2464"/>
      <c r="F23" s="2464"/>
    </row>
    <row r="24" spans="1:6" ht="20.65" customHeight="1" x14ac:dyDescent="0.2">
      <c r="A24" s="1283"/>
      <c r="B24" s="1284"/>
      <c r="C24" s="1285"/>
      <c r="D24" s="2464"/>
      <c r="E24" s="2464"/>
      <c r="F24" s="2464"/>
    </row>
    <row r="25" spans="1:6" ht="20.65" customHeight="1" x14ac:dyDescent="0.2">
      <c r="A25" s="1283"/>
      <c r="B25" s="1284"/>
      <c r="C25" s="1285"/>
      <c r="D25" s="2464"/>
      <c r="E25" s="2464"/>
      <c r="F25" s="2464"/>
    </row>
    <row r="26" spans="1:6" ht="20.65" customHeight="1" x14ac:dyDescent="0.2">
      <c r="A26" s="1283"/>
      <c r="B26" s="1284"/>
      <c r="C26" s="1285"/>
      <c r="D26" s="2464"/>
      <c r="E26" s="2464"/>
      <c r="F26" s="2464"/>
    </row>
    <row r="27" spans="1:6" ht="20.65" customHeight="1" x14ac:dyDescent="0.2">
      <c r="A27" s="1283"/>
      <c r="B27" s="1284"/>
      <c r="C27" s="1285"/>
      <c r="D27" s="2464"/>
      <c r="E27" s="2464"/>
      <c r="F27" s="2464"/>
    </row>
    <row r="28" spans="1:6" ht="20.65" customHeight="1" x14ac:dyDescent="0.2">
      <c r="A28" s="1283"/>
      <c r="B28" s="1284"/>
      <c r="C28" s="1285"/>
      <c r="D28" s="2464"/>
      <c r="E28" s="2464"/>
      <c r="F28" s="2464"/>
    </row>
    <row r="29" spans="1:6" ht="20.65" customHeight="1" x14ac:dyDescent="0.2">
      <c r="A29" s="1283"/>
      <c r="B29" s="1284"/>
      <c r="C29" s="1285"/>
      <c r="D29" s="2464"/>
      <c r="E29" s="2464"/>
      <c r="F29" s="2464"/>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65" t="s">
        <v>1835</v>
      </c>
      <c r="B32" s="2465"/>
      <c r="C32" s="2465"/>
      <c r="D32" s="2465"/>
      <c r="E32" s="2465"/>
      <c r="F32" s="2465"/>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66">
        <f>+C33+C34</f>
        <v>0</v>
      </c>
      <c r="F34" s="2467"/>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8" t="s">
        <v>1672</v>
      </c>
      <c r="C49" s="2468"/>
      <c r="D49" s="2468"/>
      <c r="E49" s="1399"/>
    </row>
    <row r="50" spans="1:5" s="1300" customFormat="1" ht="3.75" customHeight="1" x14ac:dyDescent="0.2">
      <c r="A50" s="1299"/>
      <c r="B50" s="1868"/>
      <c r="C50" s="1868"/>
      <c r="D50" s="1868"/>
      <c r="E50" s="1399"/>
    </row>
    <row r="51" spans="1:5" s="1300" customFormat="1" ht="20.25" customHeight="1" x14ac:dyDescent="0.2">
      <c r="A51" s="1301">
        <v>6</v>
      </c>
      <c r="B51" s="2463" t="s">
        <v>1632</v>
      </c>
      <c r="C51" s="2463"/>
      <c r="D51" s="2463"/>
    </row>
    <row r="52" spans="1:5" ht="14.25" customHeight="1" x14ac:dyDescent="0.2">
      <c r="A52" s="1301"/>
      <c r="B52" s="2463"/>
      <c r="C52" s="2463"/>
      <c r="D52" s="246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2" t="str">
        <f>'Single Audit Cover'!A7</f>
        <v>Saunemin Elementary</v>
      </c>
      <c r="C1" s="2476"/>
      <c r="D1" s="2476"/>
      <c r="E1" s="2476"/>
      <c r="F1" s="2476"/>
      <c r="G1" s="2476"/>
      <c r="H1" s="2476"/>
      <c r="I1" s="2476"/>
      <c r="J1" s="2476"/>
      <c r="K1" s="2476"/>
      <c r="L1" s="2476"/>
      <c r="M1" s="2476"/>
    </row>
    <row r="2" spans="2:14" ht="15" x14ac:dyDescent="0.2">
      <c r="B2" s="2473">
        <f>'Single Audit Cover'!E7</f>
        <v>17053438004</v>
      </c>
      <c r="C2" s="2473"/>
      <c r="D2" s="2473"/>
      <c r="E2" s="2473"/>
      <c r="F2" s="2473"/>
      <c r="G2" s="2473"/>
      <c r="H2" s="2473"/>
      <c r="I2" s="2473"/>
      <c r="J2" s="2473"/>
      <c r="K2" s="2473"/>
      <c r="L2" s="2473"/>
      <c r="M2" s="2473"/>
      <c r="N2" s="1302"/>
    </row>
    <row r="3" spans="2:14" ht="15" x14ac:dyDescent="0.2">
      <c r="B3" s="2477" t="s">
        <v>1281</v>
      </c>
      <c r="C3" s="2477"/>
      <c r="D3" s="2477"/>
      <c r="E3" s="2477"/>
      <c r="F3" s="2477"/>
      <c r="G3" s="2477"/>
      <c r="H3" s="2477"/>
      <c r="I3" s="2477"/>
      <c r="J3" s="2477"/>
      <c r="K3" s="2477"/>
      <c r="L3" s="2477"/>
      <c r="M3" s="2477"/>
      <c r="N3" s="1302"/>
    </row>
    <row r="4" spans="2:14" ht="15" x14ac:dyDescent="0.2">
      <c r="B4" s="2478" t="str">
        <f>'Single Audit Cover'!A4</f>
        <v>Year Ending June 30, 2018</v>
      </c>
      <c r="C4" s="2478"/>
      <c r="D4" s="2478"/>
      <c r="E4" s="2478"/>
      <c r="F4" s="2478"/>
      <c r="G4" s="2478"/>
      <c r="H4" s="2478"/>
      <c r="I4" s="2478"/>
      <c r="J4" s="2478"/>
      <c r="K4" s="2478"/>
      <c r="L4" s="2478"/>
      <c r="M4" s="247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4" t="s">
        <v>1230</v>
      </c>
      <c r="B2" s="2084"/>
      <c r="C2" s="2084"/>
      <c r="D2" s="2084"/>
      <c r="E2" s="2084"/>
      <c r="F2" s="2084"/>
      <c r="G2" s="2084"/>
      <c r="H2" s="2084"/>
      <c r="I2" s="2084"/>
      <c r="J2" s="208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2089</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t="s">
        <v>2089</v>
      </c>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8" t="s">
        <v>1731</v>
      </c>
      <c r="B35" s="2099"/>
      <c r="C35" s="2099"/>
      <c r="D35" s="2099"/>
      <c r="E35" s="2100"/>
      <c r="F35" s="2100"/>
      <c r="G35" s="2100"/>
      <c r="H35" s="2100"/>
      <c r="I35" s="210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8" t="s">
        <v>331</v>
      </c>
      <c r="B47" s="2101"/>
      <c r="C47" s="2101"/>
      <c r="D47" s="2101"/>
      <c r="E47" s="2102"/>
      <c r="F47" s="2102"/>
      <c r="G47" s="2102"/>
      <c r="H47" s="2102"/>
      <c r="I47" s="210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2089</v>
      </c>
      <c r="C53" s="179">
        <v>22</v>
      </c>
      <c r="D53" s="247" t="s">
        <v>1537</v>
      </c>
      <c r="E53" s="248"/>
      <c r="F53" s="249"/>
      <c r="G53" s="249" t="s">
        <v>1536</v>
      </c>
      <c r="H53" s="250">
        <v>36526</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5" t="s">
        <v>3347</v>
      </c>
      <c r="C57" s="2106"/>
      <c r="D57" s="2106"/>
      <c r="E57" s="2106"/>
      <c r="F57" s="2106"/>
      <c r="G57" s="2106"/>
      <c r="H57" s="2106"/>
      <c r="I57" s="2106"/>
      <c r="J57" s="2107"/>
    </row>
    <row r="58" spans="1:10" s="181" customFormat="1" x14ac:dyDescent="0.2">
      <c r="A58" s="253"/>
      <c r="B58" s="2108"/>
      <c r="C58" s="2109"/>
      <c r="D58" s="2109"/>
      <c r="E58" s="2109"/>
      <c r="F58" s="2109"/>
      <c r="G58" s="2109"/>
      <c r="H58" s="2109"/>
      <c r="I58" s="2109"/>
      <c r="J58" s="2110"/>
    </row>
    <row r="59" spans="1:10" s="181" customFormat="1" x14ac:dyDescent="0.2">
      <c r="A59" s="253"/>
      <c r="B59" s="2108"/>
      <c r="C59" s="2109"/>
      <c r="D59" s="2109"/>
      <c r="E59" s="2109"/>
      <c r="F59" s="2109"/>
      <c r="G59" s="2109"/>
      <c r="H59" s="2109"/>
      <c r="I59" s="2109"/>
      <c r="J59" s="2110"/>
    </row>
    <row r="60" spans="1:10" s="181" customFormat="1" x14ac:dyDescent="0.2">
      <c r="A60" s="253"/>
      <c r="B60" s="2108"/>
      <c r="C60" s="2109"/>
      <c r="D60" s="2109"/>
      <c r="E60" s="2109"/>
      <c r="F60" s="2109"/>
      <c r="G60" s="2109"/>
      <c r="H60" s="2109"/>
      <c r="I60" s="2109"/>
      <c r="J60" s="2110"/>
    </row>
    <row r="61" spans="1:10" s="181" customFormat="1" x14ac:dyDescent="0.2">
      <c r="A61" s="253"/>
      <c r="B61" s="2108"/>
      <c r="C61" s="2109"/>
      <c r="D61" s="2109"/>
      <c r="E61" s="2109"/>
      <c r="F61" s="2109"/>
      <c r="G61" s="2109"/>
      <c r="H61" s="2109"/>
      <c r="I61" s="2109"/>
      <c r="J61" s="2110"/>
    </row>
    <row r="62" spans="1:10" s="181" customFormat="1" x14ac:dyDescent="0.2">
      <c r="A62" s="253"/>
      <c r="B62" s="2108"/>
      <c r="C62" s="2109"/>
      <c r="D62" s="2109"/>
      <c r="E62" s="2109"/>
      <c r="F62" s="2109"/>
      <c r="G62" s="2109"/>
      <c r="H62" s="2109"/>
      <c r="I62" s="2109"/>
      <c r="J62" s="2110"/>
    </row>
    <row r="63" spans="1:10" s="181" customFormat="1" x14ac:dyDescent="0.2">
      <c r="A63" s="253"/>
      <c r="B63" s="2108"/>
      <c r="C63" s="2109"/>
      <c r="D63" s="2109"/>
      <c r="E63" s="2109"/>
      <c r="F63" s="2109"/>
      <c r="G63" s="2109"/>
      <c r="H63" s="2109"/>
      <c r="I63" s="2109"/>
      <c r="J63" s="2110"/>
    </row>
    <row r="64" spans="1:10" s="181" customFormat="1" x14ac:dyDescent="0.2">
      <c r="A64" s="253"/>
      <c r="B64" s="2108"/>
      <c r="C64" s="2109"/>
      <c r="D64" s="2109"/>
      <c r="E64" s="2109"/>
      <c r="F64" s="2109"/>
      <c r="G64" s="2109"/>
      <c r="H64" s="2109"/>
      <c r="I64" s="2109"/>
      <c r="J64" s="2110"/>
    </row>
    <row r="65" spans="1:10" s="181" customFormat="1" x14ac:dyDescent="0.2">
      <c r="A65" s="253"/>
      <c r="B65" s="2108"/>
      <c r="C65" s="2109"/>
      <c r="D65" s="2109"/>
      <c r="E65" s="2109"/>
      <c r="F65" s="2109"/>
      <c r="G65" s="2109"/>
      <c r="H65" s="2109"/>
      <c r="I65" s="2109"/>
      <c r="J65" s="2110"/>
    </row>
    <row r="66" spans="1:10" s="181" customFormat="1" x14ac:dyDescent="0.2">
      <c r="A66" s="253"/>
      <c r="B66" s="2108"/>
      <c r="C66" s="2109"/>
      <c r="D66" s="2109"/>
      <c r="E66" s="2109"/>
      <c r="F66" s="2109"/>
      <c r="G66" s="2109"/>
      <c r="H66" s="2109"/>
      <c r="I66" s="2109"/>
      <c r="J66" s="2110"/>
    </row>
    <row r="67" spans="1:10" s="181" customFormat="1" ht="9" customHeight="1" x14ac:dyDescent="0.2">
      <c r="A67" s="254"/>
      <c r="B67" s="2111"/>
      <c r="C67" s="2112"/>
      <c r="D67" s="2112"/>
      <c r="E67" s="2112"/>
      <c r="F67" s="2112"/>
      <c r="G67" s="2112"/>
      <c r="H67" s="2112"/>
      <c r="I67" s="2112"/>
      <c r="J67" s="211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8" t="s">
        <v>1390</v>
      </c>
      <c r="B70" s="2101"/>
      <c r="C70" s="2101"/>
      <c r="D70" s="2101"/>
      <c r="E70" s="2102"/>
      <c r="F70" s="2102"/>
      <c r="G70" s="2102"/>
      <c r="H70" s="2102"/>
      <c r="I70" s="210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3" t="s">
        <v>1387</v>
      </c>
      <c r="B83" s="2103"/>
      <c r="C83" s="2103"/>
      <c r="D83" s="210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5"/>
      <c r="C102" s="2086"/>
      <c r="D102" s="2086"/>
      <c r="E102" s="2086"/>
      <c r="F102" s="2086"/>
      <c r="G102" s="2086"/>
      <c r="H102" s="2086"/>
      <c r="I102" s="2087"/>
    </row>
    <row r="103" spans="1:9" s="181" customFormat="1" ht="11.25" customHeight="1" x14ac:dyDescent="0.2">
      <c r="A103" s="316"/>
      <c r="B103" s="2088"/>
      <c r="C103" s="2089"/>
      <c r="D103" s="2089"/>
      <c r="E103" s="2089"/>
      <c r="F103" s="2089"/>
      <c r="G103" s="2089"/>
      <c r="H103" s="2089"/>
      <c r="I103" s="2090"/>
    </row>
    <row r="104" spans="1:9" s="181" customFormat="1" ht="11.25" customHeight="1" x14ac:dyDescent="0.2">
      <c r="A104" s="316"/>
      <c r="B104" s="2088"/>
      <c r="C104" s="2089"/>
      <c r="D104" s="2089"/>
      <c r="E104" s="2089"/>
      <c r="F104" s="2089"/>
      <c r="G104" s="2089"/>
      <c r="H104" s="2089"/>
      <c r="I104" s="2090"/>
    </row>
    <row r="105" spans="1:9" s="181" customFormat="1" x14ac:dyDescent="0.2">
      <c r="A105" s="316"/>
      <c r="B105" s="2088"/>
      <c r="C105" s="2089"/>
      <c r="D105" s="2089"/>
      <c r="E105" s="2089"/>
      <c r="F105" s="2089"/>
      <c r="G105" s="2089"/>
      <c r="H105" s="2089"/>
      <c r="I105" s="2090"/>
    </row>
    <row r="106" spans="1:9" s="181" customFormat="1" ht="11.25" customHeight="1" x14ac:dyDescent="0.2">
      <c r="A106" s="316"/>
      <c r="B106" s="2088"/>
      <c r="C106" s="2089"/>
      <c r="D106" s="2089"/>
      <c r="E106" s="2089"/>
      <c r="F106" s="2089"/>
      <c r="G106" s="2089"/>
      <c r="H106" s="2089"/>
      <c r="I106" s="2090"/>
    </row>
    <row r="107" spans="1:9" s="181" customFormat="1" ht="11.25" customHeight="1" x14ac:dyDescent="0.2">
      <c r="A107" s="316"/>
      <c r="B107" s="2088"/>
      <c r="C107" s="2089"/>
      <c r="D107" s="2089"/>
      <c r="E107" s="2089"/>
      <c r="F107" s="2089"/>
      <c r="G107" s="2089"/>
      <c r="H107" s="2089"/>
      <c r="I107" s="2090"/>
    </row>
    <row r="108" spans="1:9" s="181" customFormat="1" ht="11.25" customHeight="1" x14ac:dyDescent="0.2">
      <c r="A108" s="316"/>
      <c r="B108" s="2088"/>
      <c r="C108" s="2089"/>
      <c r="D108" s="2089"/>
      <c r="E108" s="2089"/>
      <c r="F108" s="2089"/>
      <c r="G108" s="2089"/>
      <c r="H108" s="2089"/>
      <c r="I108" s="2090"/>
    </row>
    <row r="109" spans="1:9" s="181" customFormat="1" ht="11.25" customHeight="1" x14ac:dyDescent="0.2">
      <c r="A109" s="316"/>
      <c r="B109" s="2088"/>
      <c r="C109" s="2089"/>
      <c r="D109" s="2089"/>
      <c r="E109" s="2089"/>
      <c r="F109" s="2089"/>
      <c r="G109" s="2089"/>
      <c r="H109" s="2089"/>
      <c r="I109" s="2090"/>
    </row>
    <row r="110" spans="1:9" s="181" customFormat="1" ht="11.25" customHeight="1" x14ac:dyDescent="0.2">
      <c r="A110" s="316"/>
      <c r="B110" s="2088"/>
      <c r="C110" s="2089"/>
      <c r="D110" s="2089"/>
      <c r="E110" s="2089"/>
      <c r="F110" s="2089"/>
      <c r="G110" s="2089"/>
      <c r="H110" s="2089"/>
      <c r="I110" s="2090"/>
    </row>
    <row r="111" spans="1:9" s="181" customFormat="1" ht="11.25" customHeight="1" x14ac:dyDescent="0.2">
      <c r="A111" s="316"/>
      <c r="B111" s="2088"/>
      <c r="C111" s="2089"/>
      <c r="D111" s="2089"/>
      <c r="E111" s="2089"/>
      <c r="F111" s="2089"/>
      <c r="G111" s="2089"/>
      <c r="H111" s="2089"/>
      <c r="I111" s="2090"/>
    </row>
    <row r="112" spans="1:9" s="181" customFormat="1" ht="11.25" customHeight="1" x14ac:dyDescent="0.2">
      <c r="A112" s="316"/>
      <c r="B112" s="2091"/>
      <c r="C112" s="2092"/>
      <c r="D112" s="2092"/>
      <c r="E112" s="2092"/>
      <c r="F112" s="2092"/>
      <c r="G112" s="2092"/>
      <c r="H112" s="2092"/>
      <c r="I112" s="209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4" t="s">
        <v>2077</v>
      </c>
      <c r="D114" s="209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5" t="s">
        <v>1397</v>
      </c>
      <c r="D117" s="2096"/>
      <c r="E117" s="2097"/>
      <c r="F117" s="2097"/>
      <c r="G117" s="2097"/>
      <c r="H117" s="209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0" t="str">
        <f>'Single Audit Cover'!A7</f>
        <v>Saunemin Elementary</v>
      </c>
      <c r="C1" s="2491"/>
      <c r="D1" s="2491"/>
      <c r="E1" s="2491"/>
      <c r="F1" s="2491"/>
      <c r="G1" s="2491"/>
      <c r="H1" s="2491"/>
      <c r="I1" s="2491"/>
      <c r="J1" s="1422"/>
    </row>
    <row r="2" spans="2:10" s="317" customFormat="1" ht="12.75" customHeight="1" x14ac:dyDescent="0.2">
      <c r="B2" s="2492">
        <f>'Single Audit Cover'!E7</f>
        <v>17053438004</v>
      </c>
      <c r="C2" s="2493"/>
      <c r="D2" s="2493"/>
      <c r="E2" s="2493"/>
      <c r="F2" s="2493"/>
      <c r="G2" s="2493"/>
      <c r="H2" s="2493"/>
      <c r="I2" s="2493"/>
      <c r="J2" s="1422"/>
    </row>
    <row r="3" spans="2:10" s="317" customFormat="1" ht="12.75" customHeight="1" x14ac:dyDescent="0.2">
      <c r="B3" s="2494" t="s">
        <v>1347</v>
      </c>
      <c r="C3" s="2495"/>
      <c r="D3" s="2495"/>
      <c r="E3" s="2495"/>
      <c r="F3" s="2495"/>
      <c r="G3" s="2495"/>
      <c r="H3" s="2495"/>
      <c r="I3" s="2495"/>
      <c r="J3" s="1423"/>
    </row>
    <row r="4" spans="2:10" s="317" customFormat="1" ht="12.75" customHeight="1" x14ac:dyDescent="0.2">
      <c r="B4" s="2494" t="str">
        <f>'Single Audit Cover'!A4</f>
        <v>Year Ending June 30, 2018</v>
      </c>
      <c r="C4" s="2495"/>
      <c r="D4" s="2495"/>
      <c r="E4" s="2495"/>
      <c r="F4" s="2495"/>
      <c r="G4" s="2495"/>
      <c r="H4" s="2495"/>
      <c r="I4" s="249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4" t="s">
        <v>1346</v>
      </c>
      <c r="C7" s="2495"/>
      <c r="D7" s="2495"/>
      <c r="E7" s="2495"/>
      <c r="F7" s="2495"/>
      <c r="G7" s="2495"/>
      <c r="H7" s="2495"/>
      <c r="I7" s="249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6"/>
      <c r="D11" s="249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7"/>
      <c r="E29" s="2497"/>
      <c r="F29" s="2497"/>
      <c r="G29" s="2497"/>
      <c r="H29" s="2497"/>
      <c r="I29" s="249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98" t="s">
        <v>1854</v>
      </c>
      <c r="D37" s="2499"/>
      <c r="E37" s="2499"/>
      <c r="F37" s="2500"/>
      <c r="G37" s="2498" t="s">
        <v>1674</v>
      </c>
      <c r="H37" s="2499"/>
      <c r="I37" s="2500"/>
    </row>
    <row r="38" spans="2:9" ht="16.5" customHeight="1" x14ac:dyDescent="0.2">
      <c r="B38" s="1444"/>
      <c r="C38" s="2486"/>
      <c r="D38" s="2487"/>
      <c r="E38" s="2487"/>
      <c r="F38" s="2488"/>
      <c r="G38" s="2501"/>
      <c r="H38" s="2502"/>
      <c r="I38" s="2503"/>
    </row>
    <row r="39" spans="2:9" ht="16.5" customHeight="1" x14ac:dyDescent="0.2">
      <c r="B39" s="1444"/>
      <c r="C39" s="2486"/>
      <c r="D39" s="2487"/>
      <c r="E39" s="2487"/>
      <c r="F39" s="2488"/>
      <c r="G39" s="2489"/>
      <c r="H39" s="2489"/>
      <c r="I39" s="2489"/>
    </row>
    <row r="40" spans="2:9" ht="16.5" customHeight="1" x14ac:dyDescent="0.2">
      <c r="B40" s="1444"/>
      <c r="C40" s="2486"/>
      <c r="D40" s="2487"/>
      <c r="E40" s="2487"/>
      <c r="F40" s="2488"/>
      <c r="G40" s="2489"/>
      <c r="H40" s="2489"/>
      <c r="I40" s="2489"/>
    </row>
    <row r="41" spans="2:9" ht="16.5" customHeight="1" x14ac:dyDescent="0.2">
      <c r="B41" s="1444"/>
      <c r="C41" s="2486"/>
      <c r="D41" s="2487"/>
      <c r="E41" s="2487"/>
      <c r="F41" s="2488"/>
      <c r="G41" s="2489"/>
      <c r="H41" s="2489"/>
      <c r="I41" s="2489"/>
    </row>
    <row r="42" spans="2:9" ht="16.5" customHeight="1" x14ac:dyDescent="0.2">
      <c r="B42" s="1444"/>
      <c r="C42" s="2486"/>
      <c r="D42" s="2487"/>
      <c r="E42" s="2487"/>
      <c r="F42" s="2488"/>
      <c r="G42" s="2489"/>
      <c r="H42" s="2489"/>
      <c r="I42" s="2489"/>
    </row>
    <row r="43" spans="2:9" ht="16.5" customHeight="1" x14ac:dyDescent="0.2">
      <c r="B43" s="1444"/>
      <c r="C43" s="2479" t="s">
        <v>1675</v>
      </c>
      <c r="D43" s="2480"/>
      <c r="E43" s="2480"/>
      <c r="F43" s="2481"/>
      <c r="G43" s="2482">
        <f>SUM(G38:I42)</f>
        <v>0</v>
      </c>
      <c r="H43" s="2482"/>
      <c r="I43" s="2482"/>
    </row>
    <row r="44" spans="2:9" ht="12.75" customHeight="1" x14ac:dyDescent="0.2"/>
    <row r="45" spans="2:9" ht="12.75" customHeight="1" x14ac:dyDescent="0.2">
      <c r="B45" s="1435" t="s">
        <v>1952</v>
      </c>
      <c r="D45" s="2483">
        <v>0</v>
      </c>
      <c r="E45" s="2484"/>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5"/>
      <c r="F49" s="2485"/>
      <c r="G49" s="2485"/>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0" t="str">
        <f>'Single Audit Cover'!A7</f>
        <v>Saunemin Elementary</v>
      </c>
      <c r="C1" s="2490"/>
      <c r="D1" s="2490"/>
      <c r="E1" s="2490"/>
      <c r="F1" s="2490"/>
      <c r="G1" s="2490"/>
      <c r="H1" s="2490"/>
      <c r="I1" s="2490"/>
      <c r="J1" s="2490"/>
      <c r="K1" s="2490"/>
      <c r="L1" s="1374"/>
      <c r="M1" s="1374"/>
    </row>
    <row r="2" spans="1:13" ht="12" customHeight="1" x14ac:dyDescent="0.2">
      <c r="B2" s="2492">
        <f>'Single Audit Cover'!E7</f>
        <v>17053438004</v>
      </c>
      <c r="C2" s="2492"/>
      <c r="D2" s="2492"/>
      <c r="E2" s="2492"/>
      <c r="F2" s="2492"/>
      <c r="G2" s="2492"/>
      <c r="H2" s="2492"/>
      <c r="I2" s="2492"/>
      <c r="J2" s="2492"/>
      <c r="K2" s="2492"/>
      <c r="L2" s="1375"/>
      <c r="M2" s="1376"/>
    </row>
    <row r="3" spans="1:13" ht="10.35" customHeight="1" x14ac:dyDescent="0.2">
      <c r="B3" s="2506" t="s">
        <v>1347</v>
      </c>
      <c r="C3" s="2506"/>
      <c r="D3" s="2506"/>
      <c r="E3" s="2506"/>
      <c r="F3" s="2506"/>
      <c r="G3" s="2506"/>
      <c r="H3" s="2506"/>
      <c r="I3" s="2506"/>
      <c r="J3" s="2506"/>
      <c r="K3" s="2506"/>
      <c r="L3" s="1377"/>
      <c r="M3" s="1377"/>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7" t="s">
        <v>1363</v>
      </c>
      <c r="C7" s="2507"/>
      <c r="D7" s="2508"/>
      <c r="E7" s="2508"/>
      <c r="F7" s="2508"/>
      <c r="G7" s="2508"/>
      <c r="H7" s="2508"/>
      <c r="I7" s="2508"/>
      <c r="J7" s="2508"/>
      <c r="K7" s="250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5"/>
      <c r="C14" s="2505"/>
      <c r="D14" s="2505"/>
      <c r="E14" s="2505"/>
      <c r="F14" s="2505"/>
      <c r="G14" s="2505"/>
      <c r="H14" s="2505"/>
      <c r="I14" s="2505"/>
      <c r="J14" s="2505"/>
      <c r="K14" s="250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5"/>
      <c r="C17" s="2505"/>
      <c r="D17" s="2505"/>
      <c r="E17" s="2505"/>
      <c r="F17" s="2505"/>
      <c r="G17" s="2505"/>
      <c r="H17" s="2505"/>
      <c r="I17" s="2505"/>
      <c r="J17" s="2505"/>
      <c r="K17" s="250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9"/>
      <c r="C20" s="2509"/>
      <c r="D20" s="2505"/>
      <c r="E20" s="2505"/>
      <c r="F20" s="2505"/>
      <c r="G20" s="2505"/>
      <c r="H20" s="2505"/>
      <c r="I20" s="2505"/>
      <c r="J20" s="2505"/>
      <c r="K20" s="250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5"/>
      <c r="C23" s="2505"/>
      <c r="D23" s="2505"/>
      <c r="E23" s="2505"/>
      <c r="F23" s="2505"/>
      <c r="G23" s="2505"/>
      <c r="H23" s="2505"/>
      <c r="I23" s="2505"/>
      <c r="J23" s="2505"/>
      <c r="K23" s="250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5"/>
      <c r="C26" s="2505"/>
      <c r="D26" s="2505"/>
      <c r="E26" s="2505"/>
      <c r="F26" s="2505"/>
      <c r="G26" s="2505"/>
      <c r="H26" s="2505"/>
      <c r="I26" s="2505"/>
      <c r="J26" s="2505"/>
      <c r="K26" s="250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4"/>
      <c r="C29" s="2504"/>
      <c r="D29" s="2505"/>
      <c r="E29" s="2505"/>
      <c r="F29" s="2505"/>
      <c r="G29" s="2505"/>
      <c r="H29" s="2505"/>
      <c r="I29" s="2505"/>
      <c r="J29" s="2505"/>
      <c r="K29" s="250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4"/>
      <c r="C32" s="2504"/>
      <c r="D32" s="2505"/>
      <c r="E32" s="2505"/>
      <c r="F32" s="2505"/>
      <c r="G32" s="2505"/>
      <c r="H32" s="2505"/>
      <c r="I32" s="2505"/>
      <c r="J32" s="2505"/>
      <c r="K32" s="250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3" t="str">
        <f>'Single Audit Cover'!A7</f>
        <v>Saunemin Elementary</v>
      </c>
      <c r="C1" s="2513"/>
      <c r="D1" s="2513"/>
      <c r="E1" s="2513"/>
      <c r="F1" s="2513"/>
      <c r="G1" s="2513"/>
      <c r="H1" s="2513"/>
      <c r="I1" s="2513"/>
      <c r="J1" s="2513"/>
      <c r="K1" s="2513"/>
      <c r="L1" s="1465"/>
    </row>
    <row r="2" spans="1:12" ht="12.75" customHeight="1" x14ac:dyDescent="0.2">
      <c r="B2" s="2514">
        <f>'Single Audit Cover'!E7</f>
        <v>17053438004</v>
      </c>
      <c r="C2" s="2514"/>
      <c r="D2" s="2514"/>
      <c r="E2" s="2514"/>
      <c r="F2" s="2514"/>
      <c r="G2" s="2514"/>
      <c r="H2" s="2514"/>
      <c r="I2" s="2514"/>
      <c r="J2" s="2514"/>
      <c r="K2" s="2514"/>
      <c r="L2" s="1466"/>
    </row>
    <row r="3" spans="1:12" ht="12.75" customHeight="1" x14ac:dyDescent="0.2">
      <c r="B3" s="2506" t="s">
        <v>1347</v>
      </c>
      <c r="C3" s="2506"/>
      <c r="D3" s="2506"/>
      <c r="E3" s="2506"/>
      <c r="F3" s="2506"/>
      <c r="G3" s="2506"/>
      <c r="H3" s="2506"/>
      <c r="I3" s="2506"/>
      <c r="J3" s="2506"/>
      <c r="K3" s="2506"/>
      <c r="L3" s="1377"/>
    </row>
    <row r="4" spans="1:12" ht="12.75" customHeight="1" x14ac:dyDescent="0.2">
      <c r="B4" s="2506" t="str">
        <f>'Single Audit Cover'!A4</f>
        <v>Year Ending June 30, 2018</v>
      </c>
      <c r="C4" s="2506"/>
      <c r="D4" s="2506"/>
      <c r="E4" s="2506"/>
      <c r="F4" s="2506"/>
      <c r="G4" s="2506"/>
      <c r="H4" s="2506"/>
      <c r="I4" s="2506"/>
      <c r="J4" s="2506"/>
      <c r="K4" s="2506"/>
      <c r="L4" s="1377"/>
    </row>
    <row r="5" spans="1:12" ht="5.25" customHeight="1" x14ac:dyDescent="0.2">
      <c r="B5" s="1260" t="s">
        <v>1231</v>
      </c>
      <c r="C5" s="1260"/>
      <c r="L5" s="322"/>
    </row>
    <row r="6" spans="1:12" ht="30.75" customHeight="1" x14ac:dyDescent="0.2">
      <c r="A6" s="322"/>
      <c r="B6" s="2515" t="s">
        <v>1375</v>
      </c>
      <c r="C6" s="2515"/>
      <c r="D6" s="2515"/>
      <c r="E6" s="2515"/>
      <c r="F6" s="2515"/>
      <c r="G6" s="2515"/>
      <c r="H6" s="2515"/>
      <c r="I6" s="2515"/>
      <c r="J6" s="2515"/>
      <c r="K6" s="2515"/>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7"/>
      <c r="G12" s="2497"/>
      <c r="H12" s="2497"/>
      <c r="I12" s="2497"/>
      <c r="J12" s="2497"/>
      <c r="K12" s="249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0"/>
      <c r="E14" s="2510"/>
      <c r="F14" s="2510"/>
      <c r="H14" s="1475" t="s">
        <v>1370</v>
      </c>
      <c r="I14" s="2511"/>
      <c r="J14" s="2511"/>
      <c r="K14" s="251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1"/>
      <c r="E16" s="2511"/>
      <c r="F16" s="2511"/>
      <c r="G16" s="2511"/>
      <c r="H16" s="2511"/>
      <c r="I16" s="2511"/>
      <c r="J16" s="2511"/>
      <c r="K16" s="2511"/>
      <c r="L16" s="322"/>
    </row>
    <row r="17" spans="2:12" ht="13.5" customHeight="1" x14ac:dyDescent="0.2">
      <c r="B17" s="1387" t="s">
        <v>1368</v>
      </c>
      <c r="C17" s="1387"/>
      <c r="D17" s="2512"/>
      <c r="E17" s="2512"/>
      <c r="F17" s="2512"/>
      <c r="G17" s="2512"/>
      <c r="H17" s="2512"/>
      <c r="I17" s="2512"/>
      <c r="J17" s="2512"/>
      <c r="K17" s="251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5"/>
      <c r="C20" s="2505"/>
      <c r="D20" s="2505"/>
      <c r="E20" s="2505"/>
      <c r="F20" s="2505"/>
      <c r="G20" s="2505"/>
      <c r="H20" s="2505"/>
      <c r="I20" s="2505"/>
      <c r="J20" s="2505"/>
      <c r="K20" s="250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5"/>
      <c r="C23" s="2505"/>
      <c r="D23" s="2505"/>
      <c r="E23" s="2505"/>
      <c r="F23" s="2505"/>
      <c r="G23" s="2505"/>
      <c r="H23" s="2505"/>
      <c r="I23" s="2505"/>
      <c r="J23" s="2505"/>
      <c r="K23" s="250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5"/>
      <c r="C26" s="2505"/>
      <c r="D26" s="2505"/>
      <c r="E26" s="2505"/>
      <c r="F26" s="2505"/>
      <c r="G26" s="2505"/>
      <c r="H26" s="2505"/>
      <c r="I26" s="2505"/>
      <c r="J26" s="2505"/>
      <c r="K26" s="250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5"/>
      <c r="C29" s="2505"/>
      <c r="D29" s="2505"/>
      <c r="E29" s="2505"/>
      <c r="F29" s="2505"/>
      <c r="G29" s="2505"/>
      <c r="H29" s="2505"/>
      <c r="I29" s="2505"/>
      <c r="J29" s="2505"/>
      <c r="K29" s="250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5"/>
      <c r="C32" s="2505"/>
      <c r="D32" s="2505"/>
      <c r="E32" s="2505"/>
      <c r="F32" s="2505"/>
      <c r="G32" s="2505"/>
      <c r="H32" s="2505"/>
      <c r="I32" s="2505"/>
      <c r="J32" s="2505"/>
      <c r="K32" s="250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5"/>
      <c r="C35" s="2505"/>
      <c r="D35" s="2505"/>
      <c r="E35" s="2505"/>
      <c r="F35" s="2505"/>
      <c r="G35" s="2505"/>
      <c r="H35" s="2505"/>
      <c r="I35" s="2505"/>
      <c r="J35" s="2505"/>
      <c r="K35" s="250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5"/>
      <c r="C38" s="2505"/>
      <c r="D38" s="2505"/>
      <c r="E38" s="2505"/>
      <c r="F38" s="2505"/>
      <c r="G38" s="2505"/>
      <c r="H38" s="2505"/>
      <c r="I38" s="2505"/>
      <c r="J38" s="2505"/>
      <c r="K38" s="250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5"/>
      <c r="C41" s="2505"/>
      <c r="D41" s="2505"/>
      <c r="E41" s="2505"/>
      <c r="F41" s="2505"/>
      <c r="G41" s="2505"/>
      <c r="H41" s="2505"/>
      <c r="I41" s="2505"/>
      <c r="J41" s="2505"/>
      <c r="K41" s="250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0" t="str">
        <f>'Single Audit Cover'!A7</f>
        <v>Saunemin Elementary</v>
      </c>
      <c r="C1" s="2490"/>
      <c r="D1" s="2490"/>
      <c r="E1" s="1491"/>
    </row>
    <row r="2" spans="2:5" s="1282" customFormat="1" ht="12.75" customHeight="1" x14ac:dyDescent="0.2">
      <c r="B2" s="2492">
        <f>'Single Audit Cover'!E7</f>
        <v>17053438004</v>
      </c>
      <c r="C2" s="2492"/>
      <c r="D2" s="2492"/>
      <c r="E2" s="1492"/>
    </row>
    <row r="3" spans="2:5" ht="12.75" customHeight="1" x14ac:dyDescent="0.2">
      <c r="B3" s="2506" t="s">
        <v>1869</v>
      </c>
      <c r="C3" s="2506"/>
      <c r="D3" s="2506"/>
      <c r="E3" s="1274"/>
    </row>
    <row r="4" spans="2:5" s="1282" customFormat="1" ht="12.75" customHeight="1" x14ac:dyDescent="0.2">
      <c r="B4" s="2516" t="str">
        <f>'Single Audit Cover'!A4</f>
        <v>Year Ending June 30, 2018</v>
      </c>
      <c r="C4" s="2516"/>
      <c r="D4" s="251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769"/>
  <sheetViews>
    <sheetView showGridLines="0" showOutlineSymbols="0" topLeftCell="A729" workbookViewId="0">
      <selection activeCell="G754" sqref="G754:J754"/>
    </sheetView>
  </sheetViews>
  <sheetFormatPr defaultColWidth="6.85546875" defaultRowHeight="12.75" customHeight="1" x14ac:dyDescent="0.2"/>
  <cols>
    <col min="1" max="16384" width="6.85546875" style="1954"/>
  </cols>
  <sheetData>
    <row r="1" spans="1:26" ht="24.75" x14ac:dyDescent="0.4">
      <c r="A1" s="2529" t="s">
        <v>3358</v>
      </c>
      <c r="B1" s="2529"/>
      <c r="C1" s="2529"/>
      <c r="D1" s="2529"/>
      <c r="E1" s="2529"/>
      <c r="F1" s="2529"/>
      <c r="G1" s="2529"/>
      <c r="H1" s="2529"/>
      <c r="I1" s="2529"/>
      <c r="J1" s="2529"/>
      <c r="K1" s="2529"/>
      <c r="L1" s="2529"/>
      <c r="M1" s="2529"/>
      <c r="N1" s="2529"/>
      <c r="O1" s="2529"/>
      <c r="P1" s="2529"/>
      <c r="Q1" s="2529"/>
      <c r="R1" s="2529"/>
      <c r="S1" s="2529"/>
      <c r="T1" s="2529"/>
      <c r="U1" s="2529"/>
      <c r="V1" s="2529"/>
      <c r="W1" s="2529"/>
      <c r="X1" s="2529"/>
    </row>
    <row r="2" spans="1:26" ht="18" customHeight="1" x14ac:dyDescent="0.2">
      <c r="A2" s="2533" t="s">
        <v>2090</v>
      </c>
      <c r="B2" s="2533"/>
      <c r="C2" s="2533"/>
      <c r="D2" s="2533"/>
      <c r="E2" s="2533"/>
      <c r="F2" s="2533"/>
      <c r="G2" s="2533"/>
      <c r="H2" s="2533"/>
      <c r="I2" s="2533"/>
      <c r="J2" s="2533"/>
      <c r="K2" s="2533"/>
      <c r="L2" s="2533"/>
      <c r="M2" s="2533"/>
    </row>
    <row r="3" spans="1:26" ht="30" x14ac:dyDescent="0.2">
      <c r="A3" s="2534" t="s">
        <v>2091</v>
      </c>
      <c r="B3" s="2534"/>
      <c r="C3" s="2534"/>
      <c r="D3" s="2534"/>
      <c r="E3" s="2534"/>
      <c r="F3" s="2534"/>
      <c r="G3" s="2534"/>
      <c r="H3" s="2534"/>
      <c r="I3" s="2534"/>
      <c r="J3" s="2534"/>
      <c r="K3" s="2534"/>
      <c r="L3" s="2534"/>
      <c r="M3" s="2534"/>
      <c r="N3" s="2534"/>
      <c r="O3" s="2534"/>
      <c r="P3" s="2534"/>
      <c r="Q3" s="2534"/>
      <c r="R3" s="2534"/>
      <c r="S3" s="2534"/>
      <c r="T3" s="2534"/>
      <c r="U3" s="2534"/>
      <c r="Z3" s="1954" t="str">
        <f>"10-"&amp;'Expenditures 15-22'!B11&amp;"-1*"</f>
        <v>10-1275-1*</v>
      </c>
    </row>
    <row r="4" spans="1:26" ht="15" x14ac:dyDescent="0.2">
      <c r="T4" s="1955" t="s">
        <v>2092</v>
      </c>
      <c r="U4" s="1956">
        <v>1</v>
      </c>
    </row>
    <row r="5" spans="1:26" ht="7.5" customHeight="1" x14ac:dyDescent="0.2">
      <c r="A5" s="2535" t="s">
        <v>2093</v>
      </c>
      <c r="B5" s="2535"/>
      <c r="C5" s="2535"/>
      <c r="D5" s="2535"/>
      <c r="E5" s="2535"/>
      <c r="F5" s="2535"/>
      <c r="G5" s="2535"/>
      <c r="H5" s="2535"/>
      <c r="I5" s="2535"/>
      <c r="J5" s="2535"/>
      <c r="K5" s="2535"/>
      <c r="L5" s="2535"/>
      <c r="M5" s="2535"/>
      <c r="N5" s="2535"/>
      <c r="O5" s="2535"/>
      <c r="P5" s="2535"/>
      <c r="Q5" s="2535"/>
      <c r="R5" s="2535"/>
      <c r="S5" s="2535"/>
      <c r="T5" s="2535"/>
      <c r="U5" s="2535"/>
    </row>
    <row r="6" spans="1:26" ht="6.75" customHeight="1" x14ac:dyDescent="0.2">
      <c r="A6" s="2535"/>
      <c r="B6" s="2535"/>
      <c r="C6" s="2535"/>
      <c r="D6" s="2535"/>
      <c r="E6" s="2535"/>
      <c r="F6" s="2535"/>
      <c r="G6" s="2535"/>
      <c r="H6" s="2535"/>
      <c r="I6" s="2535"/>
      <c r="J6" s="2535"/>
      <c r="K6" s="2535"/>
      <c r="L6" s="2535"/>
      <c r="M6" s="2535"/>
      <c r="N6" s="2535"/>
      <c r="O6" s="2535"/>
      <c r="P6" s="2535"/>
      <c r="Q6" s="2535"/>
      <c r="R6" s="2535"/>
      <c r="S6" s="2535"/>
      <c r="T6" s="2535"/>
      <c r="U6" s="2535"/>
    </row>
    <row r="7" spans="1:26" ht="13.5" customHeight="1" x14ac:dyDescent="0.2">
      <c r="A7" s="2536" t="s">
        <v>2094</v>
      </c>
      <c r="B7" s="2536"/>
      <c r="C7" s="2536"/>
      <c r="D7" s="2536"/>
      <c r="E7" s="2536"/>
      <c r="F7" s="2536"/>
      <c r="G7" s="2536"/>
      <c r="H7" s="2536"/>
      <c r="I7" s="2536"/>
      <c r="J7" s="2536"/>
      <c r="K7" s="2536"/>
      <c r="L7" s="2536"/>
      <c r="M7" s="2536"/>
      <c r="N7" s="2536"/>
      <c r="O7" s="2536"/>
      <c r="P7" s="2536"/>
      <c r="Q7" s="2536"/>
      <c r="R7" s="2536"/>
      <c r="S7" s="2536"/>
      <c r="T7" s="2536"/>
      <c r="U7" s="2536"/>
    </row>
    <row r="8" spans="1:26" ht="9" customHeight="1" x14ac:dyDescent="0.2"/>
    <row r="9" spans="1:26" ht="9.75" customHeight="1" x14ac:dyDescent="0.2">
      <c r="J9" s="2530" t="s">
        <v>1231</v>
      </c>
      <c r="K9" s="2530"/>
      <c r="L9" s="2530" t="s">
        <v>2095</v>
      </c>
      <c r="M9" s="2530"/>
      <c r="N9" s="2530" t="s">
        <v>2096</v>
      </c>
      <c r="O9" s="2530"/>
      <c r="P9" s="2530" t="s">
        <v>2097</v>
      </c>
      <c r="Q9" s="2530"/>
      <c r="R9" s="2530" t="s">
        <v>2098</v>
      </c>
      <c r="S9" s="2530"/>
      <c r="T9" s="2530" t="s">
        <v>30</v>
      </c>
      <c r="U9" s="2530"/>
      <c r="V9" s="2530" t="s">
        <v>2099</v>
      </c>
    </row>
    <row r="10" spans="1:26" ht="3" customHeight="1" x14ac:dyDescent="0.2">
      <c r="J10" s="2530"/>
      <c r="K10" s="2530"/>
      <c r="L10" s="2530"/>
      <c r="M10" s="2530"/>
      <c r="N10" s="2530"/>
      <c r="O10" s="2530"/>
      <c r="P10" s="2530"/>
      <c r="Q10" s="2530"/>
      <c r="R10" s="2530"/>
      <c r="S10" s="2530"/>
      <c r="T10" s="2530"/>
      <c r="U10" s="2530"/>
      <c r="V10" s="2530"/>
    </row>
    <row r="11" spans="1:26" ht="7.5" customHeight="1" x14ac:dyDescent="0.2">
      <c r="J11" s="2530"/>
      <c r="K11" s="2530"/>
      <c r="L11" s="2530"/>
      <c r="M11" s="2530"/>
      <c r="N11" s="2530"/>
      <c r="O11" s="2530"/>
      <c r="P11" s="2530"/>
      <c r="Q11" s="2530"/>
      <c r="R11" s="2530"/>
      <c r="S11" s="2530"/>
      <c r="T11" s="2530"/>
      <c r="U11" s="2530"/>
    </row>
    <row r="12" spans="1:26" ht="13.5" customHeight="1" x14ac:dyDescent="0.2">
      <c r="A12" s="2531" t="s">
        <v>2100</v>
      </c>
      <c r="B12" s="2531"/>
      <c r="C12" s="2531"/>
      <c r="D12" s="2531"/>
      <c r="E12" s="2531"/>
      <c r="F12" s="2531" t="s">
        <v>2101</v>
      </c>
      <c r="G12" s="2531"/>
      <c r="H12" s="2531"/>
      <c r="I12" s="2531"/>
      <c r="J12" s="2532" t="s">
        <v>1231</v>
      </c>
      <c r="K12" s="2532"/>
      <c r="L12" s="2532" t="s">
        <v>2102</v>
      </c>
      <c r="M12" s="2532"/>
      <c r="N12" s="2532" t="s">
        <v>2103</v>
      </c>
      <c r="O12" s="2532"/>
      <c r="P12" s="2532" t="s">
        <v>2104</v>
      </c>
      <c r="Q12" s="2532"/>
      <c r="R12" s="2532" t="s">
        <v>2105</v>
      </c>
      <c r="S12" s="2532"/>
      <c r="T12" s="2532" t="s">
        <v>2106</v>
      </c>
      <c r="U12" s="2532"/>
      <c r="V12" s="1957" t="s">
        <v>2107</v>
      </c>
      <c r="W12" s="1958" t="s">
        <v>2108</v>
      </c>
    </row>
    <row r="13" spans="1:26" ht="6.75" customHeight="1" x14ac:dyDescent="0.2"/>
    <row r="14" spans="1:26" ht="18.75" customHeight="1" x14ac:dyDescent="0.2">
      <c r="A14" s="2528" t="s">
        <v>2109</v>
      </c>
      <c r="B14" s="2528"/>
      <c r="C14" s="2528"/>
      <c r="D14" s="2528"/>
      <c r="E14" s="2528"/>
      <c r="F14" s="2528"/>
      <c r="G14" s="2528"/>
      <c r="H14" s="2528"/>
      <c r="I14" s="2528"/>
      <c r="J14" s="2528"/>
      <c r="K14" s="2528"/>
      <c r="L14" s="2528"/>
      <c r="M14" s="2528"/>
      <c r="N14" s="2528"/>
      <c r="O14" s="2528"/>
      <c r="P14" s="2528"/>
      <c r="Q14" s="2528"/>
      <c r="R14" s="2528"/>
      <c r="S14" s="2528"/>
      <c r="T14" s="2528"/>
      <c r="U14" s="2528"/>
    </row>
    <row r="15" spans="1:26" ht="15.75" customHeight="1" x14ac:dyDescent="0.2">
      <c r="A15" s="1959"/>
      <c r="B15" s="2527" t="s">
        <v>2110</v>
      </c>
      <c r="C15" s="2527"/>
      <c r="D15" s="2527"/>
      <c r="E15" s="2527"/>
      <c r="F15" s="2527"/>
      <c r="G15" s="2527"/>
      <c r="H15" s="2527"/>
      <c r="I15" s="2527"/>
      <c r="J15" s="2527"/>
      <c r="K15" s="2527"/>
      <c r="L15" s="2527"/>
      <c r="M15" s="2527"/>
      <c r="N15" s="2527"/>
      <c r="O15" s="2527"/>
      <c r="P15" s="2527"/>
      <c r="Q15" s="2527"/>
      <c r="R15" s="2527"/>
      <c r="S15" s="2527"/>
      <c r="T15" s="2527"/>
      <c r="U15" s="2527"/>
      <c r="V15" s="2527"/>
    </row>
    <row r="16" spans="1:26" ht="11.25" customHeight="1" x14ac:dyDescent="0.2">
      <c r="A16" s="2526" t="s">
        <v>2111</v>
      </c>
      <c r="B16" s="2526"/>
      <c r="C16" s="2526"/>
      <c r="D16" s="2526"/>
      <c r="E16" s="2526"/>
      <c r="F16" s="1960" t="s">
        <v>2112</v>
      </c>
      <c r="G16" s="2526" t="s">
        <v>2113</v>
      </c>
      <c r="H16" s="2526"/>
      <c r="I16" s="2526"/>
      <c r="J16" s="2526"/>
      <c r="L16" s="2525">
        <v>0</v>
      </c>
      <c r="M16" s="2525"/>
      <c r="N16" s="2525">
        <v>0</v>
      </c>
      <c r="O16" s="2525"/>
      <c r="P16" s="2525">
        <v>763755.96</v>
      </c>
      <c r="Q16" s="2525"/>
      <c r="R16" s="2525">
        <v>763755.96</v>
      </c>
      <c r="S16" s="2525"/>
      <c r="T16" s="2525">
        <v>772675.74</v>
      </c>
      <c r="U16" s="2525"/>
      <c r="V16" s="1961">
        <v>98.845598543057662</v>
      </c>
      <c r="W16" s="1962" t="s">
        <v>2114</v>
      </c>
    </row>
    <row r="17" spans="1:23" ht="11.25" customHeight="1" x14ac:dyDescent="0.2">
      <c r="A17" s="2526" t="s">
        <v>2115</v>
      </c>
      <c r="B17" s="2526"/>
      <c r="C17" s="2526"/>
      <c r="D17" s="2526"/>
      <c r="E17" s="2526"/>
      <c r="F17" s="1960" t="s">
        <v>2112</v>
      </c>
      <c r="G17" s="2526" t="s">
        <v>2116</v>
      </c>
      <c r="H17" s="2526"/>
      <c r="I17" s="2526"/>
      <c r="J17" s="2526"/>
      <c r="L17" s="2525">
        <v>0</v>
      </c>
      <c r="M17" s="2525"/>
      <c r="N17" s="2525">
        <v>0</v>
      </c>
      <c r="O17" s="2525"/>
      <c r="P17" s="2525">
        <v>0</v>
      </c>
      <c r="Q17" s="2525"/>
      <c r="R17" s="2525">
        <v>0</v>
      </c>
      <c r="S17" s="2525"/>
      <c r="T17" s="2525">
        <v>0</v>
      </c>
      <c r="U17" s="2525"/>
      <c r="V17" s="1961">
        <v>0</v>
      </c>
      <c r="W17" s="1962" t="s">
        <v>2114</v>
      </c>
    </row>
    <row r="18" spans="1:23" ht="11.25" customHeight="1" x14ac:dyDescent="0.2">
      <c r="A18" s="2526" t="s">
        <v>2117</v>
      </c>
      <c r="B18" s="2526"/>
      <c r="C18" s="2526"/>
      <c r="D18" s="2526"/>
      <c r="E18" s="2526"/>
      <c r="F18" s="1960" t="s">
        <v>2112</v>
      </c>
      <c r="G18" s="2526" t="s">
        <v>2118</v>
      </c>
      <c r="H18" s="2526"/>
      <c r="I18" s="2526"/>
      <c r="J18" s="2526"/>
      <c r="L18" s="2525">
        <v>0</v>
      </c>
      <c r="M18" s="2525"/>
      <c r="N18" s="2525">
        <v>0</v>
      </c>
      <c r="O18" s="2525"/>
      <c r="P18" s="2525">
        <v>0</v>
      </c>
      <c r="Q18" s="2525"/>
      <c r="R18" s="2525">
        <v>0</v>
      </c>
      <c r="S18" s="2525"/>
      <c r="T18" s="2525">
        <v>0</v>
      </c>
      <c r="U18" s="2525"/>
      <c r="V18" s="1961">
        <v>0</v>
      </c>
      <c r="W18" s="1962" t="s">
        <v>2114</v>
      </c>
    </row>
    <row r="19" spans="1:23" ht="11.25" customHeight="1" x14ac:dyDescent="0.2">
      <c r="A19" s="2526" t="s">
        <v>2119</v>
      </c>
      <c r="B19" s="2526"/>
      <c r="C19" s="2526"/>
      <c r="D19" s="2526"/>
      <c r="E19" s="2526"/>
      <c r="F19" s="1960" t="s">
        <v>2112</v>
      </c>
      <c r="G19" s="2526" t="s">
        <v>2120</v>
      </c>
      <c r="H19" s="2526"/>
      <c r="I19" s="2526"/>
      <c r="J19" s="2526"/>
      <c r="L19" s="2525">
        <v>0</v>
      </c>
      <c r="M19" s="2525"/>
      <c r="N19" s="2525">
        <v>0</v>
      </c>
      <c r="O19" s="2525"/>
      <c r="P19" s="2525">
        <v>27678.39</v>
      </c>
      <c r="Q19" s="2525"/>
      <c r="R19" s="2525">
        <v>27678.39</v>
      </c>
      <c r="S19" s="2525"/>
      <c r="T19" s="2525">
        <v>28001.29</v>
      </c>
      <c r="U19" s="2525"/>
      <c r="V19" s="1961">
        <v>98.846838842067626</v>
      </c>
      <c r="W19" s="1962" t="s">
        <v>2114</v>
      </c>
    </row>
    <row r="20" spans="1:23" ht="11.25" customHeight="1" x14ac:dyDescent="0.2">
      <c r="A20" s="2526" t="s">
        <v>2121</v>
      </c>
      <c r="B20" s="2526"/>
      <c r="C20" s="2526"/>
      <c r="D20" s="2526"/>
      <c r="E20" s="2526"/>
      <c r="F20" s="1960" t="s">
        <v>2112</v>
      </c>
      <c r="G20" s="2526" t="s">
        <v>2122</v>
      </c>
      <c r="H20" s="2526"/>
      <c r="I20" s="2526"/>
      <c r="J20" s="2526"/>
      <c r="L20" s="2525">
        <v>0</v>
      </c>
      <c r="M20" s="2525"/>
      <c r="N20" s="2525">
        <v>0</v>
      </c>
      <c r="O20" s="2525"/>
      <c r="P20" s="2525">
        <v>0</v>
      </c>
      <c r="Q20" s="2525"/>
      <c r="R20" s="2525">
        <v>0</v>
      </c>
      <c r="S20" s="2525"/>
      <c r="T20" s="2525">
        <v>0</v>
      </c>
      <c r="U20" s="2525"/>
      <c r="V20" s="1961">
        <v>0</v>
      </c>
      <c r="W20" s="1962" t="s">
        <v>2114</v>
      </c>
    </row>
    <row r="21" spans="1:23" ht="11.25" customHeight="1" x14ac:dyDescent="0.2">
      <c r="A21" s="2526" t="s">
        <v>2123</v>
      </c>
      <c r="B21" s="2526"/>
      <c r="C21" s="2526"/>
      <c r="D21" s="2526"/>
      <c r="E21" s="2526"/>
      <c r="F21" s="1960" t="s">
        <v>2112</v>
      </c>
      <c r="G21" s="2526" t="s">
        <v>2124</v>
      </c>
      <c r="H21" s="2526"/>
      <c r="I21" s="2526"/>
      <c r="J21" s="2526"/>
      <c r="L21" s="2525">
        <v>0</v>
      </c>
      <c r="M21" s="2525"/>
      <c r="N21" s="2525">
        <v>0</v>
      </c>
      <c r="O21" s="2525"/>
      <c r="P21" s="2525">
        <v>0</v>
      </c>
      <c r="Q21" s="2525"/>
      <c r="R21" s="2525">
        <v>0</v>
      </c>
      <c r="S21" s="2525"/>
      <c r="T21" s="2525">
        <v>0</v>
      </c>
      <c r="U21" s="2525"/>
      <c r="V21" s="1961">
        <v>0</v>
      </c>
      <c r="W21" s="1962" t="s">
        <v>2114</v>
      </c>
    </row>
    <row r="22" spans="1:23" ht="11.25" customHeight="1" x14ac:dyDescent="0.2">
      <c r="A22" s="2526" t="s">
        <v>2125</v>
      </c>
      <c r="B22" s="2526"/>
      <c r="C22" s="2526"/>
      <c r="D22" s="2526"/>
      <c r="E22" s="2526"/>
      <c r="F22" s="1960" t="s">
        <v>2112</v>
      </c>
      <c r="G22" s="2526" t="s">
        <v>2126</v>
      </c>
      <c r="H22" s="2526"/>
      <c r="I22" s="2526"/>
      <c r="J22" s="2526"/>
      <c r="L22" s="2525">
        <v>0</v>
      </c>
      <c r="M22" s="2525"/>
      <c r="N22" s="2525">
        <v>0</v>
      </c>
      <c r="O22" s="2525"/>
      <c r="P22" s="2525">
        <v>34220.33</v>
      </c>
      <c r="Q22" s="2525"/>
      <c r="R22" s="2525">
        <v>34220.33</v>
      </c>
      <c r="S22" s="2525"/>
      <c r="T22" s="2525">
        <v>25671</v>
      </c>
      <c r="U22" s="2525"/>
      <c r="V22" s="1961">
        <v>133.30345526080012</v>
      </c>
      <c r="W22" s="1962" t="s">
        <v>2114</v>
      </c>
    </row>
    <row r="23" spans="1:23" ht="11.25" customHeight="1" x14ac:dyDescent="0.2">
      <c r="A23" s="2526" t="s">
        <v>2127</v>
      </c>
      <c r="B23" s="2526"/>
      <c r="C23" s="2526"/>
      <c r="D23" s="2526"/>
      <c r="E23" s="2526"/>
      <c r="F23" s="1960" t="s">
        <v>2112</v>
      </c>
      <c r="G23" s="2526" t="s">
        <v>2128</v>
      </c>
      <c r="H23" s="2526"/>
      <c r="I23" s="2526"/>
      <c r="J23" s="2526"/>
      <c r="L23" s="2525">
        <v>0</v>
      </c>
      <c r="M23" s="2525"/>
      <c r="N23" s="2525">
        <v>0</v>
      </c>
      <c r="O23" s="2525"/>
      <c r="P23" s="2525">
        <v>231272.07</v>
      </c>
      <c r="Q23" s="2525"/>
      <c r="R23" s="2525">
        <v>231272.07</v>
      </c>
      <c r="S23" s="2525"/>
      <c r="T23" s="2525">
        <v>231272</v>
      </c>
      <c r="U23" s="2525"/>
      <c r="V23" s="1961">
        <v>100.00003026739078</v>
      </c>
      <c r="W23" s="1962" t="s">
        <v>2114</v>
      </c>
    </row>
    <row r="24" spans="1:23" ht="11.25" customHeight="1" x14ac:dyDescent="0.2">
      <c r="A24" s="2526" t="s">
        <v>2129</v>
      </c>
      <c r="B24" s="2526"/>
      <c r="C24" s="2526"/>
      <c r="D24" s="2526"/>
      <c r="E24" s="2526"/>
      <c r="F24" s="1960" t="s">
        <v>2112</v>
      </c>
      <c r="G24" s="2526" t="s">
        <v>2130</v>
      </c>
      <c r="H24" s="2526"/>
      <c r="I24" s="2526"/>
      <c r="J24" s="2526"/>
      <c r="L24" s="2525">
        <v>0</v>
      </c>
      <c r="M24" s="2525"/>
      <c r="N24" s="2525">
        <v>0</v>
      </c>
      <c r="O24" s="2525"/>
      <c r="P24" s="2525">
        <v>0</v>
      </c>
      <c r="Q24" s="2525"/>
      <c r="R24" s="2525">
        <v>0</v>
      </c>
      <c r="S24" s="2525"/>
      <c r="T24" s="2525">
        <v>0</v>
      </c>
      <c r="U24" s="2525"/>
      <c r="V24" s="1961">
        <v>0</v>
      </c>
      <c r="W24" s="1962" t="s">
        <v>2114</v>
      </c>
    </row>
    <row r="25" spans="1:23" ht="11.25" customHeight="1" x14ac:dyDescent="0.2">
      <c r="A25" s="2526" t="s">
        <v>2131</v>
      </c>
      <c r="B25" s="2526"/>
      <c r="C25" s="2526"/>
      <c r="D25" s="2526"/>
      <c r="E25" s="2526"/>
      <c r="F25" s="1960" t="s">
        <v>2112</v>
      </c>
      <c r="G25" s="2526" t="s">
        <v>2132</v>
      </c>
      <c r="H25" s="2526"/>
      <c r="I25" s="2526"/>
      <c r="J25" s="2526"/>
      <c r="L25" s="2525">
        <v>0</v>
      </c>
      <c r="M25" s="2525"/>
      <c r="N25" s="2525">
        <v>0</v>
      </c>
      <c r="O25" s="2525"/>
      <c r="P25" s="2525">
        <v>3787.14</v>
      </c>
      <c r="Q25" s="2525"/>
      <c r="R25" s="2525">
        <v>3787.14</v>
      </c>
      <c r="S25" s="2525"/>
      <c r="T25" s="2525">
        <v>2400</v>
      </c>
      <c r="U25" s="2525"/>
      <c r="V25" s="1961">
        <v>157.79750000000001</v>
      </c>
      <c r="W25" s="1962" t="s">
        <v>2114</v>
      </c>
    </row>
    <row r="26" spans="1:23" ht="11.25" customHeight="1" x14ac:dyDescent="0.2">
      <c r="A26" s="2526" t="s">
        <v>2133</v>
      </c>
      <c r="B26" s="2526"/>
      <c r="C26" s="2526"/>
      <c r="D26" s="2526"/>
      <c r="E26" s="2526"/>
      <c r="F26" s="1960" t="s">
        <v>2112</v>
      </c>
      <c r="G26" s="2526" t="s">
        <v>2134</v>
      </c>
      <c r="H26" s="2526"/>
      <c r="I26" s="2526"/>
      <c r="J26" s="2526"/>
      <c r="L26" s="2525">
        <v>0</v>
      </c>
      <c r="M26" s="2525"/>
      <c r="N26" s="2525">
        <v>0</v>
      </c>
      <c r="O26" s="2525"/>
      <c r="P26" s="2525">
        <v>11872.66</v>
      </c>
      <c r="Q26" s="2525"/>
      <c r="R26" s="2525">
        <v>11872.66</v>
      </c>
      <c r="S26" s="2525"/>
      <c r="T26" s="2525">
        <v>8000</v>
      </c>
      <c r="U26" s="2525"/>
      <c r="V26" s="1961">
        <v>148.40825000000001</v>
      </c>
      <c r="W26" s="1962" t="s">
        <v>2114</v>
      </c>
    </row>
    <row r="27" spans="1:23" ht="11.25" customHeight="1" x14ac:dyDescent="0.2">
      <c r="A27" s="2526" t="s">
        <v>2135</v>
      </c>
      <c r="B27" s="2526"/>
      <c r="C27" s="2526"/>
      <c r="D27" s="2526"/>
      <c r="E27" s="2526"/>
      <c r="F27" s="1960" t="s">
        <v>2112</v>
      </c>
      <c r="G27" s="2526" t="s">
        <v>2136</v>
      </c>
      <c r="H27" s="2526"/>
      <c r="I27" s="2526"/>
      <c r="J27" s="2526"/>
      <c r="L27" s="2525">
        <v>0</v>
      </c>
      <c r="M27" s="2525"/>
      <c r="N27" s="2525">
        <v>0</v>
      </c>
      <c r="O27" s="2525"/>
      <c r="P27" s="2525">
        <v>579.70000000000005</v>
      </c>
      <c r="Q27" s="2525"/>
      <c r="R27" s="2525">
        <v>579.70000000000005</v>
      </c>
      <c r="S27" s="2525"/>
      <c r="T27" s="2525">
        <v>1000</v>
      </c>
      <c r="U27" s="2525"/>
      <c r="V27" s="1961">
        <v>57.97</v>
      </c>
      <c r="W27" s="1962" t="s">
        <v>2114</v>
      </c>
    </row>
    <row r="28" spans="1:23" ht="11.25" customHeight="1" x14ac:dyDescent="0.2">
      <c r="A28" s="2526" t="s">
        <v>2137</v>
      </c>
      <c r="B28" s="2526"/>
      <c r="C28" s="2526"/>
      <c r="D28" s="2526"/>
      <c r="E28" s="2526"/>
      <c r="F28" s="1960" t="s">
        <v>2112</v>
      </c>
      <c r="G28" s="2526" t="s">
        <v>2138</v>
      </c>
      <c r="H28" s="2526"/>
      <c r="I28" s="2526"/>
      <c r="J28" s="2526"/>
      <c r="L28" s="2525">
        <v>0</v>
      </c>
      <c r="M28" s="2525"/>
      <c r="N28" s="2525">
        <v>0</v>
      </c>
      <c r="O28" s="2525"/>
      <c r="P28" s="2525">
        <v>6761.9000000000005</v>
      </c>
      <c r="Q28" s="2525"/>
      <c r="R28" s="2525">
        <v>6761.9000000000005</v>
      </c>
      <c r="S28" s="2525"/>
      <c r="T28" s="2525">
        <v>2500</v>
      </c>
      <c r="U28" s="2525"/>
      <c r="V28" s="1961">
        <v>270.476</v>
      </c>
      <c r="W28" s="1962" t="s">
        <v>2114</v>
      </c>
    </row>
    <row r="29" spans="1:23" ht="11.25" customHeight="1" x14ac:dyDescent="0.2">
      <c r="A29" s="2526" t="s">
        <v>2139</v>
      </c>
      <c r="B29" s="2526"/>
      <c r="C29" s="2526"/>
      <c r="D29" s="2526"/>
      <c r="E29" s="2526"/>
      <c r="F29" s="1960" t="s">
        <v>2112</v>
      </c>
      <c r="G29" s="2526" t="s">
        <v>2140</v>
      </c>
      <c r="H29" s="2526"/>
      <c r="I29" s="2526"/>
      <c r="J29" s="2526"/>
      <c r="L29" s="2525">
        <v>0</v>
      </c>
      <c r="M29" s="2525"/>
      <c r="N29" s="2525">
        <v>0</v>
      </c>
      <c r="O29" s="2525"/>
      <c r="P29" s="2525">
        <v>2845</v>
      </c>
      <c r="Q29" s="2525"/>
      <c r="R29" s="2525">
        <v>2845</v>
      </c>
      <c r="S29" s="2525"/>
      <c r="T29" s="2525">
        <v>4000</v>
      </c>
      <c r="U29" s="2525"/>
      <c r="V29" s="1961">
        <v>71.125</v>
      </c>
      <c r="W29" s="1962" t="s">
        <v>2114</v>
      </c>
    </row>
    <row r="30" spans="1:23" ht="11.25" customHeight="1" x14ac:dyDescent="0.2">
      <c r="A30" s="2526" t="s">
        <v>2141</v>
      </c>
      <c r="B30" s="2526"/>
      <c r="C30" s="2526"/>
      <c r="D30" s="2526"/>
      <c r="E30" s="2526"/>
      <c r="F30" s="1960" t="s">
        <v>2112</v>
      </c>
      <c r="G30" s="2526" t="s">
        <v>2142</v>
      </c>
      <c r="H30" s="2526"/>
      <c r="I30" s="2526"/>
      <c r="J30" s="2526"/>
      <c r="L30" s="2525">
        <v>0</v>
      </c>
      <c r="M30" s="2525"/>
      <c r="N30" s="2525">
        <v>0</v>
      </c>
      <c r="O30" s="2525"/>
      <c r="P30" s="2525">
        <v>0</v>
      </c>
      <c r="Q30" s="2525"/>
      <c r="R30" s="2525">
        <v>0</v>
      </c>
      <c r="S30" s="2525"/>
      <c r="T30" s="2525">
        <v>0</v>
      </c>
      <c r="U30" s="2525"/>
      <c r="V30" s="1961">
        <v>0</v>
      </c>
      <c r="W30" s="1962" t="s">
        <v>2114</v>
      </c>
    </row>
    <row r="31" spans="1:23" ht="11.25" customHeight="1" x14ac:dyDescent="0.2">
      <c r="A31" s="2526" t="s">
        <v>2143</v>
      </c>
      <c r="B31" s="2526"/>
      <c r="C31" s="2526"/>
      <c r="D31" s="2526"/>
      <c r="E31" s="2526"/>
      <c r="F31" s="1960" t="s">
        <v>2112</v>
      </c>
      <c r="G31" s="2526" t="s">
        <v>2144</v>
      </c>
      <c r="H31" s="2526"/>
      <c r="I31" s="2526"/>
      <c r="J31" s="2526"/>
      <c r="L31" s="2525">
        <v>0</v>
      </c>
      <c r="M31" s="2525"/>
      <c r="N31" s="2525">
        <v>0</v>
      </c>
      <c r="O31" s="2525"/>
      <c r="P31" s="2525">
        <v>0</v>
      </c>
      <c r="Q31" s="2525"/>
      <c r="R31" s="2525">
        <v>0</v>
      </c>
      <c r="S31" s="2525"/>
      <c r="T31" s="2525">
        <v>0</v>
      </c>
      <c r="U31" s="2525"/>
      <c r="V31" s="1961">
        <v>0</v>
      </c>
      <c r="W31" s="1962" t="s">
        <v>2114</v>
      </c>
    </row>
    <row r="32" spans="1:23" ht="11.25" customHeight="1" x14ac:dyDescent="0.2">
      <c r="A32" s="2526" t="s">
        <v>2145</v>
      </c>
      <c r="B32" s="2526"/>
      <c r="C32" s="2526"/>
      <c r="D32" s="2526"/>
      <c r="E32" s="2526"/>
      <c r="F32" s="1960" t="s">
        <v>2112</v>
      </c>
      <c r="G32" s="2526" t="s">
        <v>2146</v>
      </c>
      <c r="H32" s="2526"/>
      <c r="I32" s="2526"/>
      <c r="J32" s="2526"/>
      <c r="L32" s="2525">
        <v>0</v>
      </c>
      <c r="M32" s="2525"/>
      <c r="N32" s="2525">
        <v>0</v>
      </c>
      <c r="O32" s="2525"/>
      <c r="P32" s="2525">
        <v>2060</v>
      </c>
      <c r="Q32" s="2525"/>
      <c r="R32" s="2525">
        <v>2060</v>
      </c>
      <c r="S32" s="2525"/>
      <c r="T32" s="2525">
        <v>2000</v>
      </c>
      <c r="U32" s="2525"/>
      <c r="V32" s="1961">
        <v>103</v>
      </c>
      <c r="W32" s="1962" t="s">
        <v>2114</v>
      </c>
    </row>
    <row r="33" spans="1:23" ht="11.25" customHeight="1" x14ac:dyDescent="0.2">
      <c r="A33" s="2526" t="s">
        <v>2147</v>
      </c>
      <c r="B33" s="2526"/>
      <c r="C33" s="2526"/>
      <c r="D33" s="2526"/>
      <c r="E33" s="2526"/>
      <c r="F33" s="1960" t="s">
        <v>2112</v>
      </c>
      <c r="G33" s="2526" t="s">
        <v>2148</v>
      </c>
      <c r="H33" s="2526"/>
      <c r="I33" s="2526"/>
      <c r="J33" s="2526"/>
      <c r="L33" s="2525">
        <v>0</v>
      </c>
      <c r="M33" s="2525"/>
      <c r="N33" s="2525">
        <v>0</v>
      </c>
      <c r="O33" s="2525"/>
      <c r="P33" s="2525">
        <v>0</v>
      </c>
      <c r="Q33" s="2525"/>
      <c r="R33" s="2525">
        <v>0</v>
      </c>
      <c r="S33" s="2525"/>
      <c r="T33" s="2525">
        <v>0</v>
      </c>
      <c r="U33" s="2525"/>
      <c r="V33" s="1961">
        <v>0</v>
      </c>
      <c r="W33" s="1962" t="s">
        <v>2114</v>
      </c>
    </row>
    <row r="34" spans="1:23" ht="11.25" customHeight="1" x14ac:dyDescent="0.2">
      <c r="A34" s="2526" t="s">
        <v>2149</v>
      </c>
      <c r="B34" s="2526"/>
      <c r="C34" s="2526"/>
      <c r="D34" s="2526"/>
      <c r="E34" s="2526"/>
      <c r="F34" s="1960" t="s">
        <v>2112</v>
      </c>
      <c r="G34" s="2526" t="s">
        <v>2150</v>
      </c>
      <c r="H34" s="2526"/>
      <c r="I34" s="2526"/>
      <c r="J34" s="2526"/>
      <c r="L34" s="2525">
        <v>0</v>
      </c>
      <c r="M34" s="2525"/>
      <c r="N34" s="2525">
        <v>0</v>
      </c>
      <c r="O34" s="2525"/>
      <c r="P34" s="2525">
        <v>0</v>
      </c>
      <c r="Q34" s="2525"/>
      <c r="R34" s="2525">
        <v>0</v>
      </c>
      <c r="S34" s="2525"/>
      <c r="T34" s="2525">
        <v>0</v>
      </c>
      <c r="U34" s="2525"/>
      <c r="V34" s="1961">
        <v>0</v>
      </c>
      <c r="W34" s="1962" t="s">
        <v>2114</v>
      </c>
    </row>
    <row r="35" spans="1:23" ht="11.25" customHeight="1" x14ac:dyDescent="0.2">
      <c r="A35" s="2526" t="s">
        <v>2149</v>
      </c>
      <c r="B35" s="2526"/>
      <c r="C35" s="2526"/>
      <c r="D35" s="2526"/>
      <c r="E35" s="2526"/>
      <c r="F35" s="2526" t="s">
        <v>2150</v>
      </c>
      <c r="G35" s="2526"/>
      <c r="H35" s="2526"/>
      <c r="I35" s="2526"/>
      <c r="L35" s="2525">
        <v>0</v>
      </c>
      <c r="M35" s="2525"/>
      <c r="N35" s="2525">
        <v>0</v>
      </c>
      <c r="O35" s="2525"/>
      <c r="P35" s="2525">
        <v>0</v>
      </c>
      <c r="Q35" s="2525"/>
      <c r="R35" s="2525">
        <v>0</v>
      </c>
      <c r="S35" s="2525"/>
      <c r="T35" s="2525">
        <v>0</v>
      </c>
      <c r="U35" s="2525"/>
      <c r="V35" s="1961">
        <v>0</v>
      </c>
      <c r="W35" s="1962" t="s">
        <v>2114</v>
      </c>
    </row>
    <row r="36" spans="1:23" ht="11.25" customHeight="1" x14ac:dyDescent="0.2">
      <c r="A36" s="2526" t="s">
        <v>2151</v>
      </c>
      <c r="B36" s="2526"/>
      <c r="C36" s="2526"/>
      <c r="D36" s="2526"/>
      <c r="E36" s="2526"/>
      <c r="F36" s="1960" t="s">
        <v>2112</v>
      </c>
      <c r="G36" s="2526" t="s">
        <v>2152</v>
      </c>
      <c r="H36" s="2526"/>
      <c r="I36" s="2526"/>
      <c r="J36" s="2526"/>
      <c r="L36" s="2525">
        <v>0</v>
      </c>
      <c r="M36" s="2525"/>
      <c r="N36" s="2525">
        <v>0</v>
      </c>
      <c r="O36" s="2525"/>
      <c r="P36" s="2525">
        <v>0</v>
      </c>
      <c r="Q36" s="2525"/>
      <c r="R36" s="2525">
        <v>0</v>
      </c>
      <c r="S36" s="2525"/>
      <c r="T36" s="2525">
        <v>0</v>
      </c>
      <c r="U36" s="2525"/>
      <c r="V36" s="1961">
        <v>0</v>
      </c>
      <c r="W36" s="1962" t="s">
        <v>2114</v>
      </c>
    </row>
    <row r="37" spans="1:23" ht="11.25" customHeight="1" x14ac:dyDescent="0.2">
      <c r="A37" s="2526" t="s">
        <v>2153</v>
      </c>
      <c r="B37" s="2526"/>
      <c r="C37" s="2526"/>
      <c r="D37" s="2526"/>
      <c r="E37" s="2526"/>
      <c r="F37" s="1960" t="s">
        <v>2112</v>
      </c>
      <c r="G37" s="2526" t="s">
        <v>2154</v>
      </c>
      <c r="H37" s="2526"/>
      <c r="I37" s="2526"/>
      <c r="J37" s="2526"/>
      <c r="L37" s="2525">
        <v>0</v>
      </c>
      <c r="M37" s="2525"/>
      <c r="N37" s="2525">
        <v>0</v>
      </c>
      <c r="O37" s="2525"/>
      <c r="P37" s="2525">
        <v>0</v>
      </c>
      <c r="Q37" s="2525"/>
      <c r="R37" s="2525">
        <v>0</v>
      </c>
      <c r="S37" s="2525"/>
      <c r="T37" s="2525">
        <v>0</v>
      </c>
      <c r="U37" s="2525"/>
      <c r="V37" s="1961">
        <v>0</v>
      </c>
      <c r="W37" s="1962" t="s">
        <v>2114</v>
      </c>
    </row>
    <row r="38" spans="1:23" ht="11.25" customHeight="1" x14ac:dyDescent="0.2">
      <c r="A38" s="2526" t="s">
        <v>2155</v>
      </c>
      <c r="B38" s="2526"/>
      <c r="C38" s="2526"/>
      <c r="D38" s="2526"/>
      <c r="E38" s="2526"/>
      <c r="F38" s="1960" t="s">
        <v>2112</v>
      </c>
      <c r="G38" s="2526" t="s">
        <v>2156</v>
      </c>
      <c r="H38" s="2526"/>
      <c r="I38" s="2526"/>
      <c r="J38" s="2526"/>
      <c r="L38" s="2525">
        <v>0</v>
      </c>
      <c r="M38" s="2525"/>
      <c r="N38" s="2525">
        <v>0</v>
      </c>
      <c r="O38" s="2525"/>
      <c r="P38" s="2525">
        <v>1511.74</v>
      </c>
      <c r="Q38" s="2525"/>
      <c r="R38" s="2525">
        <v>1511.74</v>
      </c>
      <c r="S38" s="2525"/>
      <c r="T38" s="2525">
        <v>0</v>
      </c>
      <c r="U38" s="2525"/>
      <c r="V38" s="1961">
        <v>0</v>
      </c>
      <c r="W38" s="1962" t="s">
        <v>2114</v>
      </c>
    </row>
    <row r="39" spans="1:23" ht="11.25" customHeight="1" x14ac:dyDescent="0.2">
      <c r="A39" s="2526" t="s">
        <v>2157</v>
      </c>
      <c r="B39" s="2526"/>
      <c r="C39" s="2526"/>
      <c r="D39" s="2526"/>
      <c r="E39" s="2526"/>
      <c r="F39" s="1960" t="s">
        <v>2112</v>
      </c>
      <c r="G39" s="2526" t="s">
        <v>2158</v>
      </c>
      <c r="H39" s="2526"/>
      <c r="I39" s="2526"/>
      <c r="J39" s="2526"/>
      <c r="L39" s="2525">
        <v>0</v>
      </c>
      <c r="M39" s="2525"/>
      <c r="N39" s="2525">
        <v>0</v>
      </c>
      <c r="O39" s="2525"/>
      <c r="P39" s="2525">
        <v>0</v>
      </c>
      <c r="Q39" s="2525"/>
      <c r="R39" s="2525">
        <v>0</v>
      </c>
      <c r="S39" s="2525"/>
      <c r="T39" s="2525">
        <v>0</v>
      </c>
      <c r="U39" s="2525"/>
      <c r="V39" s="1961">
        <v>0</v>
      </c>
      <c r="W39" s="1962" t="s">
        <v>2114</v>
      </c>
    </row>
    <row r="40" spans="1:23" ht="11.25" customHeight="1" x14ac:dyDescent="0.2">
      <c r="A40" s="2526" t="s">
        <v>2159</v>
      </c>
      <c r="B40" s="2526"/>
      <c r="C40" s="2526"/>
      <c r="D40" s="2526"/>
      <c r="E40" s="2526"/>
      <c r="F40" s="1960" t="s">
        <v>2112</v>
      </c>
      <c r="G40" s="2526" t="s">
        <v>2160</v>
      </c>
      <c r="H40" s="2526"/>
      <c r="I40" s="2526"/>
      <c r="J40" s="2526"/>
      <c r="L40" s="2525">
        <v>0</v>
      </c>
      <c r="M40" s="2525"/>
      <c r="N40" s="2525">
        <v>0</v>
      </c>
      <c r="O40" s="2525"/>
      <c r="P40" s="2525">
        <v>0</v>
      </c>
      <c r="Q40" s="2525"/>
      <c r="R40" s="2525">
        <v>0</v>
      </c>
      <c r="S40" s="2525"/>
      <c r="T40" s="2525">
        <v>0</v>
      </c>
      <c r="U40" s="2525"/>
      <c r="V40" s="1961">
        <v>0</v>
      </c>
      <c r="W40" s="1962" t="s">
        <v>2114</v>
      </c>
    </row>
    <row r="41" spans="1:23" ht="11.25" customHeight="1" x14ac:dyDescent="0.2">
      <c r="A41" s="2526" t="s">
        <v>2161</v>
      </c>
      <c r="B41" s="2526"/>
      <c r="C41" s="2526"/>
      <c r="D41" s="2526"/>
      <c r="E41" s="2526"/>
      <c r="F41" s="1960" t="s">
        <v>2112</v>
      </c>
      <c r="G41" s="2526" t="s">
        <v>2162</v>
      </c>
      <c r="H41" s="2526"/>
      <c r="I41" s="2526"/>
      <c r="J41" s="2526"/>
      <c r="L41" s="2525">
        <v>0</v>
      </c>
      <c r="M41" s="2525"/>
      <c r="N41" s="2525">
        <v>0</v>
      </c>
      <c r="O41" s="2525"/>
      <c r="P41" s="2525">
        <v>0</v>
      </c>
      <c r="Q41" s="2525"/>
      <c r="R41" s="2525">
        <v>0</v>
      </c>
      <c r="S41" s="2525"/>
      <c r="T41" s="2525">
        <v>0</v>
      </c>
      <c r="U41" s="2525"/>
      <c r="V41" s="1961">
        <v>0</v>
      </c>
      <c r="W41" s="1962" t="s">
        <v>2114</v>
      </c>
    </row>
    <row r="42" spans="1:23" ht="11.25" customHeight="1" x14ac:dyDescent="0.2">
      <c r="A42" s="2526" t="s">
        <v>2163</v>
      </c>
      <c r="B42" s="2526"/>
      <c r="C42" s="2526"/>
      <c r="D42" s="2526"/>
      <c r="E42" s="2526"/>
      <c r="F42" s="1960" t="s">
        <v>2112</v>
      </c>
      <c r="G42" s="2526" t="s">
        <v>2164</v>
      </c>
      <c r="H42" s="2526"/>
      <c r="I42" s="2526"/>
      <c r="J42" s="2526"/>
      <c r="L42" s="2525">
        <v>0</v>
      </c>
      <c r="M42" s="2525"/>
      <c r="N42" s="2525">
        <v>0</v>
      </c>
      <c r="O42" s="2525"/>
      <c r="P42" s="2525">
        <v>0</v>
      </c>
      <c r="Q42" s="2525"/>
      <c r="R42" s="2525">
        <v>0</v>
      </c>
      <c r="S42" s="2525"/>
      <c r="T42" s="2525">
        <v>0</v>
      </c>
      <c r="U42" s="2525"/>
      <c r="V42" s="1961">
        <v>0</v>
      </c>
      <c r="W42" s="1962" t="s">
        <v>2114</v>
      </c>
    </row>
    <row r="43" spans="1:23" ht="11.25" customHeight="1" x14ac:dyDescent="0.2">
      <c r="A43" s="2526" t="s">
        <v>2165</v>
      </c>
      <c r="B43" s="2526"/>
      <c r="C43" s="2526"/>
      <c r="D43" s="2526"/>
      <c r="E43" s="2526"/>
      <c r="F43" s="1960" t="s">
        <v>2112</v>
      </c>
      <c r="G43" s="2526" t="s">
        <v>2166</v>
      </c>
      <c r="H43" s="2526"/>
      <c r="I43" s="2526"/>
      <c r="J43" s="2526"/>
      <c r="L43" s="2525">
        <v>0</v>
      </c>
      <c r="M43" s="2525"/>
      <c r="N43" s="2525">
        <v>0</v>
      </c>
      <c r="O43" s="2525"/>
      <c r="P43" s="2525">
        <v>0</v>
      </c>
      <c r="Q43" s="2525"/>
      <c r="R43" s="2525">
        <v>0</v>
      </c>
      <c r="S43" s="2525"/>
      <c r="T43" s="2525">
        <v>0</v>
      </c>
      <c r="U43" s="2525"/>
      <c r="V43" s="1961">
        <v>0</v>
      </c>
      <c r="W43" s="1962" t="s">
        <v>2114</v>
      </c>
    </row>
    <row r="44" spans="1:23" ht="11.25" customHeight="1" x14ac:dyDescent="0.2">
      <c r="A44" s="2526" t="s">
        <v>2167</v>
      </c>
      <c r="B44" s="2526"/>
      <c r="C44" s="2526"/>
      <c r="D44" s="2526"/>
      <c r="E44" s="2526"/>
      <c r="F44" s="1960" t="s">
        <v>2112</v>
      </c>
      <c r="G44" s="2526" t="s">
        <v>2168</v>
      </c>
      <c r="H44" s="2526"/>
      <c r="I44" s="2526"/>
      <c r="J44" s="2526"/>
      <c r="L44" s="2525">
        <v>0</v>
      </c>
      <c r="M44" s="2525"/>
      <c r="N44" s="2525">
        <v>0</v>
      </c>
      <c r="O44" s="2525"/>
      <c r="P44" s="2525">
        <v>0</v>
      </c>
      <c r="Q44" s="2525"/>
      <c r="R44" s="2525">
        <v>0</v>
      </c>
      <c r="S44" s="2525"/>
      <c r="T44" s="2525">
        <v>0</v>
      </c>
      <c r="U44" s="2525"/>
      <c r="V44" s="1961">
        <v>0</v>
      </c>
      <c r="W44" s="1962" t="s">
        <v>2114</v>
      </c>
    </row>
    <row r="45" spans="1:23" ht="11.25" customHeight="1" x14ac:dyDescent="0.2">
      <c r="A45" s="2526" t="s">
        <v>2169</v>
      </c>
      <c r="B45" s="2526"/>
      <c r="C45" s="2526"/>
      <c r="D45" s="2526"/>
      <c r="E45" s="2526"/>
      <c r="F45" s="1960" t="s">
        <v>2112</v>
      </c>
      <c r="G45" s="2526" t="s">
        <v>2170</v>
      </c>
      <c r="H45" s="2526"/>
      <c r="I45" s="2526"/>
      <c r="J45" s="2526"/>
      <c r="L45" s="2525">
        <v>0</v>
      </c>
      <c r="M45" s="2525"/>
      <c r="N45" s="2525">
        <v>0</v>
      </c>
      <c r="O45" s="2525"/>
      <c r="P45" s="2525">
        <v>0</v>
      </c>
      <c r="Q45" s="2525"/>
      <c r="R45" s="2525">
        <v>0</v>
      </c>
      <c r="S45" s="2525"/>
      <c r="T45" s="2525">
        <v>0</v>
      </c>
      <c r="U45" s="2525"/>
      <c r="V45" s="1961">
        <v>0</v>
      </c>
      <c r="W45" s="1962" t="s">
        <v>2114</v>
      </c>
    </row>
    <row r="46" spans="1:23" ht="11.25" customHeight="1" x14ac:dyDescent="0.2">
      <c r="A46" s="2526" t="s">
        <v>2171</v>
      </c>
      <c r="B46" s="2526"/>
      <c r="C46" s="2526"/>
      <c r="D46" s="2526"/>
      <c r="E46" s="2526"/>
      <c r="F46" s="1960" t="s">
        <v>2112</v>
      </c>
      <c r="G46" s="2526" t="s">
        <v>2172</v>
      </c>
      <c r="H46" s="2526"/>
      <c r="I46" s="2526"/>
      <c r="J46" s="2526"/>
      <c r="L46" s="2525">
        <v>0</v>
      </c>
      <c r="M46" s="2525"/>
      <c r="N46" s="2525">
        <v>0</v>
      </c>
      <c r="O46" s="2525"/>
      <c r="P46" s="2525">
        <v>0</v>
      </c>
      <c r="Q46" s="2525"/>
      <c r="R46" s="2525">
        <v>0</v>
      </c>
      <c r="S46" s="2525"/>
      <c r="T46" s="2525">
        <v>0</v>
      </c>
      <c r="U46" s="2525"/>
      <c r="V46" s="1961">
        <v>0</v>
      </c>
      <c r="W46" s="1962" t="s">
        <v>2114</v>
      </c>
    </row>
    <row r="47" spans="1:23" ht="11.25" customHeight="1" x14ac:dyDescent="0.2">
      <c r="A47" s="2526" t="s">
        <v>2173</v>
      </c>
      <c r="B47" s="2526"/>
      <c r="C47" s="2526"/>
      <c r="D47" s="2526"/>
      <c r="E47" s="2526"/>
      <c r="F47" s="1960" t="s">
        <v>2112</v>
      </c>
      <c r="G47" s="2526" t="s">
        <v>2174</v>
      </c>
      <c r="H47" s="2526"/>
      <c r="I47" s="2526"/>
      <c r="J47" s="2526"/>
      <c r="L47" s="2525">
        <v>0</v>
      </c>
      <c r="M47" s="2525"/>
      <c r="N47" s="2525">
        <v>0</v>
      </c>
      <c r="O47" s="2525"/>
      <c r="P47" s="2525">
        <v>291357.26</v>
      </c>
      <c r="Q47" s="2525"/>
      <c r="R47" s="2525">
        <v>291357.26</v>
      </c>
      <c r="S47" s="2525"/>
      <c r="T47" s="2525">
        <v>241880</v>
      </c>
      <c r="U47" s="2525"/>
      <c r="V47" s="1961">
        <v>120.45529188027122</v>
      </c>
      <c r="W47" s="1962" t="s">
        <v>2114</v>
      </c>
    </row>
    <row r="48" spans="1:23" ht="11.25" customHeight="1" x14ac:dyDescent="0.2">
      <c r="A48" s="2526" t="s">
        <v>2175</v>
      </c>
      <c r="B48" s="2526"/>
      <c r="C48" s="2526"/>
      <c r="D48" s="2526"/>
      <c r="E48" s="2526"/>
      <c r="F48" s="1960" t="s">
        <v>2112</v>
      </c>
      <c r="G48" s="2526" t="s">
        <v>2176</v>
      </c>
      <c r="H48" s="2526"/>
      <c r="I48" s="2526"/>
      <c r="J48" s="2526"/>
      <c r="L48" s="2525">
        <v>0</v>
      </c>
      <c r="M48" s="2525"/>
      <c r="N48" s="2525">
        <v>0</v>
      </c>
      <c r="O48" s="2525"/>
      <c r="P48" s="2525">
        <v>2830.9</v>
      </c>
      <c r="Q48" s="2525"/>
      <c r="R48" s="2525">
        <v>2830.9</v>
      </c>
      <c r="S48" s="2525"/>
      <c r="T48" s="2525">
        <v>0</v>
      </c>
      <c r="U48" s="2525"/>
      <c r="V48" s="1961">
        <v>0</v>
      </c>
      <c r="W48" s="1962" t="s">
        <v>2114</v>
      </c>
    </row>
    <row r="49" spans="1:23" ht="11.25" customHeight="1" x14ac:dyDescent="0.2">
      <c r="A49" s="2526" t="s">
        <v>2177</v>
      </c>
      <c r="B49" s="2526"/>
      <c r="C49" s="2526"/>
      <c r="D49" s="2526"/>
      <c r="E49" s="2526"/>
      <c r="F49" s="1960" t="s">
        <v>2112</v>
      </c>
      <c r="G49" s="2526" t="s">
        <v>2178</v>
      </c>
      <c r="H49" s="2526"/>
      <c r="I49" s="2526"/>
      <c r="J49" s="2526"/>
      <c r="L49" s="2525">
        <v>0</v>
      </c>
      <c r="M49" s="2525"/>
      <c r="N49" s="2525">
        <v>0</v>
      </c>
      <c r="O49" s="2525"/>
      <c r="P49" s="2525">
        <v>0</v>
      </c>
      <c r="Q49" s="2525"/>
      <c r="R49" s="2525">
        <v>0</v>
      </c>
      <c r="S49" s="2525"/>
      <c r="T49" s="2525">
        <v>0</v>
      </c>
      <c r="U49" s="2525"/>
      <c r="V49" s="1961">
        <v>0</v>
      </c>
      <c r="W49" s="1962" t="s">
        <v>2114</v>
      </c>
    </row>
    <row r="50" spans="1:23" ht="11.25" customHeight="1" x14ac:dyDescent="0.2">
      <c r="A50" s="2526" t="s">
        <v>2179</v>
      </c>
      <c r="B50" s="2526"/>
      <c r="C50" s="2526"/>
      <c r="D50" s="2526"/>
      <c r="E50" s="2526"/>
      <c r="F50" s="1960" t="s">
        <v>2112</v>
      </c>
      <c r="G50" s="2526" t="s">
        <v>2180</v>
      </c>
      <c r="H50" s="2526"/>
      <c r="I50" s="2526"/>
      <c r="J50" s="2526"/>
      <c r="L50" s="2525">
        <v>0</v>
      </c>
      <c r="M50" s="2525"/>
      <c r="N50" s="2525">
        <v>0</v>
      </c>
      <c r="O50" s="2525"/>
      <c r="P50" s="2525">
        <v>0</v>
      </c>
      <c r="Q50" s="2525"/>
      <c r="R50" s="2525">
        <v>0</v>
      </c>
      <c r="S50" s="2525"/>
      <c r="T50" s="2525">
        <v>0</v>
      </c>
      <c r="U50" s="2525"/>
      <c r="V50" s="1961">
        <v>0</v>
      </c>
      <c r="W50" s="1962" t="s">
        <v>2114</v>
      </c>
    </row>
    <row r="51" spans="1:23" ht="11.25" customHeight="1" x14ac:dyDescent="0.2">
      <c r="A51" s="2526" t="s">
        <v>2181</v>
      </c>
      <c r="B51" s="2526"/>
      <c r="C51" s="2526"/>
      <c r="D51" s="2526"/>
      <c r="E51" s="2526"/>
      <c r="F51" s="1960" t="s">
        <v>2112</v>
      </c>
      <c r="G51" s="2526" t="s">
        <v>2182</v>
      </c>
      <c r="H51" s="2526"/>
      <c r="I51" s="2526"/>
      <c r="J51" s="2526"/>
      <c r="L51" s="2525">
        <v>0</v>
      </c>
      <c r="M51" s="2525"/>
      <c r="N51" s="2525">
        <v>0</v>
      </c>
      <c r="O51" s="2525"/>
      <c r="P51" s="2525">
        <v>0</v>
      </c>
      <c r="Q51" s="2525"/>
      <c r="R51" s="2525">
        <v>0</v>
      </c>
      <c r="S51" s="2525"/>
      <c r="T51" s="2525">
        <v>0</v>
      </c>
      <c r="U51" s="2525"/>
      <c r="V51" s="1961">
        <v>0</v>
      </c>
      <c r="W51" s="1962" t="s">
        <v>2114</v>
      </c>
    </row>
    <row r="52" spans="1:23" ht="11.25" customHeight="1" x14ac:dyDescent="0.2">
      <c r="A52" s="2526" t="s">
        <v>2183</v>
      </c>
      <c r="B52" s="2526"/>
      <c r="C52" s="2526"/>
      <c r="D52" s="2526"/>
      <c r="E52" s="2526"/>
      <c r="F52" s="1960" t="s">
        <v>2112</v>
      </c>
      <c r="G52" s="2526" t="s">
        <v>2184</v>
      </c>
      <c r="H52" s="2526"/>
      <c r="I52" s="2526"/>
      <c r="J52" s="2526"/>
      <c r="L52" s="2525">
        <v>0</v>
      </c>
      <c r="M52" s="2525"/>
      <c r="N52" s="2525">
        <v>0</v>
      </c>
      <c r="O52" s="2525"/>
      <c r="P52" s="2525">
        <v>0</v>
      </c>
      <c r="Q52" s="2525"/>
      <c r="R52" s="2525">
        <v>0</v>
      </c>
      <c r="S52" s="2525"/>
      <c r="T52" s="2525">
        <v>0</v>
      </c>
      <c r="U52" s="2525"/>
      <c r="V52" s="1961">
        <v>0</v>
      </c>
      <c r="W52" s="1962" t="s">
        <v>2114</v>
      </c>
    </row>
    <row r="53" spans="1:23" ht="11.25" customHeight="1" x14ac:dyDescent="0.2">
      <c r="A53" s="2526" t="s">
        <v>2185</v>
      </c>
      <c r="B53" s="2526"/>
      <c r="C53" s="2526"/>
      <c r="D53" s="2526"/>
      <c r="E53" s="2526"/>
      <c r="F53" s="1960" t="s">
        <v>972</v>
      </c>
      <c r="G53" s="2526" t="s">
        <v>2186</v>
      </c>
      <c r="H53" s="2526"/>
      <c r="I53" s="2526"/>
      <c r="J53" s="2526"/>
      <c r="L53" s="2525">
        <v>0</v>
      </c>
      <c r="M53" s="2525"/>
      <c r="N53" s="2525">
        <v>0</v>
      </c>
      <c r="O53" s="2525"/>
      <c r="P53" s="2525">
        <v>0</v>
      </c>
      <c r="Q53" s="2525"/>
      <c r="R53" s="2525">
        <v>0</v>
      </c>
      <c r="S53" s="2525"/>
      <c r="T53" s="2525">
        <v>0</v>
      </c>
      <c r="U53" s="2525"/>
      <c r="V53" s="1961">
        <v>0</v>
      </c>
      <c r="W53" s="1962" t="s">
        <v>2114</v>
      </c>
    </row>
    <row r="54" spans="1:23" ht="11.25" customHeight="1" x14ac:dyDescent="0.2">
      <c r="A54" s="2526" t="s">
        <v>2187</v>
      </c>
      <c r="B54" s="2526"/>
      <c r="C54" s="2526"/>
      <c r="D54" s="2526"/>
      <c r="E54" s="2526"/>
      <c r="F54" s="1960" t="s">
        <v>2188</v>
      </c>
      <c r="G54" s="2526" t="s">
        <v>2189</v>
      </c>
      <c r="H54" s="2526"/>
      <c r="I54" s="2526"/>
      <c r="J54" s="2526"/>
      <c r="L54" s="2525">
        <v>0</v>
      </c>
      <c r="M54" s="2525"/>
      <c r="N54" s="2525">
        <v>0</v>
      </c>
      <c r="O54" s="2525"/>
      <c r="P54" s="2525">
        <v>0</v>
      </c>
      <c r="Q54" s="2525"/>
      <c r="R54" s="2525">
        <v>0</v>
      </c>
      <c r="S54" s="2525"/>
      <c r="T54" s="2525">
        <v>5000</v>
      </c>
      <c r="U54" s="2525"/>
      <c r="V54" s="1961">
        <v>0</v>
      </c>
      <c r="W54" s="1962" t="s">
        <v>2114</v>
      </c>
    </row>
    <row r="55" spans="1:23" ht="11.25" customHeight="1" x14ac:dyDescent="0.2">
      <c r="A55" s="2526" t="s">
        <v>2190</v>
      </c>
      <c r="B55" s="2526"/>
      <c r="C55" s="2526"/>
      <c r="D55" s="2526"/>
      <c r="E55" s="2526"/>
      <c r="F55" s="1960" t="s">
        <v>2188</v>
      </c>
      <c r="G55" s="2526" t="s">
        <v>2191</v>
      </c>
      <c r="H55" s="2526"/>
      <c r="I55" s="2526"/>
      <c r="J55" s="2526"/>
      <c r="L55" s="2525">
        <v>0</v>
      </c>
      <c r="M55" s="2525"/>
      <c r="N55" s="2525">
        <v>0</v>
      </c>
      <c r="O55" s="2525"/>
      <c r="P55" s="2525">
        <v>7661.9000000000005</v>
      </c>
      <c r="Q55" s="2525"/>
      <c r="R55" s="2525">
        <v>7661.9000000000005</v>
      </c>
      <c r="S55" s="2525"/>
      <c r="T55" s="2525">
        <v>0</v>
      </c>
      <c r="U55" s="2525"/>
      <c r="V55" s="1961">
        <v>0</v>
      </c>
      <c r="W55" s="1962" t="s">
        <v>2114</v>
      </c>
    </row>
    <row r="56" spans="1:23" ht="11.25" customHeight="1" x14ac:dyDescent="0.2">
      <c r="A56" s="2526" t="s">
        <v>2192</v>
      </c>
      <c r="B56" s="2526"/>
      <c r="C56" s="2526"/>
      <c r="D56" s="2526"/>
      <c r="E56" s="2526"/>
      <c r="F56" s="1960" t="s">
        <v>2193</v>
      </c>
      <c r="G56" s="2526" t="s">
        <v>2194</v>
      </c>
      <c r="H56" s="2526"/>
      <c r="I56" s="2526"/>
      <c r="J56" s="2526"/>
      <c r="L56" s="2525">
        <v>0</v>
      </c>
      <c r="M56" s="2525"/>
      <c r="N56" s="2525">
        <v>0</v>
      </c>
      <c r="O56" s="2525"/>
      <c r="P56" s="2525">
        <v>0</v>
      </c>
      <c r="Q56" s="2525"/>
      <c r="R56" s="2525">
        <v>0</v>
      </c>
      <c r="S56" s="2525"/>
      <c r="T56" s="2525">
        <v>8000</v>
      </c>
      <c r="U56" s="2525"/>
      <c r="V56" s="1961">
        <v>0</v>
      </c>
      <c r="W56" s="1962" t="s">
        <v>2114</v>
      </c>
    </row>
    <row r="57" spans="1:23" ht="11.25" customHeight="1" x14ac:dyDescent="0.2">
      <c r="A57" s="2526" t="s">
        <v>2195</v>
      </c>
      <c r="B57" s="2526"/>
      <c r="C57" s="2526"/>
      <c r="D57" s="2526"/>
      <c r="E57" s="2526"/>
      <c r="F57" s="1960" t="s">
        <v>2193</v>
      </c>
      <c r="G57" s="2526" t="s">
        <v>2196</v>
      </c>
      <c r="H57" s="2526"/>
      <c r="I57" s="2526"/>
      <c r="J57" s="2526"/>
      <c r="L57" s="2525">
        <v>0</v>
      </c>
      <c r="M57" s="2525"/>
      <c r="N57" s="2525">
        <v>0</v>
      </c>
      <c r="O57" s="2525"/>
      <c r="P57" s="2525">
        <v>8500</v>
      </c>
      <c r="Q57" s="2525"/>
      <c r="R57" s="2525">
        <v>8500</v>
      </c>
      <c r="S57" s="2525"/>
      <c r="T57" s="2525">
        <v>0</v>
      </c>
      <c r="U57" s="2525"/>
      <c r="V57" s="1961">
        <v>0</v>
      </c>
      <c r="W57" s="1962" t="s">
        <v>2114</v>
      </c>
    </row>
    <row r="58" spans="1:23" ht="11.25" customHeight="1" x14ac:dyDescent="0.2">
      <c r="A58" s="2526" t="s">
        <v>2197</v>
      </c>
      <c r="B58" s="2526"/>
      <c r="C58" s="2526"/>
      <c r="D58" s="2526"/>
      <c r="E58" s="2526"/>
      <c r="F58" s="1960" t="s">
        <v>2198</v>
      </c>
      <c r="G58" s="2526" t="s">
        <v>2199</v>
      </c>
      <c r="H58" s="2526"/>
      <c r="I58" s="2526"/>
      <c r="J58" s="2526"/>
      <c r="L58" s="2525">
        <v>0</v>
      </c>
      <c r="M58" s="2525"/>
      <c r="N58" s="2525">
        <v>0</v>
      </c>
      <c r="O58" s="2525"/>
      <c r="P58" s="2525">
        <v>0</v>
      </c>
      <c r="Q58" s="2525"/>
      <c r="R58" s="2525">
        <v>0</v>
      </c>
      <c r="S58" s="2525"/>
      <c r="T58" s="2525">
        <v>0</v>
      </c>
      <c r="U58" s="2525"/>
      <c r="V58" s="1961">
        <v>0</v>
      </c>
      <c r="W58" s="1962" t="s">
        <v>2114</v>
      </c>
    </row>
    <row r="59" spans="1:23" ht="11.25" customHeight="1" x14ac:dyDescent="0.2">
      <c r="A59" s="2526" t="s">
        <v>2200</v>
      </c>
      <c r="B59" s="2526"/>
      <c r="C59" s="2526"/>
      <c r="D59" s="2526"/>
      <c r="E59" s="2526"/>
      <c r="F59" s="1960" t="s">
        <v>2201</v>
      </c>
      <c r="G59" s="2526" t="s">
        <v>2202</v>
      </c>
      <c r="H59" s="2526"/>
      <c r="I59" s="2526"/>
      <c r="J59" s="2526"/>
      <c r="L59" s="2525">
        <v>0</v>
      </c>
      <c r="M59" s="2525"/>
      <c r="N59" s="2525">
        <v>0</v>
      </c>
      <c r="O59" s="2525"/>
      <c r="P59" s="2525">
        <v>0</v>
      </c>
      <c r="Q59" s="2525"/>
      <c r="R59" s="2525">
        <v>0</v>
      </c>
      <c r="S59" s="2525"/>
      <c r="T59" s="2525">
        <v>0</v>
      </c>
      <c r="U59" s="2525"/>
      <c r="V59" s="1961">
        <v>0</v>
      </c>
      <c r="W59" s="1962" t="s">
        <v>2114</v>
      </c>
    </row>
    <row r="60" spans="1:23" ht="11.25" customHeight="1" x14ac:dyDescent="0.2">
      <c r="A60" s="2526" t="s">
        <v>2203</v>
      </c>
      <c r="B60" s="2526"/>
      <c r="C60" s="2526"/>
      <c r="D60" s="2526"/>
      <c r="E60" s="2526"/>
      <c r="F60" s="1960" t="s">
        <v>2204</v>
      </c>
      <c r="G60" s="2526" t="s">
        <v>2205</v>
      </c>
      <c r="H60" s="2526"/>
      <c r="I60" s="2526"/>
      <c r="J60" s="2526"/>
      <c r="L60" s="2525">
        <v>0</v>
      </c>
      <c r="M60" s="2525"/>
      <c r="N60" s="2525">
        <v>0</v>
      </c>
      <c r="O60" s="2525"/>
      <c r="P60" s="2525">
        <v>0</v>
      </c>
      <c r="Q60" s="2525"/>
      <c r="R60" s="2525">
        <v>0</v>
      </c>
      <c r="S60" s="2525"/>
      <c r="T60" s="2525">
        <v>0</v>
      </c>
      <c r="U60" s="2525"/>
      <c r="V60" s="1961">
        <v>0</v>
      </c>
      <c r="W60" s="1962" t="s">
        <v>2114</v>
      </c>
    </row>
    <row r="61" spans="1:23" ht="11.25" customHeight="1" x14ac:dyDescent="0.2">
      <c r="A61" s="2526" t="s">
        <v>2206</v>
      </c>
      <c r="B61" s="2526"/>
      <c r="C61" s="2526"/>
      <c r="D61" s="2526"/>
      <c r="E61" s="2526"/>
      <c r="F61" s="1960" t="s">
        <v>2207</v>
      </c>
      <c r="G61" s="2526" t="s">
        <v>2208</v>
      </c>
      <c r="H61" s="2526"/>
      <c r="I61" s="2526"/>
      <c r="J61" s="2526"/>
      <c r="L61" s="2525">
        <v>0</v>
      </c>
      <c r="M61" s="2525"/>
      <c r="N61" s="2525">
        <v>0</v>
      </c>
      <c r="O61" s="2525"/>
      <c r="P61" s="2525">
        <v>212.25</v>
      </c>
      <c r="Q61" s="2525"/>
      <c r="R61" s="2525">
        <v>212.25</v>
      </c>
      <c r="S61" s="2525"/>
      <c r="T61" s="2525">
        <v>100</v>
      </c>
      <c r="U61" s="2525"/>
      <c r="V61" s="1961">
        <v>212.25</v>
      </c>
      <c r="W61" s="1962" t="s">
        <v>2114</v>
      </c>
    </row>
    <row r="62" spans="1:23" ht="11.25" customHeight="1" x14ac:dyDescent="0.2">
      <c r="A62" s="2526" t="s">
        <v>2209</v>
      </c>
      <c r="B62" s="2526"/>
      <c r="C62" s="2526"/>
      <c r="D62" s="2526"/>
      <c r="E62" s="2526"/>
      <c r="F62" s="1960" t="s">
        <v>2207</v>
      </c>
      <c r="G62" s="2526" t="s">
        <v>2210</v>
      </c>
      <c r="H62" s="2526"/>
      <c r="I62" s="2526"/>
      <c r="J62" s="2526"/>
      <c r="L62" s="2525">
        <v>0</v>
      </c>
      <c r="M62" s="2525"/>
      <c r="N62" s="2525">
        <v>0</v>
      </c>
      <c r="O62" s="2525"/>
      <c r="P62" s="2525">
        <v>398.06</v>
      </c>
      <c r="Q62" s="2525"/>
      <c r="R62" s="2525">
        <v>398.06</v>
      </c>
      <c r="S62" s="2525"/>
      <c r="T62" s="2525">
        <v>0</v>
      </c>
      <c r="U62" s="2525"/>
      <c r="V62" s="1961">
        <v>0</v>
      </c>
      <c r="W62" s="1962" t="s">
        <v>2114</v>
      </c>
    </row>
    <row r="63" spans="1:23" ht="11.25" customHeight="1" x14ac:dyDescent="0.2">
      <c r="A63" s="2526" t="s">
        <v>2211</v>
      </c>
      <c r="B63" s="2526"/>
      <c r="C63" s="2526"/>
      <c r="D63" s="2526"/>
      <c r="E63" s="2526"/>
      <c r="F63" s="1960" t="s">
        <v>2212</v>
      </c>
      <c r="G63" s="2526" t="s">
        <v>2213</v>
      </c>
      <c r="H63" s="2526"/>
      <c r="I63" s="2526"/>
      <c r="J63" s="2526"/>
      <c r="L63" s="2525">
        <v>0</v>
      </c>
      <c r="M63" s="2525"/>
      <c r="N63" s="2525">
        <v>0</v>
      </c>
      <c r="O63" s="2525"/>
      <c r="P63" s="2525">
        <v>39033</v>
      </c>
      <c r="Q63" s="2525"/>
      <c r="R63" s="2525">
        <v>39033</v>
      </c>
      <c r="S63" s="2525"/>
      <c r="T63" s="2525">
        <v>47720</v>
      </c>
      <c r="U63" s="2525"/>
      <c r="V63" s="1961">
        <v>81.795892707460183</v>
      </c>
      <c r="W63" s="1962" t="s">
        <v>2114</v>
      </c>
    </row>
    <row r="64" spans="1:23" ht="11.25" customHeight="1" x14ac:dyDescent="0.2">
      <c r="A64" s="2526" t="s">
        <v>2214</v>
      </c>
      <c r="B64" s="2526"/>
      <c r="C64" s="2526"/>
      <c r="D64" s="2526"/>
      <c r="E64" s="2526"/>
      <c r="F64" s="1960" t="s">
        <v>2212</v>
      </c>
      <c r="G64" s="2526" t="s">
        <v>2215</v>
      </c>
      <c r="H64" s="2526"/>
      <c r="I64" s="2526"/>
      <c r="J64" s="2526"/>
      <c r="L64" s="2525">
        <v>0</v>
      </c>
      <c r="M64" s="2525"/>
      <c r="N64" s="2525">
        <v>0</v>
      </c>
      <c r="O64" s="2525"/>
      <c r="P64" s="2525">
        <v>21698</v>
      </c>
      <c r="Q64" s="2525"/>
      <c r="R64" s="2525">
        <v>21698</v>
      </c>
      <c r="S64" s="2525"/>
      <c r="T64" s="2525">
        <v>0</v>
      </c>
      <c r="U64" s="2525"/>
      <c r="V64" s="1961">
        <v>0</v>
      </c>
      <c r="W64" s="1962" t="s">
        <v>2114</v>
      </c>
    </row>
    <row r="65" spans="1:23" ht="11.25" customHeight="1" x14ac:dyDescent="0.2">
      <c r="A65" s="2526" t="s">
        <v>2216</v>
      </c>
      <c r="B65" s="2526"/>
      <c r="C65" s="2526"/>
      <c r="D65" s="2526"/>
      <c r="E65" s="2526"/>
      <c r="F65" s="1960" t="s">
        <v>1017</v>
      </c>
      <c r="G65" s="2526" t="s">
        <v>2217</v>
      </c>
      <c r="H65" s="2526"/>
      <c r="I65" s="2526"/>
      <c r="J65" s="2526"/>
      <c r="L65" s="2525">
        <v>0</v>
      </c>
      <c r="M65" s="2525"/>
      <c r="N65" s="2525">
        <v>0</v>
      </c>
      <c r="O65" s="2525"/>
      <c r="P65" s="2525">
        <v>0</v>
      </c>
      <c r="Q65" s="2525"/>
      <c r="R65" s="2525">
        <v>0</v>
      </c>
      <c r="S65" s="2525"/>
      <c r="T65" s="2525">
        <v>0</v>
      </c>
      <c r="U65" s="2525"/>
      <c r="V65" s="1961">
        <v>0</v>
      </c>
      <c r="W65" s="1962" t="s">
        <v>2114</v>
      </c>
    </row>
    <row r="66" spans="1:23" ht="11.25" customHeight="1" x14ac:dyDescent="0.2">
      <c r="A66" s="2526" t="s">
        <v>2218</v>
      </c>
      <c r="B66" s="2526"/>
      <c r="C66" s="2526"/>
      <c r="D66" s="2526"/>
      <c r="E66" s="2526"/>
      <c r="F66" s="1960" t="s">
        <v>1017</v>
      </c>
      <c r="G66" s="2526" t="s">
        <v>2219</v>
      </c>
      <c r="H66" s="2526"/>
      <c r="I66" s="2526"/>
      <c r="J66" s="2526"/>
      <c r="L66" s="2525">
        <v>0</v>
      </c>
      <c r="M66" s="2525"/>
      <c r="N66" s="2525">
        <v>0</v>
      </c>
      <c r="O66" s="2525"/>
      <c r="P66" s="2525">
        <v>0</v>
      </c>
      <c r="Q66" s="2525"/>
      <c r="R66" s="2525">
        <v>0</v>
      </c>
      <c r="S66" s="2525"/>
      <c r="T66" s="2525">
        <v>0</v>
      </c>
      <c r="U66" s="2525"/>
      <c r="V66" s="1961">
        <v>0</v>
      </c>
      <c r="W66" s="1962" t="s">
        <v>2114</v>
      </c>
    </row>
    <row r="67" spans="1:23" ht="11.25" customHeight="1" x14ac:dyDescent="0.2">
      <c r="A67" s="2526" t="s">
        <v>2220</v>
      </c>
      <c r="B67" s="2526"/>
      <c r="C67" s="2526"/>
      <c r="D67" s="2526"/>
      <c r="E67" s="2526"/>
      <c r="F67" s="1960" t="s">
        <v>2221</v>
      </c>
      <c r="G67" s="2526" t="s">
        <v>2222</v>
      </c>
      <c r="H67" s="2526"/>
      <c r="I67" s="2526"/>
      <c r="J67" s="2526"/>
      <c r="L67" s="2525">
        <v>0</v>
      </c>
      <c r="M67" s="2525"/>
      <c r="N67" s="2525">
        <v>0</v>
      </c>
      <c r="O67" s="2525"/>
      <c r="P67" s="2525">
        <v>0</v>
      </c>
      <c r="Q67" s="2525"/>
      <c r="R67" s="2525">
        <v>0</v>
      </c>
      <c r="S67" s="2525"/>
      <c r="T67" s="2525">
        <v>0</v>
      </c>
      <c r="U67" s="2525"/>
      <c r="V67" s="1961">
        <v>0</v>
      </c>
      <c r="W67" s="1962" t="s">
        <v>2114</v>
      </c>
    </row>
    <row r="68" spans="1:23" ht="11.25" customHeight="1" x14ac:dyDescent="0.2">
      <c r="A68" s="2526" t="s">
        <v>2223</v>
      </c>
      <c r="B68" s="2526"/>
      <c r="C68" s="2526"/>
      <c r="D68" s="2526"/>
      <c r="E68" s="2526"/>
      <c r="F68" s="1960" t="s">
        <v>2224</v>
      </c>
      <c r="G68" s="2526" t="s">
        <v>2225</v>
      </c>
      <c r="H68" s="2526"/>
      <c r="I68" s="2526"/>
      <c r="J68" s="2526"/>
      <c r="L68" s="2525">
        <v>0</v>
      </c>
      <c r="M68" s="2525"/>
      <c r="N68" s="2525">
        <v>0</v>
      </c>
      <c r="O68" s="2525"/>
      <c r="P68" s="2525">
        <v>0</v>
      </c>
      <c r="Q68" s="2525"/>
      <c r="R68" s="2525">
        <v>0</v>
      </c>
      <c r="S68" s="2525"/>
      <c r="T68" s="2525">
        <v>0</v>
      </c>
      <c r="U68" s="2525"/>
      <c r="V68" s="1961">
        <v>0</v>
      </c>
      <c r="W68" s="1962" t="s">
        <v>2114</v>
      </c>
    </row>
    <row r="69" spans="1:23" ht="11.25" customHeight="1" x14ac:dyDescent="0.2">
      <c r="A69" s="2526" t="s">
        <v>2226</v>
      </c>
      <c r="B69" s="2526"/>
      <c r="C69" s="2526"/>
      <c r="D69" s="2526"/>
      <c r="E69" s="2526"/>
      <c r="F69" s="1960" t="s">
        <v>2112</v>
      </c>
      <c r="G69" s="2526" t="s">
        <v>2227</v>
      </c>
      <c r="H69" s="2526"/>
      <c r="I69" s="2526"/>
      <c r="J69" s="2526"/>
      <c r="L69" s="2525">
        <v>0</v>
      </c>
      <c r="M69" s="2525"/>
      <c r="N69" s="2525">
        <v>0</v>
      </c>
      <c r="O69" s="2525"/>
      <c r="P69" s="2525">
        <v>0</v>
      </c>
      <c r="Q69" s="2525"/>
      <c r="R69" s="2525">
        <v>0</v>
      </c>
      <c r="S69" s="2525"/>
      <c r="T69" s="2525">
        <v>0</v>
      </c>
      <c r="U69" s="2525"/>
      <c r="V69" s="1961">
        <v>0</v>
      </c>
      <c r="W69" s="1962" t="s">
        <v>2114</v>
      </c>
    </row>
    <row r="70" spans="1:23" ht="11.25" customHeight="1" x14ac:dyDescent="0.2">
      <c r="A70" s="2526" t="s">
        <v>2228</v>
      </c>
      <c r="B70" s="2526"/>
      <c r="C70" s="2526"/>
      <c r="D70" s="2526"/>
      <c r="E70" s="2526"/>
      <c r="F70" s="1960" t="s">
        <v>2112</v>
      </c>
      <c r="G70" s="2526" t="s">
        <v>2229</v>
      </c>
      <c r="H70" s="2526"/>
      <c r="I70" s="2526"/>
      <c r="J70" s="2526"/>
      <c r="L70" s="2525">
        <v>0</v>
      </c>
      <c r="M70" s="2525"/>
      <c r="N70" s="2525">
        <v>0</v>
      </c>
      <c r="O70" s="2525"/>
      <c r="P70" s="2525">
        <v>34416</v>
      </c>
      <c r="Q70" s="2525"/>
      <c r="R70" s="2525">
        <v>34416</v>
      </c>
      <c r="S70" s="2525"/>
      <c r="T70" s="2525">
        <v>12649</v>
      </c>
      <c r="U70" s="2525"/>
      <c r="V70" s="1961">
        <v>272.08474978259153</v>
      </c>
      <c r="W70" s="1962" t="s">
        <v>2114</v>
      </c>
    </row>
    <row r="71" spans="1:23" ht="11.25" customHeight="1" x14ac:dyDescent="0.2">
      <c r="A71" s="2526" t="s">
        <v>2230</v>
      </c>
      <c r="B71" s="2526"/>
      <c r="C71" s="2526"/>
      <c r="D71" s="2526"/>
      <c r="E71" s="2526"/>
      <c r="F71" s="1960" t="s">
        <v>2231</v>
      </c>
      <c r="G71" s="2526" t="s">
        <v>2232</v>
      </c>
      <c r="H71" s="2526"/>
      <c r="I71" s="2526"/>
      <c r="J71" s="2526"/>
      <c r="L71" s="2525">
        <v>0</v>
      </c>
      <c r="M71" s="2525"/>
      <c r="N71" s="2525">
        <v>0</v>
      </c>
      <c r="O71" s="2525"/>
      <c r="P71" s="2525">
        <v>0</v>
      </c>
      <c r="Q71" s="2525"/>
      <c r="R71" s="2525">
        <v>0</v>
      </c>
      <c r="S71" s="2525"/>
      <c r="T71" s="2525">
        <v>10000</v>
      </c>
      <c r="U71" s="2525"/>
      <c r="V71" s="1961">
        <v>0</v>
      </c>
      <c r="W71" s="1962" t="s">
        <v>2114</v>
      </c>
    </row>
    <row r="72" spans="1:23" ht="11.25" customHeight="1" x14ac:dyDescent="0.2">
      <c r="A72" s="2526" t="s">
        <v>2230</v>
      </c>
      <c r="B72" s="2526"/>
      <c r="C72" s="2526"/>
      <c r="D72" s="2526"/>
      <c r="E72" s="2526"/>
      <c r="F72" s="1960" t="s">
        <v>2233</v>
      </c>
      <c r="G72" s="2526" t="s">
        <v>2234</v>
      </c>
      <c r="H72" s="2526"/>
      <c r="I72" s="2526"/>
      <c r="J72" s="2526"/>
      <c r="L72" s="2525">
        <v>0</v>
      </c>
      <c r="M72" s="2525"/>
      <c r="N72" s="2525">
        <v>0</v>
      </c>
      <c r="O72" s="2525"/>
      <c r="P72" s="2525">
        <v>0</v>
      </c>
      <c r="Q72" s="2525"/>
      <c r="R72" s="2525">
        <v>0</v>
      </c>
      <c r="S72" s="2525"/>
      <c r="T72" s="2525">
        <v>0</v>
      </c>
      <c r="U72" s="2525"/>
      <c r="V72" s="1961">
        <v>0</v>
      </c>
      <c r="W72" s="1962" t="s">
        <v>2114</v>
      </c>
    </row>
    <row r="73" spans="1:23" ht="11.25" customHeight="1" x14ac:dyDescent="0.2">
      <c r="A73" s="2526" t="s">
        <v>2235</v>
      </c>
      <c r="B73" s="2526"/>
      <c r="C73" s="2526"/>
      <c r="D73" s="2526"/>
      <c r="E73" s="2526"/>
      <c r="F73" s="1960" t="s">
        <v>2236</v>
      </c>
      <c r="G73" s="2526" t="s">
        <v>2237</v>
      </c>
      <c r="H73" s="2526"/>
      <c r="I73" s="2526"/>
      <c r="J73" s="2526"/>
      <c r="L73" s="2525">
        <v>0</v>
      </c>
      <c r="M73" s="2525"/>
      <c r="N73" s="2525">
        <v>0</v>
      </c>
      <c r="O73" s="2525"/>
      <c r="P73" s="2525">
        <v>0</v>
      </c>
      <c r="Q73" s="2525"/>
      <c r="R73" s="2525">
        <v>0</v>
      </c>
      <c r="S73" s="2525"/>
      <c r="T73" s="2525">
        <v>0</v>
      </c>
      <c r="U73" s="2525"/>
      <c r="V73" s="1961">
        <v>0</v>
      </c>
      <c r="W73" s="1962" t="s">
        <v>2114</v>
      </c>
    </row>
    <row r="74" spans="1:23" ht="11.25" customHeight="1" x14ac:dyDescent="0.2">
      <c r="A74" s="2526" t="s">
        <v>2238</v>
      </c>
      <c r="B74" s="2526"/>
      <c r="C74" s="2526"/>
      <c r="D74" s="2526"/>
      <c r="E74" s="2526"/>
      <c r="F74" s="1960" t="s">
        <v>2239</v>
      </c>
      <c r="G74" s="2526" t="s">
        <v>2240</v>
      </c>
      <c r="H74" s="2526"/>
      <c r="I74" s="2526"/>
      <c r="J74" s="2526"/>
      <c r="L74" s="2525">
        <v>0</v>
      </c>
      <c r="M74" s="2525"/>
      <c r="N74" s="2525">
        <v>0</v>
      </c>
      <c r="O74" s="2525"/>
      <c r="P74" s="2525">
        <v>6737.1100000000006</v>
      </c>
      <c r="Q74" s="2525"/>
      <c r="R74" s="2525">
        <v>6737.1100000000006</v>
      </c>
      <c r="S74" s="2525"/>
      <c r="T74" s="2525">
        <v>0</v>
      </c>
      <c r="U74" s="2525"/>
      <c r="V74" s="1961">
        <v>0</v>
      </c>
      <c r="W74" s="1962" t="s">
        <v>2114</v>
      </c>
    </row>
    <row r="75" spans="1:23" ht="11.25" customHeight="1" x14ac:dyDescent="0.2">
      <c r="A75" s="2526" t="s">
        <v>2241</v>
      </c>
      <c r="B75" s="2526"/>
      <c r="C75" s="2526"/>
      <c r="D75" s="2526"/>
      <c r="E75" s="2526"/>
      <c r="F75" s="1960" t="s">
        <v>2239</v>
      </c>
      <c r="G75" s="2526" t="s">
        <v>2242</v>
      </c>
      <c r="H75" s="2526"/>
      <c r="I75" s="2526"/>
      <c r="J75" s="2526"/>
      <c r="L75" s="2525">
        <v>0</v>
      </c>
      <c r="M75" s="2525"/>
      <c r="N75" s="2525">
        <v>0</v>
      </c>
      <c r="O75" s="2525"/>
      <c r="P75" s="2525">
        <v>18120.650000000001</v>
      </c>
      <c r="Q75" s="2525"/>
      <c r="R75" s="2525">
        <v>18120.650000000001</v>
      </c>
      <c r="S75" s="2525"/>
      <c r="T75" s="2525">
        <v>23000</v>
      </c>
      <c r="U75" s="2525"/>
      <c r="V75" s="1961">
        <v>78.785434782608689</v>
      </c>
      <c r="W75" s="1962" t="s">
        <v>2114</v>
      </c>
    </row>
    <row r="76" spans="1:23" ht="11.25" customHeight="1" x14ac:dyDescent="0.2">
      <c r="A76" s="2526" t="s">
        <v>2243</v>
      </c>
      <c r="B76" s="2526"/>
      <c r="C76" s="2526"/>
      <c r="D76" s="2526"/>
      <c r="E76" s="2526"/>
      <c r="F76" s="1960" t="s">
        <v>2239</v>
      </c>
      <c r="G76" s="2526" t="s">
        <v>2244</v>
      </c>
      <c r="H76" s="2526"/>
      <c r="I76" s="2526"/>
      <c r="J76" s="2526"/>
      <c r="L76" s="2525">
        <v>0</v>
      </c>
      <c r="M76" s="2525"/>
      <c r="N76" s="2525">
        <v>0</v>
      </c>
      <c r="O76" s="2525"/>
      <c r="P76" s="2525">
        <v>5750.85</v>
      </c>
      <c r="Q76" s="2525"/>
      <c r="R76" s="2525">
        <v>5750.85</v>
      </c>
      <c r="S76" s="2525"/>
      <c r="T76" s="2525">
        <v>0</v>
      </c>
      <c r="U76" s="2525"/>
      <c r="V76" s="1961">
        <v>0</v>
      </c>
      <c r="W76" s="1962" t="s">
        <v>2114</v>
      </c>
    </row>
    <row r="77" spans="1:23" ht="11.25" customHeight="1" x14ac:dyDescent="0.2">
      <c r="A77" s="2526" t="s">
        <v>2245</v>
      </c>
      <c r="B77" s="2526"/>
      <c r="C77" s="2526"/>
      <c r="D77" s="2526"/>
      <c r="E77" s="2526"/>
      <c r="F77" s="1960" t="s">
        <v>2112</v>
      </c>
      <c r="G77" s="2526" t="s">
        <v>2246</v>
      </c>
      <c r="H77" s="2526"/>
      <c r="I77" s="2526"/>
      <c r="J77" s="2526"/>
      <c r="L77" s="2525">
        <v>0</v>
      </c>
      <c r="M77" s="2525"/>
      <c r="N77" s="2525">
        <v>0</v>
      </c>
      <c r="O77" s="2525"/>
      <c r="P77" s="2525">
        <v>5985.1</v>
      </c>
      <c r="Q77" s="2525"/>
      <c r="R77" s="2525">
        <v>5985.1</v>
      </c>
      <c r="S77" s="2525"/>
      <c r="T77" s="2525">
        <v>4000</v>
      </c>
      <c r="U77" s="2525"/>
      <c r="V77" s="1961">
        <v>149.6275</v>
      </c>
      <c r="W77" s="1962" t="s">
        <v>2114</v>
      </c>
    </row>
    <row r="78" spans="1:23" ht="11.25" customHeight="1" x14ac:dyDescent="0.2">
      <c r="A78" s="2526" t="s">
        <v>2247</v>
      </c>
      <c r="B78" s="2526"/>
      <c r="C78" s="2526"/>
      <c r="D78" s="2526"/>
      <c r="E78" s="2526"/>
      <c r="F78" s="1960" t="s">
        <v>2112</v>
      </c>
      <c r="G78" s="2526" t="s">
        <v>2248</v>
      </c>
      <c r="H78" s="2526"/>
      <c r="I78" s="2526"/>
      <c r="J78" s="2526"/>
      <c r="L78" s="2525">
        <v>0</v>
      </c>
      <c r="M78" s="2525"/>
      <c r="N78" s="2525">
        <v>0</v>
      </c>
      <c r="O78" s="2525"/>
      <c r="P78" s="2525">
        <v>1063.02</v>
      </c>
      <c r="Q78" s="2525"/>
      <c r="R78" s="2525">
        <v>1063.02</v>
      </c>
      <c r="S78" s="2525"/>
      <c r="T78" s="2525">
        <v>0</v>
      </c>
      <c r="U78" s="2525"/>
      <c r="V78" s="1961">
        <v>0</v>
      </c>
      <c r="W78" s="1962" t="s">
        <v>2114</v>
      </c>
    </row>
    <row r="79" spans="1:23" ht="11.25" customHeight="1" x14ac:dyDescent="0.2">
      <c r="A79" s="2526" t="s">
        <v>2249</v>
      </c>
      <c r="B79" s="2526"/>
      <c r="C79" s="2526"/>
      <c r="D79" s="2526"/>
      <c r="E79" s="2526"/>
      <c r="F79" s="1960" t="s">
        <v>2239</v>
      </c>
      <c r="G79" s="2526" t="s">
        <v>2250</v>
      </c>
      <c r="H79" s="2526"/>
      <c r="I79" s="2526"/>
      <c r="J79" s="2526"/>
      <c r="L79" s="2525">
        <v>0</v>
      </c>
      <c r="M79" s="2525"/>
      <c r="N79" s="2525">
        <v>0</v>
      </c>
      <c r="O79" s="2525"/>
      <c r="P79" s="2525">
        <v>0</v>
      </c>
      <c r="Q79" s="2525"/>
      <c r="R79" s="2525">
        <v>0</v>
      </c>
      <c r="S79" s="2525"/>
      <c r="T79" s="2525">
        <v>0</v>
      </c>
      <c r="U79" s="2525"/>
      <c r="V79" s="1961">
        <v>0</v>
      </c>
      <c r="W79" s="1962" t="s">
        <v>2114</v>
      </c>
    </row>
    <row r="80" spans="1:23" ht="11.25" customHeight="1" x14ac:dyDescent="0.2">
      <c r="A80" s="2526" t="s">
        <v>2251</v>
      </c>
      <c r="B80" s="2526"/>
      <c r="C80" s="2526"/>
      <c r="D80" s="2526"/>
      <c r="E80" s="2526"/>
      <c r="F80" s="1960" t="s">
        <v>2252</v>
      </c>
      <c r="G80" s="2526" t="s">
        <v>2253</v>
      </c>
      <c r="H80" s="2526"/>
      <c r="I80" s="2526"/>
      <c r="J80" s="2526"/>
      <c r="L80" s="2525">
        <v>0</v>
      </c>
      <c r="M80" s="2525"/>
      <c r="N80" s="2525">
        <v>0</v>
      </c>
      <c r="O80" s="2525"/>
      <c r="P80" s="2525">
        <v>0</v>
      </c>
      <c r="Q80" s="2525"/>
      <c r="R80" s="2525">
        <v>0</v>
      </c>
      <c r="S80" s="2525"/>
      <c r="T80" s="2525">
        <v>0</v>
      </c>
      <c r="U80" s="2525"/>
      <c r="V80" s="1961">
        <v>0</v>
      </c>
      <c r="W80" s="1962" t="s">
        <v>2114</v>
      </c>
    </row>
    <row r="81" spans="1:23" ht="11.25" customHeight="1" x14ac:dyDescent="0.2">
      <c r="A81" s="2526" t="s">
        <v>2254</v>
      </c>
      <c r="B81" s="2526"/>
      <c r="C81" s="2526"/>
      <c r="D81" s="2526"/>
      <c r="E81" s="2526"/>
      <c r="F81" s="1960" t="s">
        <v>2239</v>
      </c>
      <c r="G81" s="2526" t="s">
        <v>2250</v>
      </c>
      <c r="H81" s="2526"/>
      <c r="I81" s="2526"/>
      <c r="J81" s="2526"/>
      <c r="L81" s="2525">
        <v>0</v>
      </c>
      <c r="M81" s="2525"/>
      <c r="N81" s="2525">
        <v>0</v>
      </c>
      <c r="O81" s="2525"/>
      <c r="P81" s="2525">
        <v>0</v>
      </c>
      <c r="Q81" s="2525"/>
      <c r="R81" s="2525">
        <v>0</v>
      </c>
      <c r="S81" s="2525"/>
      <c r="T81" s="2525">
        <v>0</v>
      </c>
      <c r="U81" s="2525"/>
      <c r="V81" s="1961">
        <v>0</v>
      </c>
      <c r="W81" s="1962" t="s">
        <v>2114</v>
      </c>
    </row>
    <row r="82" spans="1:23" ht="11.25" customHeight="1" x14ac:dyDescent="0.2">
      <c r="A82" s="2526" t="s">
        <v>2255</v>
      </c>
      <c r="B82" s="2526"/>
      <c r="C82" s="2526"/>
      <c r="D82" s="2526"/>
      <c r="E82" s="2526"/>
      <c r="F82" s="1960" t="s">
        <v>2256</v>
      </c>
      <c r="G82" s="2526" t="s">
        <v>2257</v>
      </c>
      <c r="H82" s="2526"/>
      <c r="I82" s="2526"/>
      <c r="J82" s="2526"/>
      <c r="L82" s="2525">
        <v>0</v>
      </c>
      <c r="M82" s="2525"/>
      <c r="N82" s="2525">
        <v>0</v>
      </c>
      <c r="O82" s="2525"/>
      <c r="P82" s="2525">
        <v>48058</v>
      </c>
      <c r="Q82" s="2525"/>
      <c r="R82" s="2525">
        <v>48058</v>
      </c>
      <c r="S82" s="2525"/>
      <c r="T82" s="2525">
        <v>38197</v>
      </c>
      <c r="U82" s="2525"/>
      <c r="V82" s="1961">
        <v>125.81616357305548</v>
      </c>
      <c r="W82" s="1962" t="s">
        <v>2114</v>
      </c>
    </row>
    <row r="83" spans="1:23" ht="11.25" customHeight="1" x14ac:dyDescent="0.2">
      <c r="A83" s="2526" t="s">
        <v>2258</v>
      </c>
      <c r="B83" s="2526"/>
      <c r="C83" s="2526"/>
      <c r="D83" s="2526"/>
      <c r="E83" s="2526"/>
      <c r="F83" s="1960" t="s">
        <v>2256</v>
      </c>
      <c r="G83" s="2526" t="s">
        <v>2259</v>
      </c>
      <c r="H83" s="2526"/>
      <c r="I83" s="2526"/>
      <c r="J83" s="2526"/>
      <c r="L83" s="2525">
        <v>0</v>
      </c>
      <c r="M83" s="2525"/>
      <c r="N83" s="2525">
        <v>0</v>
      </c>
      <c r="O83" s="2525"/>
      <c r="P83" s="2525">
        <v>39106</v>
      </c>
      <c r="Q83" s="2525"/>
      <c r="R83" s="2525">
        <v>39106</v>
      </c>
      <c r="S83" s="2525"/>
      <c r="T83" s="2525">
        <v>0</v>
      </c>
      <c r="U83" s="2525"/>
      <c r="V83" s="1961">
        <v>0</v>
      </c>
      <c r="W83" s="1962" t="s">
        <v>2114</v>
      </c>
    </row>
    <row r="84" spans="1:23" ht="11.25" customHeight="1" x14ac:dyDescent="0.2">
      <c r="A84" s="2526" t="s">
        <v>2260</v>
      </c>
      <c r="B84" s="2526"/>
      <c r="C84" s="2526"/>
      <c r="D84" s="2526"/>
      <c r="E84" s="2526"/>
      <c r="F84" s="1960" t="s">
        <v>2261</v>
      </c>
      <c r="G84" s="2526" t="s">
        <v>2262</v>
      </c>
      <c r="H84" s="2526"/>
      <c r="I84" s="2526"/>
      <c r="J84" s="2526"/>
      <c r="L84" s="2525">
        <v>0</v>
      </c>
      <c r="M84" s="2525"/>
      <c r="N84" s="2525">
        <v>0</v>
      </c>
      <c r="O84" s="2525"/>
      <c r="P84" s="2525">
        <v>0</v>
      </c>
      <c r="Q84" s="2525"/>
      <c r="R84" s="2525">
        <v>0</v>
      </c>
      <c r="S84" s="2525"/>
      <c r="T84" s="2525">
        <v>0</v>
      </c>
      <c r="U84" s="2525"/>
      <c r="V84" s="1961">
        <v>0</v>
      </c>
      <c r="W84" s="1962" t="s">
        <v>2114</v>
      </c>
    </row>
    <row r="85" spans="1:23" ht="11.25" customHeight="1" x14ac:dyDescent="0.2">
      <c r="A85" s="2526" t="s">
        <v>2263</v>
      </c>
      <c r="B85" s="2526"/>
      <c r="C85" s="2526"/>
      <c r="D85" s="2526"/>
      <c r="E85" s="2526"/>
      <c r="F85" s="1960" t="s">
        <v>2112</v>
      </c>
      <c r="G85" s="2526" t="s">
        <v>2156</v>
      </c>
      <c r="H85" s="2526"/>
      <c r="I85" s="2526"/>
      <c r="J85" s="2526"/>
      <c r="L85" s="2525">
        <v>0</v>
      </c>
      <c r="M85" s="2525"/>
      <c r="N85" s="2525">
        <v>0</v>
      </c>
      <c r="O85" s="2525"/>
      <c r="P85" s="2525">
        <v>0</v>
      </c>
      <c r="Q85" s="2525"/>
      <c r="R85" s="2525">
        <v>0</v>
      </c>
      <c r="S85" s="2525"/>
      <c r="T85" s="2525">
        <v>0</v>
      </c>
      <c r="U85" s="2525"/>
      <c r="V85" s="1961">
        <v>0</v>
      </c>
      <c r="W85" s="1962" t="s">
        <v>2114</v>
      </c>
    </row>
    <row r="86" spans="1:23" ht="11.25" customHeight="1" x14ac:dyDescent="0.2">
      <c r="A86" s="2526" t="s">
        <v>2264</v>
      </c>
      <c r="B86" s="2526"/>
      <c r="C86" s="2526"/>
      <c r="D86" s="2526"/>
      <c r="E86" s="2526"/>
      <c r="F86" s="1960" t="s">
        <v>2112</v>
      </c>
      <c r="G86" s="2526" t="s">
        <v>2265</v>
      </c>
      <c r="H86" s="2526"/>
      <c r="I86" s="2526"/>
      <c r="J86" s="2526"/>
      <c r="L86" s="2525">
        <v>0</v>
      </c>
      <c r="M86" s="2525"/>
      <c r="N86" s="2525">
        <v>0</v>
      </c>
      <c r="O86" s="2525"/>
      <c r="P86" s="2525">
        <v>0</v>
      </c>
      <c r="Q86" s="2525"/>
      <c r="R86" s="2525">
        <v>0</v>
      </c>
      <c r="S86" s="2525"/>
      <c r="T86" s="2525">
        <v>0</v>
      </c>
      <c r="U86" s="2525"/>
      <c r="V86" s="1961">
        <v>0</v>
      </c>
      <c r="W86" s="1962" t="s">
        <v>2114</v>
      </c>
    </row>
    <row r="87" spans="1:23" ht="11.25" customHeight="1" x14ac:dyDescent="0.2">
      <c r="A87" s="2526" t="s">
        <v>2266</v>
      </c>
      <c r="B87" s="2526"/>
      <c r="C87" s="2526"/>
      <c r="D87" s="2526"/>
      <c r="E87" s="2526"/>
      <c r="F87" s="1960" t="s">
        <v>2233</v>
      </c>
      <c r="G87" s="2526" t="s">
        <v>2267</v>
      </c>
      <c r="H87" s="2526"/>
      <c r="I87" s="2526"/>
      <c r="J87" s="2526"/>
      <c r="L87" s="2525">
        <v>0</v>
      </c>
      <c r="M87" s="2525"/>
      <c r="N87" s="2525">
        <v>0</v>
      </c>
      <c r="O87" s="2525"/>
      <c r="P87" s="2525">
        <v>0</v>
      </c>
      <c r="Q87" s="2525"/>
      <c r="R87" s="2525">
        <v>0</v>
      </c>
      <c r="S87" s="2525"/>
      <c r="T87" s="2525">
        <v>0</v>
      </c>
      <c r="U87" s="2525"/>
      <c r="V87" s="1961">
        <v>0</v>
      </c>
      <c r="W87" s="1962" t="s">
        <v>2114</v>
      </c>
    </row>
    <row r="88" spans="1:23" ht="11.25" customHeight="1" x14ac:dyDescent="0.2">
      <c r="A88" s="2526" t="s">
        <v>2268</v>
      </c>
      <c r="B88" s="2526"/>
      <c r="C88" s="2526"/>
      <c r="D88" s="2526"/>
      <c r="E88" s="2526"/>
      <c r="F88" s="1960" t="s">
        <v>2233</v>
      </c>
      <c r="G88" s="2526" t="s">
        <v>2269</v>
      </c>
      <c r="H88" s="2526"/>
      <c r="I88" s="2526"/>
      <c r="J88" s="2526"/>
      <c r="L88" s="2525">
        <v>0</v>
      </c>
      <c r="M88" s="2525"/>
      <c r="N88" s="2525">
        <v>0</v>
      </c>
      <c r="O88" s="2525"/>
      <c r="P88" s="2525">
        <v>0</v>
      </c>
      <c r="Q88" s="2525"/>
      <c r="R88" s="2525">
        <v>0</v>
      </c>
      <c r="S88" s="2525"/>
      <c r="T88" s="2525">
        <v>0</v>
      </c>
      <c r="U88" s="2525"/>
      <c r="V88" s="1961">
        <v>0</v>
      </c>
      <c r="W88" s="1962" t="s">
        <v>2114</v>
      </c>
    </row>
    <row r="89" spans="1:23" ht="11.25" customHeight="1" x14ac:dyDescent="0.2">
      <c r="A89" s="2526" t="s">
        <v>2270</v>
      </c>
      <c r="B89" s="2526"/>
      <c r="C89" s="2526"/>
      <c r="D89" s="2526"/>
      <c r="E89" s="2526"/>
      <c r="F89" s="1960" t="s">
        <v>2233</v>
      </c>
      <c r="G89" s="2526" t="s">
        <v>2271</v>
      </c>
      <c r="H89" s="2526"/>
      <c r="I89" s="2526"/>
      <c r="J89" s="2526"/>
      <c r="L89" s="2525">
        <v>0</v>
      </c>
      <c r="M89" s="2525"/>
      <c r="N89" s="2525">
        <v>0</v>
      </c>
      <c r="O89" s="2525"/>
      <c r="P89" s="2525">
        <v>0</v>
      </c>
      <c r="Q89" s="2525"/>
      <c r="R89" s="2525">
        <v>0</v>
      </c>
      <c r="S89" s="2525"/>
      <c r="T89" s="2525">
        <v>0</v>
      </c>
      <c r="U89" s="2525"/>
      <c r="V89" s="1961">
        <v>0</v>
      </c>
      <c r="W89" s="1962" t="s">
        <v>2114</v>
      </c>
    </row>
    <row r="90" spans="1:23" ht="11.25" customHeight="1" x14ac:dyDescent="0.2">
      <c r="A90" s="2526" t="s">
        <v>2272</v>
      </c>
      <c r="B90" s="2526"/>
      <c r="C90" s="2526"/>
      <c r="D90" s="2526"/>
      <c r="E90" s="2526"/>
      <c r="F90" s="1960" t="s">
        <v>2233</v>
      </c>
      <c r="G90" s="2526" t="s">
        <v>2273</v>
      </c>
      <c r="H90" s="2526"/>
      <c r="I90" s="2526"/>
      <c r="J90" s="2526"/>
      <c r="L90" s="2525">
        <v>0</v>
      </c>
      <c r="M90" s="2525"/>
      <c r="N90" s="2525">
        <v>0</v>
      </c>
      <c r="O90" s="2525"/>
      <c r="P90" s="2525">
        <v>0</v>
      </c>
      <c r="Q90" s="2525"/>
      <c r="R90" s="2525">
        <v>0</v>
      </c>
      <c r="S90" s="2525"/>
      <c r="T90" s="2525">
        <v>0</v>
      </c>
      <c r="U90" s="2525"/>
      <c r="V90" s="1961">
        <v>0</v>
      </c>
      <c r="W90" s="1962" t="s">
        <v>2114</v>
      </c>
    </row>
    <row r="91" spans="1:23" ht="11.25" customHeight="1" x14ac:dyDescent="0.2">
      <c r="A91" s="2526" t="s">
        <v>2274</v>
      </c>
      <c r="B91" s="2526"/>
      <c r="C91" s="2526"/>
      <c r="D91" s="2526"/>
      <c r="E91" s="2526"/>
      <c r="F91" s="1960" t="s">
        <v>2233</v>
      </c>
      <c r="G91" s="2526" t="s">
        <v>2275</v>
      </c>
      <c r="H91" s="2526"/>
      <c r="I91" s="2526"/>
      <c r="J91" s="2526"/>
      <c r="L91" s="2525">
        <v>0</v>
      </c>
      <c r="M91" s="2525"/>
      <c r="N91" s="2525">
        <v>0</v>
      </c>
      <c r="O91" s="2525"/>
      <c r="P91" s="2525">
        <v>0</v>
      </c>
      <c r="Q91" s="2525"/>
      <c r="R91" s="2525">
        <v>0</v>
      </c>
      <c r="S91" s="2525"/>
      <c r="T91" s="2525">
        <v>0</v>
      </c>
      <c r="U91" s="2525"/>
      <c r="V91" s="1961">
        <v>0</v>
      </c>
      <c r="W91" s="1962" t="s">
        <v>2114</v>
      </c>
    </row>
    <row r="92" spans="1:23" ht="11.25" customHeight="1" x14ac:dyDescent="0.2">
      <c r="A92" s="2526" t="s">
        <v>2276</v>
      </c>
      <c r="B92" s="2526"/>
      <c r="C92" s="2526"/>
      <c r="D92" s="2526"/>
      <c r="E92" s="2526"/>
      <c r="F92" s="1960" t="s">
        <v>2112</v>
      </c>
      <c r="G92" s="2526" t="s">
        <v>2277</v>
      </c>
      <c r="H92" s="2526"/>
      <c r="I92" s="2526"/>
      <c r="J92" s="2526"/>
      <c r="L92" s="2525">
        <v>0</v>
      </c>
      <c r="M92" s="2525"/>
      <c r="N92" s="2525">
        <v>0</v>
      </c>
      <c r="O92" s="2525"/>
      <c r="P92" s="2525">
        <v>0</v>
      </c>
      <c r="Q92" s="2525"/>
      <c r="R92" s="2525">
        <v>0</v>
      </c>
      <c r="S92" s="2525"/>
      <c r="T92" s="2525">
        <v>0</v>
      </c>
      <c r="U92" s="2525"/>
      <c r="V92" s="1961">
        <v>0</v>
      </c>
      <c r="W92" s="1962" t="s">
        <v>2114</v>
      </c>
    </row>
    <row r="93" spans="1:23" ht="11.25" customHeight="1" x14ac:dyDescent="0.2">
      <c r="A93" s="2526" t="s">
        <v>2278</v>
      </c>
      <c r="B93" s="2526"/>
      <c r="C93" s="2526"/>
      <c r="D93" s="2526"/>
      <c r="E93" s="2526"/>
      <c r="F93" s="1960" t="s">
        <v>2236</v>
      </c>
      <c r="G93" s="2526" t="s">
        <v>2279</v>
      </c>
      <c r="H93" s="2526"/>
      <c r="I93" s="2526"/>
      <c r="J93" s="2526"/>
      <c r="L93" s="2525">
        <v>0</v>
      </c>
      <c r="M93" s="2525"/>
      <c r="N93" s="2525">
        <v>0</v>
      </c>
      <c r="O93" s="2525"/>
      <c r="P93" s="2525">
        <v>4783</v>
      </c>
      <c r="Q93" s="2525"/>
      <c r="R93" s="2525">
        <v>4783</v>
      </c>
      <c r="S93" s="2525"/>
      <c r="T93" s="2525">
        <v>9520</v>
      </c>
      <c r="U93" s="2525"/>
      <c r="V93" s="1961">
        <v>50.241596638655459</v>
      </c>
      <c r="W93" s="1962" t="s">
        <v>2114</v>
      </c>
    </row>
    <row r="94" spans="1:23" ht="11.25" customHeight="1" x14ac:dyDescent="0.2">
      <c r="A94" s="2526" t="s">
        <v>2280</v>
      </c>
      <c r="B94" s="2526"/>
      <c r="C94" s="2526"/>
      <c r="D94" s="2526"/>
      <c r="E94" s="2526"/>
      <c r="F94" s="1960" t="s">
        <v>2112</v>
      </c>
      <c r="G94" s="2526" t="s">
        <v>2281</v>
      </c>
      <c r="H94" s="2526"/>
      <c r="I94" s="2526"/>
      <c r="J94" s="2526"/>
      <c r="L94" s="2525">
        <v>0</v>
      </c>
      <c r="M94" s="2525"/>
      <c r="N94" s="2525">
        <v>0</v>
      </c>
      <c r="O94" s="2525"/>
      <c r="P94" s="2525">
        <v>0</v>
      </c>
      <c r="Q94" s="2525"/>
      <c r="R94" s="2525">
        <v>0</v>
      </c>
      <c r="S94" s="2525"/>
      <c r="T94" s="2525">
        <v>0</v>
      </c>
      <c r="U94" s="2525"/>
      <c r="V94" s="1961">
        <v>0</v>
      </c>
      <c r="W94" s="1962" t="s">
        <v>2114</v>
      </c>
    </row>
    <row r="95" spans="1:23" ht="11.25" customHeight="1" x14ac:dyDescent="0.2">
      <c r="A95" s="2526" t="s">
        <v>2282</v>
      </c>
      <c r="B95" s="2526"/>
      <c r="C95" s="2526"/>
      <c r="D95" s="2526"/>
      <c r="E95" s="2526"/>
      <c r="F95" s="1960" t="s">
        <v>2112</v>
      </c>
      <c r="G95" s="2526" t="s">
        <v>2283</v>
      </c>
      <c r="H95" s="2526"/>
      <c r="I95" s="2526"/>
      <c r="J95" s="2526"/>
      <c r="L95" s="2525">
        <v>0</v>
      </c>
      <c r="M95" s="2525"/>
      <c r="N95" s="2525">
        <v>0</v>
      </c>
      <c r="O95" s="2525"/>
      <c r="P95" s="2525">
        <v>3503</v>
      </c>
      <c r="Q95" s="2525"/>
      <c r="R95" s="2525">
        <v>3503</v>
      </c>
      <c r="S95" s="2525"/>
      <c r="T95" s="2525">
        <v>0</v>
      </c>
      <c r="U95" s="2525"/>
      <c r="V95" s="1961">
        <v>0</v>
      </c>
      <c r="W95" s="1962" t="s">
        <v>2114</v>
      </c>
    </row>
    <row r="96" spans="1:23" ht="11.25" customHeight="1" x14ac:dyDescent="0.2">
      <c r="A96" s="2526" t="s">
        <v>2284</v>
      </c>
      <c r="B96" s="2526"/>
      <c r="C96" s="2526"/>
      <c r="D96" s="2526"/>
      <c r="E96" s="2526"/>
      <c r="F96" s="1960" t="s">
        <v>2236</v>
      </c>
      <c r="G96" s="2526" t="s">
        <v>2285</v>
      </c>
      <c r="H96" s="2526"/>
      <c r="I96" s="2526"/>
      <c r="J96" s="2526"/>
      <c r="L96" s="2525">
        <v>0</v>
      </c>
      <c r="M96" s="2525"/>
      <c r="N96" s="2525">
        <v>0</v>
      </c>
      <c r="O96" s="2525"/>
      <c r="P96" s="2525">
        <v>0</v>
      </c>
      <c r="Q96" s="2525"/>
      <c r="R96" s="2525">
        <v>0</v>
      </c>
      <c r="S96" s="2525"/>
      <c r="T96" s="2525">
        <v>0</v>
      </c>
      <c r="U96" s="2525"/>
      <c r="V96" s="1961">
        <v>0</v>
      </c>
      <c r="W96" s="1962" t="s">
        <v>2114</v>
      </c>
    </row>
    <row r="97" spans="1:23" ht="11.25" customHeight="1" x14ac:dyDescent="0.2">
      <c r="A97" s="2526" t="s">
        <v>2286</v>
      </c>
      <c r="B97" s="2526"/>
      <c r="C97" s="2526"/>
      <c r="D97" s="2526"/>
      <c r="E97" s="2526"/>
      <c r="F97" s="1960" t="s">
        <v>2287</v>
      </c>
      <c r="G97" s="2526" t="s">
        <v>2288</v>
      </c>
      <c r="H97" s="2526"/>
      <c r="I97" s="2526"/>
      <c r="J97" s="2526"/>
      <c r="L97" s="2525">
        <v>0</v>
      </c>
      <c r="M97" s="2525"/>
      <c r="N97" s="2525">
        <v>0</v>
      </c>
      <c r="O97" s="2525"/>
      <c r="P97" s="2525">
        <v>0</v>
      </c>
      <c r="Q97" s="2525"/>
      <c r="R97" s="2525">
        <v>0</v>
      </c>
      <c r="S97" s="2525"/>
      <c r="T97" s="2525">
        <v>0</v>
      </c>
      <c r="U97" s="2525"/>
      <c r="V97" s="1961">
        <v>0</v>
      </c>
      <c r="W97" s="1962" t="s">
        <v>2114</v>
      </c>
    </row>
    <row r="98" spans="1:23" ht="11.25" customHeight="1" x14ac:dyDescent="0.2">
      <c r="A98" s="2526" t="s">
        <v>2289</v>
      </c>
      <c r="B98" s="2526"/>
      <c r="C98" s="2526"/>
      <c r="D98" s="2526"/>
      <c r="E98" s="2526"/>
      <c r="F98" s="1960" t="s">
        <v>2112</v>
      </c>
      <c r="G98" s="2526" t="s">
        <v>2277</v>
      </c>
      <c r="H98" s="2526"/>
      <c r="I98" s="2526"/>
      <c r="J98" s="2526"/>
      <c r="L98" s="2525">
        <v>0</v>
      </c>
      <c r="M98" s="2525"/>
      <c r="N98" s="2525">
        <v>0</v>
      </c>
      <c r="O98" s="2525"/>
      <c r="P98" s="2525">
        <v>0</v>
      </c>
      <c r="Q98" s="2525"/>
      <c r="R98" s="2525">
        <v>0</v>
      </c>
      <c r="S98" s="2525"/>
      <c r="T98" s="2525">
        <v>0</v>
      </c>
      <c r="U98" s="2525"/>
      <c r="V98" s="1961">
        <v>0</v>
      </c>
      <c r="W98" s="1962" t="s">
        <v>2114</v>
      </c>
    </row>
    <row r="99" spans="1:23" ht="11.25" customHeight="1" x14ac:dyDescent="0.2">
      <c r="A99" s="2526" t="s">
        <v>2290</v>
      </c>
      <c r="B99" s="2526"/>
      <c r="C99" s="2526"/>
      <c r="D99" s="2526"/>
      <c r="E99" s="2526"/>
      <c r="F99" s="1960" t="s">
        <v>2112</v>
      </c>
      <c r="G99" s="2526" t="s">
        <v>2229</v>
      </c>
      <c r="H99" s="2526"/>
      <c r="I99" s="2526"/>
      <c r="J99" s="2526"/>
      <c r="L99" s="2525">
        <v>0</v>
      </c>
      <c r="M99" s="2525"/>
      <c r="N99" s="2525">
        <v>0</v>
      </c>
      <c r="O99" s="2525"/>
      <c r="P99" s="2525">
        <v>0</v>
      </c>
      <c r="Q99" s="2525"/>
      <c r="R99" s="2525">
        <v>0</v>
      </c>
      <c r="S99" s="2525"/>
      <c r="T99" s="2525">
        <v>0</v>
      </c>
      <c r="U99" s="2525"/>
      <c r="V99" s="1961">
        <v>0</v>
      </c>
      <c r="W99" s="1962" t="s">
        <v>2114</v>
      </c>
    </row>
    <row r="100" spans="1:23" ht="11.25" customHeight="1" x14ac:dyDescent="0.2">
      <c r="A100" s="2526" t="s">
        <v>2291</v>
      </c>
      <c r="B100" s="2526"/>
      <c r="C100" s="2526"/>
      <c r="D100" s="2526"/>
      <c r="E100" s="2526"/>
      <c r="F100" s="1960" t="s">
        <v>2112</v>
      </c>
      <c r="G100" s="2526" t="s">
        <v>2292</v>
      </c>
      <c r="H100" s="2526"/>
      <c r="I100" s="2526"/>
      <c r="J100" s="2526"/>
      <c r="L100" s="2525">
        <v>0</v>
      </c>
      <c r="M100" s="2525"/>
      <c r="N100" s="2525">
        <v>0</v>
      </c>
      <c r="O100" s="2525"/>
      <c r="P100" s="2525">
        <v>0</v>
      </c>
      <c r="Q100" s="2525"/>
      <c r="R100" s="2525">
        <v>0</v>
      </c>
      <c r="S100" s="2525"/>
      <c r="T100" s="2525">
        <v>0</v>
      </c>
      <c r="U100" s="2525"/>
      <c r="V100" s="1961">
        <v>0</v>
      </c>
      <c r="W100" s="1962" t="s">
        <v>2114</v>
      </c>
    </row>
    <row r="101" spans="1:23" ht="11.25" customHeight="1" x14ac:dyDescent="0.2">
      <c r="A101" s="2526" t="s">
        <v>2293</v>
      </c>
      <c r="B101" s="2526"/>
      <c r="C101" s="2526"/>
      <c r="D101" s="2526"/>
      <c r="E101" s="2526"/>
      <c r="F101" s="1960" t="s">
        <v>2112</v>
      </c>
      <c r="G101" s="2526" t="s">
        <v>2294</v>
      </c>
      <c r="H101" s="2526"/>
      <c r="I101" s="2526"/>
      <c r="J101" s="2526"/>
      <c r="L101" s="2525">
        <v>0</v>
      </c>
      <c r="M101" s="2525"/>
      <c r="N101" s="2525">
        <v>0</v>
      </c>
      <c r="O101" s="2525"/>
      <c r="P101" s="2525">
        <v>0</v>
      </c>
      <c r="Q101" s="2525"/>
      <c r="R101" s="2525">
        <v>0</v>
      </c>
      <c r="S101" s="2525"/>
      <c r="T101" s="2525">
        <v>0</v>
      </c>
      <c r="U101" s="2525"/>
      <c r="V101" s="1961">
        <v>0</v>
      </c>
      <c r="W101" s="1962" t="s">
        <v>2114</v>
      </c>
    </row>
    <row r="102" spans="1:23" ht="2.25" customHeight="1" x14ac:dyDescent="0.2"/>
    <row r="103" spans="1:23" ht="13.5" customHeight="1" x14ac:dyDescent="0.2">
      <c r="A103" s="2523" t="s">
        <v>2295</v>
      </c>
      <c r="B103" s="2523"/>
      <c r="C103" s="2523"/>
      <c r="D103" s="2523"/>
      <c r="E103" s="2523"/>
      <c r="F103" s="2523"/>
      <c r="G103" s="2523"/>
      <c r="H103" s="2523"/>
      <c r="I103" s="2523"/>
      <c r="L103" s="2524">
        <v>0</v>
      </c>
      <c r="M103" s="2524"/>
      <c r="N103" s="2524">
        <v>0</v>
      </c>
      <c r="O103" s="2524"/>
      <c r="P103" s="2524">
        <v>1625558.99</v>
      </c>
      <c r="Q103" s="2524"/>
      <c r="R103" s="2524">
        <v>1625558.99</v>
      </c>
      <c r="S103" s="2524"/>
      <c r="T103" s="2524">
        <v>1477586.03</v>
      </c>
      <c r="U103" s="2524"/>
      <c r="V103" s="1963">
        <v>110.01450724327707</v>
      </c>
    </row>
    <row r="104" spans="1:23" ht="15.75" customHeight="1" x14ac:dyDescent="0.2">
      <c r="A104" s="1959"/>
      <c r="B104" s="2527" t="s">
        <v>2296</v>
      </c>
      <c r="C104" s="2527"/>
      <c r="D104" s="2527"/>
      <c r="E104" s="2527"/>
      <c r="F104" s="2527"/>
      <c r="G104" s="2527"/>
      <c r="H104" s="2527"/>
      <c r="I104" s="2527"/>
      <c r="J104" s="2527"/>
      <c r="K104" s="2527"/>
      <c r="L104" s="2527"/>
      <c r="M104" s="2527"/>
      <c r="N104" s="2527"/>
      <c r="O104" s="2527"/>
      <c r="P104" s="2527"/>
      <c r="Q104" s="2527"/>
      <c r="R104" s="2527"/>
      <c r="S104" s="2527"/>
      <c r="T104" s="2527"/>
      <c r="U104" s="2527"/>
      <c r="V104" s="2527"/>
    </row>
    <row r="105" spans="1:23" ht="11.25" customHeight="1" x14ac:dyDescent="0.2">
      <c r="A105" s="2526" t="s">
        <v>2297</v>
      </c>
      <c r="B105" s="2526"/>
      <c r="C105" s="2526"/>
      <c r="D105" s="2526"/>
      <c r="E105" s="2526"/>
      <c r="F105" s="1960" t="s">
        <v>2112</v>
      </c>
      <c r="G105" s="2526" t="s">
        <v>2298</v>
      </c>
      <c r="H105" s="2526"/>
      <c r="I105" s="2526"/>
      <c r="J105" s="2526"/>
      <c r="L105" s="2525">
        <v>0</v>
      </c>
      <c r="M105" s="2525"/>
      <c r="N105" s="2525">
        <v>0</v>
      </c>
      <c r="O105" s="2525"/>
      <c r="P105" s="2525">
        <v>0</v>
      </c>
      <c r="Q105" s="2525"/>
      <c r="R105" s="2525">
        <v>0</v>
      </c>
      <c r="S105" s="2525"/>
      <c r="T105" s="2525">
        <v>0</v>
      </c>
      <c r="U105" s="2525"/>
      <c r="V105" s="1961">
        <v>0</v>
      </c>
      <c r="W105" s="1962" t="s">
        <v>2114</v>
      </c>
    </row>
    <row r="106" spans="1:23" ht="11.25" customHeight="1" x14ac:dyDescent="0.2">
      <c r="A106" s="2526" t="s">
        <v>2299</v>
      </c>
      <c r="B106" s="2526"/>
      <c r="C106" s="2526"/>
      <c r="D106" s="2526"/>
      <c r="E106" s="2526"/>
      <c r="F106" s="1960" t="s">
        <v>2112</v>
      </c>
      <c r="G106" s="2526" t="s">
        <v>2300</v>
      </c>
      <c r="H106" s="2526"/>
      <c r="I106" s="2526"/>
      <c r="J106" s="2526"/>
      <c r="L106" s="2525">
        <v>0</v>
      </c>
      <c r="M106" s="2525"/>
      <c r="N106" s="2525">
        <v>0</v>
      </c>
      <c r="O106" s="2525"/>
      <c r="P106" s="2525">
        <v>98056.63</v>
      </c>
      <c r="Q106" s="2525"/>
      <c r="R106" s="2525">
        <v>98056.63</v>
      </c>
      <c r="S106" s="2525"/>
      <c r="T106" s="2525">
        <v>99202</v>
      </c>
      <c r="U106" s="2525"/>
      <c r="V106" s="1961">
        <v>98.84541642305598</v>
      </c>
      <c r="W106" s="1962" t="s">
        <v>2114</v>
      </c>
    </row>
    <row r="107" spans="1:23" ht="11.25" customHeight="1" x14ac:dyDescent="0.2">
      <c r="A107" s="2526" t="s">
        <v>2301</v>
      </c>
      <c r="B107" s="2526"/>
      <c r="C107" s="2526"/>
      <c r="D107" s="2526"/>
      <c r="E107" s="2526"/>
      <c r="F107" s="1960" t="s">
        <v>2112</v>
      </c>
      <c r="G107" s="2526" t="s">
        <v>2302</v>
      </c>
      <c r="H107" s="2526"/>
      <c r="I107" s="2526"/>
      <c r="J107" s="2526"/>
      <c r="L107" s="2525">
        <v>0</v>
      </c>
      <c r="M107" s="2525"/>
      <c r="N107" s="2525">
        <v>0</v>
      </c>
      <c r="O107" s="2525"/>
      <c r="P107" s="2525">
        <v>0</v>
      </c>
      <c r="Q107" s="2525"/>
      <c r="R107" s="2525">
        <v>0</v>
      </c>
      <c r="S107" s="2525"/>
      <c r="T107" s="2525">
        <v>0</v>
      </c>
      <c r="U107" s="2525"/>
      <c r="V107" s="1961">
        <v>0</v>
      </c>
      <c r="W107" s="1962" t="s">
        <v>2114</v>
      </c>
    </row>
    <row r="108" spans="1:23" ht="11.25" customHeight="1" x14ac:dyDescent="0.2">
      <c r="A108" s="2526" t="s">
        <v>2303</v>
      </c>
      <c r="B108" s="2526"/>
      <c r="C108" s="2526"/>
      <c r="D108" s="2526"/>
      <c r="E108" s="2526"/>
      <c r="F108" s="1960" t="s">
        <v>2112</v>
      </c>
      <c r="G108" s="2526" t="s">
        <v>2304</v>
      </c>
      <c r="H108" s="2526"/>
      <c r="I108" s="2526"/>
      <c r="J108" s="2526"/>
      <c r="L108" s="2525">
        <v>0</v>
      </c>
      <c r="M108" s="2525"/>
      <c r="N108" s="2525">
        <v>0</v>
      </c>
      <c r="O108" s="2525"/>
      <c r="P108" s="2525">
        <v>0</v>
      </c>
      <c r="Q108" s="2525"/>
      <c r="R108" s="2525">
        <v>0</v>
      </c>
      <c r="S108" s="2525"/>
      <c r="T108" s="2525">
        <v>0</v>
      </c>
      <c r="U108" s="2525"/>
      <c r="V108" s="1961">
        <v>0</v>
      </c>
      <c r="W108" s="1962" t="s">
        <v>2114</v>
      </c>
    </row>
    <row r="109" spans="1:23" ht="11.25" customHeight="1" x14ac:dyDescent="0.2">
      <c r="A109" s="2526" t="s">
        <v>2305</v>
      </c>
      <c r="B109" s="2526"/>
      <c r="C109" s="2526"/>
      <c r="D109" s="2526"/>
      <c r="E109" s="2526"/>
      <c r="F109" s="1960" t="s">
        <v>2112</v>
      </c>
      <c r="G109" s="2526" t="s">
        <v>2306</v>
      </c>
      <c r="H109" s="2526"/>
      <c r="I109" s="2526"/>
      <c r="J109" s="2526"/>
      <c r="L109" s="2525">
        <v>0</v>
      </c>
      <c r="M109" s="2525"/>
      <c r="N109" s="2525">
        <v>0</v>
      </c>
      <c r="O109" s="2525"/>
      <c r="P109" s="2525">
        <v>0</v>
      </c>
      <c r="Q109" s="2525"/>
      <c r="R109" s="2525">
        <v>0</v>
      </c>
      <c r="S109" s="2525"/>
      <c r="T109" s="2525">
        <v>0</v>
      </c>
      <c r="U109" s="2525"/>
      <c r="V109" s="1961">
        <v>0</v>
      </c>
      <c r="W109" s="1962" t="s">
        <v>2114</v>
      </c>
    </row>
    <row r="110" spans="1:23" ht="11.25" customHeight="1" x14ac:dyDescent="0.2">
      <c r="A110" s="2526" t="s">
        <v>2307</v>
      </c>
      <c r="B110" s="2526"/>
      <c r="C110" s="2526"/>
      <c r="D110" s="2526"/>
      <c r="E110" s="2526"/>
      <c r="F110" s="1960" t="s">
        <v>2112</v>
      </c>
      <c r="G110" s="2526" t="s">
        <v>2308</v>
      </c>
      <c r="H110" s="2526"/>
      <c r="I110" s="2526"/>
      <c r="J110" s="2526"/>
      <c r="L110" s="2525">
        <v>0</v>
      </c>
      <c r="M110" s="2525"/>
      <c r="N110" s="2525">
        <v>0</v>
      </c>
      <c r="O110" s="2525"/>
      <c r="P110" s="2525">
        <v>45000</v>
      </c>
      <c r="Q110" s="2525"/>
      <c r="R110" s="2525">
        <v>45000</v>
      </c>
      <c r="S110" s="2525"/>
      <c r="T110" s="2525">
        <v>45000</v>
      </c>
      <c r="U110" s="2525"/>
      <c r="V110" s="1961">
        <v>100</v>
      </c>
      <c r="W110" s="1962" t="s">
        <v>2114</v>
      </c>
    </row>
    <row r="111" spans="1:23" ht="11.25" customHeight="1" x14ac:dyDescent="0.2">
      <c r="A111" s="2526" t="s">
        <v>2309</v>
      </c>
      <c r="B111" s="2526"/>
      <c r="C111" s="2526"/>
      <c r="D111" s="2526"/>
      <c r="E111" s="2526"/>
      <c r="F111" s="1960" t="s">
        <v>2112</v>
      </c>
      <c r="G111" s="2526" t="s">
        <v>2128</v>
      </c>
      <c r="H111" s="2526"/>
      <c r="I111" s="2526"/>
      <c r="J111" s="2526"/>
      <c r="L111" s="2525">
        <v>0</v>
      </c>
      <c r="M111" s="2525"/>
      <c r="N111" s="2525">
        <v>0</v>
      </c>
      <c r="O111" s="2525"/>
      <c r="P111" s="2525">
        <v>0</v>
      </c>
      <c r="Q111" s="2525"/>
      <c r="R111" s="2525">
        <v>0</v>
      </c>
      <c r="S111" s="2525"/>
      <c r="T111" s="2525">
        <v>0</v>
      </c>
      <c r="U111" s="2525"/>
      <c r="V111" s="1961">
        <v>0</v>
      </c>
      <c r="W111" s="1962" t="s">
        <v>2114</v>
      </c>
    </row>
    <row r="112" spans="1:23" ht="11.25" customHeight="1" x14ac:dyDescent="0.2">
      <c r="A112" s="2526" t="s">
        <v>2310</v>
      </c>
      <c r="B112" s="2526"/>
      <c r="C112" s="2526"/>
      <c r="D112" s="2526"/>
      <c r="E112" s="2526"/>
      <c r="F112" s="1960" t="s">
        <v>2112</v>
      </c>
      <c r="G112" s="2526" t="s">
        <v>2311</v>
      </c>
      <c r="H112" s="2526"/>
      <c r="I112" s="2526"/>
      <c r="J112" s="2526"/>
      <c r="L112" s="2525">
        <v>0</v>
      </c>
      <c r="M112" s="2525"/>
      <c r="N112" s="2525">
        <v>0</v>
      </c>
      <c r="O112" s="2525"/>
      <c r="P112" s="2525">
        <v>0</v>
      </c>
      <c r="Q112" s="2525"/>
      <c r="R112" s="2525">
        <v>0</v>
      </c>
      <c r="S112" s="2525"/>
      <c r="T112" s="2525">
        <v>0</v>
      </c>
      <c r="U112" s="2525"/>
      <c r="V112" s="1961">
        <v>0</v>
      </c>
      <c r="W112" s="1962" t="s">
        <v>2114</v>
      </c>
    </row>
    <row r="113" spans="1:23" ht="11.25" customHeight="1" x14ac:dyDescent="0.2">
      <c r="A113" s="2526" t="s">
        <v>2312</v>
      </c>
      <c r="B113" s="2526"/>
      <c r="C113" s="2526"/>
      <c r="D113" s="2526"/>
      <c r="E113" s="2526"/>
      <c r="F113" s="1960" t="s">
        <v>2112</v>
      </c>
      <c r="G113" s="2526" t="s">
        <v>2313</v>
      </c>
      <c r="H113" s="2526"/>
      <c r="I113" s="2526"/>
      <c r="J113" s="2526"/>
      <c r="L113" s="2525">
        <v>0</v>
      </c>
      <c r="M113" s="2525"/>
      <c r="N113" s="2525">
        <v>0</v>
      </c>
      <c r="O113" s="2525"/>
      <c r="P113" s="2525">
        <v>4845</v>
      </c>
      <c r="Q113" s="2525"/>
      <c r="R113" s="2525">
        <v>4845</v>
      </c>
      <c r="S113" s="2525"/>
      <c r="T113" s="2525">
        <v>9000</v>
      </c>
      <c r="U113" s="2525"/>
      <c r="V113" s="1961">
        <v>53.833333333333343</v>
      </c>
      <c r="W113" s="1962" t="s">
        <v>2114</v>
      </c>
    </row>
    <row r="114" spans="1:23" ht="11.25" customHeight="1" x14ac:dyDescent="0.2">
      <c r="A114" s="2526" t="s">
        <v>2314</v>
      </c>
      <c r="B114" s="2526"/>
      <c r="C114" s="2526"/>
      <c r="D114" s="2526"/>
      <c r="E114" s="2526"/>
      <c r="F114" s="1960" t="s">
        <v>2112</v>
      </c>
      <c r="G114" s="2526" t="s">
        <v>2315</v>
      </c>
      <c r="H114" s="2526"/>
      <c r="I114" s="2526"/>
      <c r="J114" s="2526"/>
      <c r="L114" s="2525">
        <v>0</v>
      </c>
      <c r="M114" s="2525"/>
      <c r="N114" s="2525">
        <v>0</v>
      </c>
      <c r="O114" s="2525"/>
      <c r="P114" s="2525">
        <v>0</v>
      </c>
      <c r="Q114" s="2525"/>
      <c r="R114" s="2525">
        <v>0</v>
      </c>
      <c r="S114" s="2525"/>
      <c r="T114" s="2525">
        <v>0</v>
      </c>
      <c r="U114" s="2525"/>
      <c r="V114" s="1961">
        <v>0</v>
      </c>
      <c r="W114" s="1962" t="s">
        <v>2114</v>
      </c>
    </row>
    <row r="115" spans="1:23" ht="11.25" customHeight="1" x14ac:dyDescent="0.2">
      <c r="A115" s="2526" t="s">
        <v>2316</v>
      </c>
      <c r="B115" s="2526"/>
      <c r="C115" s="2526"/>
      <c r="D115" s="2526"/>
      <c r="E115" s="2526"/>
      <c r="F115" s="1960" t="s">
        <v>2112</v>
      </c>
      <c r="G115" s="2526" t="s">
        <v>2317</v>
      </c>
      <c r="H115" s="2526"/>
      <c r="I115" s="2526"/>
      <c r="J115" s="2526"/>
      <c r="L115" s="2525">
        <v>0</v>
      </c>
      <c r="M115" s="2525"/>
      <c r="N115" s="2525">
        <v>0</v>
      </c>
      <c r="O115" s="2525"/>
      <c r="P115" s="2525">
        <v>15257.5</v>
      </c>
      <c r="Q115" s="2525"/>
      <c r="R115" s="2525">
        <v>15257.5</v>
      </c>
      <c r="S115" s="2525"/>
      <c r="T115" s="2525">
        <v>15000</v>
      </c>
      <c r="U115" s="2525"/>
      <c r="V115" s="1961">
        <v>101.71666666666667</v>
      </c>
      <c r="W115" s="1962" t="s">
        <v>2114</v>
      </c>
    </row>
    <row r="116" spans="1:23" ht="11.25" customHeight="1" x14ac:dyDescent="0.2">
      <c r="A116" s="2526" t="s">
        <v>2318</v>
      </c>
      <c r="B116" s="2526"/>
      <c r="C116" s="2526"/>
      <c r="D116" s="2526"/>
      <c r="E116" s="2526"/>
      <c r="F116" s="1960" t="s">
        <v>2112</v>
      </c>
      <c r="G116" s="2526" t="s">
        <v>2150</v>
      </c>
      <c r="H116" s="2526"/>
      <c r="I116" s="2526"/>
      <c r="J116" s="2526"/>
      <c r="L116" s="2525">
        <v>0</v>
      </c>
      <c r="M116" s="2525"/>
      <c r="N116" s="2525">
        <v>0</v>
      </c>
      <c r="O116" s="2525"/>
      <c r="P116" s="2525">
        <v>0</v>
      </c>
      <c r="Q116" s="2525"/>
      <c r="R116" s="2525">
        <v>0</v>
      </c>
      <c r="S116" s="2525"/>
      <c r="T116" s="2525">
        <v>0</v>
      </c>
      <c r="U116" s="2525"/>
      <c r="V116" s="1961">
        <v>0</v>
      </c>
      <c r="W116" s="1962" t="s">
        <v>2114</v>
      </c>
    </row>
    <row r="117" spans="1:23" ht="11.25" customHeight="1" x14ac:dyDescent="0.2">
      <c r="A117" s="2526" t="s">
        <v>2319</v>
      </c>
      <c r="B117" s="2526"/>
      <c r="C117" s="2526"/>
      <c r="D117" s="2526"/>
      <c r="E117" s="2526"/>
      <c r="F117" s="1960" t="s">
        <v>2112</v>
      </c>
      <c r="G117" s="2526" t="s">
        <v>2320</v>
      </c>
      <c r="H117" s="2526"/>
      <c r="I117" s="2526"/>
      <c r="J117" s="2526"/>
      <c r="L117" s="2525">
        <v>0</v>
      </c>
      <c r="M117" s="2525"/>
      <c r="N117" s="2525">
        <v>0</v>
      </c>
      <c r="O117" s="2525"/>
      <c r="P117" s="2525">
        <v>0</v>
      </c>
      <c r="Q117" s="2525"/>
      <c r="R117" s="2525">
        <v>0</v>
      </c>
      <c r="S117" s="2525"/>
      <c r="T117" s="2525">
        <v>0</v>
      </c>
      <c r="U117" s="2525"/>
      <c r="V117" s="1961">
        <v>0</v>
      </c>
      <c r="W117" s="1962" t="s">
        <v>2114</v>
      </c>
    </row>
    <row r="118" spans="1:23" ht="11.25" customHeight="1" x14ac:dyDescent="0.2">
      <c r="A118" s="2526" t="s">
        <v>2321</v>
      </c>
      <c r="B118" s="2526"/>
      <c r="C118" s="2526"/>
      <c r="D118" s="2526"/>
      <c r="E118" s="2526"/>
      <c r="F118" s="1960" t="s">
        <v>2112</v>
      </c>
      <c r="G118" s="2526" t="s">
        <v>2156</v>
      </c>
      <c r="H118" s="2526"/>
      <c r="I118" s="2526"/>
      <c r="J118" s="2526"/>
      <c r="L118" s="2525">
        <v>0</v>
      </c>
      <c r="M118" s="2525"/>
      <c r="N118" s="2525">
        <v>0</v>
      </c>
      <c r="O118" s="2525"/>
      <c r="P118" s="2525">
        <v>0</v>
      </c>
      <c r="Q118" s="2525"/>
      <c r="R118" s="2525">
        <v>0</v>
      </c>
      <c r="S118" s="2525"/>
      <c r="T118" s="2525">
        <v>0</v>
      </c>
      <c r="U118" s="2525"/>
      <c r="V118" s="1961">
        <v>0</v>
      </c>
      <c r="W118" s="1962" t="s">
        <v>2114</v>
      </c>
    </row>
    <row r="119" spans="1:23" ht="11.25" customHeight="1" x14ac:dyDescent="0.2">
      <c r="A119" s="2526" t="s">
        <v>2322</v>
      </c>
      <c r="B119" s="2526"/>
      <c r="C119" s="2526"/>
      <c r="D119" s="2526"/>
      <c r="E119" s="2526"/>
      <c r="F119" s="1960" t="s">
        <v>2112</v>
      </c>
      <c r="G119" s="2526" t="s">
        <v>2323</v>
      </c>
      <c r="H119" s="2526"/>
      <c r="I119" s="2526"/>
      <c r="J119" s="2526"/>
      <c r="L119" s="2525">
        <v>0</v>
      </c>
      <c r="M119" s="2525"/>
      <c r="N119" s="2525">
        <v>0</v>
      </c>
      <c r="O119" s="2525"/>
      <c r="P119" s="2525">
        <v>0</v>
      </c>
      <c r="Q119" s="2525"/>
      <c r="R119" s="2525">
        <v>0</v>
      </c>
      <c r="S119" s="2525"/>
      <c r="T119" s="2525">
        <v>0</v>
      </c>
      <c r="U119" s="2525"/>
      <c r="V119" s="1961">
        <v>0</v>
      </c>
      <c r="W119" s="1962" t="s">
        <v>2114</v>
      </c>
    </row>
    <row r="120" spans="1:23" ht="11.25" customHeight="1" x14ac:dyDescent="0.2">
      <c r="A120" s="2526" t="s">
        <v>2324</v>
      </c>
      <c r="B120" s="2526"/>
      <c r="C120" s="2526"/>
      <c r="D120" s="2526"/>
      <c r="E120" s="2526"/>
      <c r="F120" s="1960" t="s">
        <v>2112</v>
      </c>
      <c r="G120" s="2526" t="s">
        <v>2174</v>
      </c>
      <c r="H120" s="2526"/>
      <c r="I120" s="2526"/>
      <c r="J120" s="2526"/>
      <c r="L120" s="2525">
        <v>0</v>
      </c>
      <c r="M120" s="2525"/>
      <c r="N120" s="2525">
        <v>0</v>
      </c>
      <c r="O120" s="2525"/>
      <c r="P120" s="2525">
        <v>71922</v>
      </c>
      <c r="Q120" s="2525"/>
      <c r="R120" s="2525">
        <v>71922</v>
      </c>
      <c r="S120" s="2525"/>
      <c r="T120" s="2525">
        <v>71922</v>
      </c>
      <c r="U120" s="2525"/>
      <c r="V120" s="1961">
        <v>100</v>
      </c>
      <c r="W120" s="1962" t="s">
        <v>2114</v>
      </c>
    </row>
    <row r="121" spans="1:23" ht="11.25" customHeight="1" x14ac:dyDescent="0.2">
      <c r="A121" s="2526" t="s">
        <v>2325</v>
      </c>
      <c r="B121" s="2526"/>
      <c r="C121" s="2526"/>
      <c r="D121" s="2526"/>
      <c r="E121" s="2526"/>
      <c r="F121" s="1960" t="s">
        <v>2112</v>
      </c>
      <c r="G121" s="2526" t="s">
        <v>2326</v>
      </c>
      <c r="H121" s="2526"/>
      <c r="I121" s="2526"/>
      <c r="J121" s="2526"/>
      <c r="L121" s="2525">
        <v>0</v>
      </c>
      <c r="M121" s="2525"/>
      <c r="N121" s="2525">
        <v>0</v>
      </c>
      <c r="O121" s="2525"/>
      <c r="P121" s="2525">
        <v>0</v>
      </c>
      <c r="Q121" s="2525"/>
      <c r="R121" s="2525">
        <v>0</v>
      </c>
      <c r="S121" s="2525"/>
      <c r="T121" s="2525">
        <v>0</v>
      </c>
      <c r="U121" s="2525"/>
      <c r="V121" s="1961">
        <v>0</v>
      </c>
      <c r="W121" s="1962" t="s">
        <v>2114</v>
      </c>
    </row>
    <row r="122" spans="1:23" ht="11.25" customHeight="1" x14ac:dyDescent="0.2">
      <c r="A122" s="2526" t="s">
        <v>2327</v>
      </c>
      <c r="B122" s="2526"/>
      <c r="C122" s="2526"/>
      <c r="D122" s="2526"/>
      <c r="E122" s="2526"/>
      <c r="F122" s="1960" t="s">
        <v>2112</v>
      </c>
      <c r="G122" s="2526" t="s">
        <v>2326</v>
      </c>
      <c r="H122" s="2526"/>
      <c r="I122" s="2526"/>
      <c r="J122" s="2526"/>
      <c r="L122" s="2525">
        <v>0</v>
      </c>
      <c r="M122" s="2525"/>
      <c r="N122" s="2525">
        <v>0</v>
      </c>
      <c r="O122" s="2525"/>
      <c r="P122" s="2525">
        <v>0</v>
      </c>
      <c r="Q122" s="2525"/>
      <c r="R122" s="2525">
        <v>0</v>
      </c>
      <c r="S122" s="2525"/>
      <c r="T122" s="2525">
        <v>0</v>
      </c>
      <c r="U122" s="2525"/>
      <c r="V122" s="1961">
        <v>0</v>
      </c>
      <c r="W122" s="1962" t="s">
        <v>2114</v>
      </c>
    </row>
    <row r="123" spans="1:23" ht="11.25" customHeight="1" x14ac:dyDescent="0.2">
      <c r="A123" s="2526" t="s">
        <v>2328</v>
      </c>
      <c r="B123" s="2526"/>
      <c r="C123" s="2526"/>
      <c r="D123" s="2526"/>
      <c r="E123" s="2526"/>
      <c r="F123" s="1960" t="s">
        <v>2212</v>
      </c>
      <c r="G123" s="2526" t="s">
        <v>2213</v>
      </c>
      <c r="H123" s="2526"/>
      <c r="I123" s="2526"/>
      <c r="J123" s="2526"/>
      <c r="L123" s="2525">
        <v>0</v>
      </c>
      <c r="M123" s="2525"/>
      <c r="N123" s="2525">
        <v>0</v>
      </c>
      <c r="O123" s="2525"/>
      <c r="P123" s="2525">
        <v>0</v>
      </c>
      <c r="Q123" s="2525"/>
      <c r="R123" s="2525">
        <v>0</v>
      </c>
      <c r="S123" s="2525"/>
      <c r="T123" s="2525">
        <v>0</v>
      </c>
      <c r="U123" s="2525"/>
      <c r="V123" s="1961">
        <v>0</v>
      </c>
      <c r="W123" s="1962" t="s">
        <v>2114</v>
      </c>
    </row>
    <row r="124" spans="1:23" ht="11.25" customHeight="1" x14ac:dyDescent="0.2">
      <c r="A124" s="2526" t="s">
        <v>2329</v>
      </c>
      <c r="B124" s="2526"/>
      <c r="C124" s="2526"/>
      <c r="D124" s="2526"/>
      <c r="E124" s="2526"/>
      <c r="F124" s="1960" t="s">
        <v>2112</v>
      </c>
      <c r="G124" s="2526" t="s">
        <v>2330</v>
      </c>
      <c r="H124" s="2526"/>
      <c r="I124" s="2526"/>
      <c r="J124" s="2526"/>
      <c r="L124" s="2525">
        <v>0</v>
      </c>
      <c r="M124" s="2525"/>
      <c r="N124" s="2525">
        <v>0</v>
      </c>
      <c r="O124" s="2525"/>
      <c r="P124" s="2525">
        <v>0</v>
      </c>
      <c r="Q124" s="2525"/>
      <c r="R124" s="2525">
        <v>0</v>
      </c>
      <c r="S124" s="2525"/>
      <c r="T124" s="2525">
        <v>0</v>
      </c>
      <c r="U124" s="2525"/>
      <c r="V124" s="1961">
        <v>0</v>
      </c>
      <c r="W124" s="1962" t="s">
        <v>2114</v>
      </c>
    </row>
    <row r="125" spans="1:23" ht="11.25" customHeight="1" x14ac:dyDescent="0.2">
      <c r="A125" s="2526" t="s">
        <v>2331</v>
      </c>
      <c r="B125" s="2526"/>
      <c r="C125" s="2526"/>
      <c r="D125" s="2526"/>
      <c r="E125" s="2526"/>
      <c r="F125" s="1960" t="s">
        <v>2332</v>
      </c>
      <c r="G125" s="2526" t="s">
        <v>2333</v>
      </c>
      <c r="H125" s="2526"/>
      <c r="I125" s="2526"/>
      <c r="J125" s="2526"/>
      <c r="L125" s="2525">
        <v>0</v>
      </c>
      <c r="M125" s="2525"/>
      <c r="N125" s="2525">
        <v>0</v>
      </c>
      <c r="O125" s="2525"/>
      <c r="P125" s="2525">
        <v>0</v>
      </c>
      <c r="Q125" s="2525"/>
      <c r="R125" s="2525">
        <v>0</v>
      </c>
      <c r="S125" s="2525"/>
      <c r="T125" s="2525">
        <v>0</v>
      </c>
      <c r="U125" s="2525"/>
      <c r="V125" s="1961">
        <v>0</v>
      </c>
      <c r="W125" s="1962" t="s">
        <v>2114</v>
      </c>
    </row>
    <row r="126" spans="1:23" ht="11.25" customHeight="1" x14ac:dyDescent="0.2">
      <c r="A126" s="2526" t="s">
        <v>2334</v>
      </c>
      <c r="B126" s="2526"/>
      <c r="C126" s="2526"/>
      <c r="D126" s="2526"/>
      <c r="E126" s="2526"/>
      <c r="F126" s="1960" t="s">
        <v>2233</v>
      </c>
      <c r="G126" s="2526" t="s">
        <v>2267</v>
      </c>
      <c r="H126" s="2526"/>
      <c r="I126" s="2526"/>
      <c r="J126" s="2526"/>
      <c r="L126" s="2525">
        <v>0</v>
      </c>
      <c r="M126" s="2525"/>
      <c r="N126" s="2525">
        <v>0</v>
      </c>
      <c r="O126" s="2525"/>
      <c r="P126" s="2525">
        <v>0</v>
      </c>
      <c r="Q126" s="2525"/>
      <c r="R126" s="2525">
        <v>0</v>
      </c>
      <c r="S126" s="2525"/>
      <c r="T126" s="2525">
        <v>0</v>
      </c>
      <c r="U126" s="2525"/>
      <c r="V126" s="1961">
        <v>0</v>
      </c>
      <c r="W126" s="1962" t="s">
        <v>2114</v>
      </c>
    </row>
    <row r="127" spans="1:23" ht="11.25" customHeight="1" x14ac:dyDescent="0.2">
      <c r="A127" s="2526" t="s">
        <v>2335</v>
      </c>
      <c r="B127" s="2526"/>
      <c r="C127" s="2526"/>
      <c r="D127" s="2526"/>
      <c r="E127" s="2526"/>
      <c r="F127" s="1960" t="s">
        <v>2112</v>
      </c>
      <c r="G127" s="2526" t="s">
        <v>2336</v>
      </c>
      <c r="H127" s="2526"/>
      <c r="I127" s="2526"/>
      <c r="J127" s="2526"/>
      <c r="L127" s="2525">
        <v>0</v>
      </c>
      <c r="M127" s="2525"/>
      <c r="N127" s="2525">
        <v>0</v>
      </c>
      <c r="O127" s="2525"/>
      <c r="P127" s="2525">
        <v>0</v>
      </c>
      <c r="Q127" s="2525"/>
      <c r="R127" s="2525">
        <v>0</v>
      </c>
      <c r="S127" s="2525"/>
      <c r="T127" s="2525">
        <v>0</v>
      </c>
      <c r="U127" s="2525"/>
      <c r="V127" s="1961">
        <v>0</v>
      </c>
      <c r="W127" s="1962" t="s">
        <v>2114</v>
      </c>
    </row>
    <row r="128" spans="1:23" ht="11.25" customHeight="1" x14ac:dyDescent="0.2">
      <c r="A128" s="2526" t="s">
        <v>2337</v>
      </c>
      <c r="B128" s="2526"/>
      <c r="C128" s="2526"/>
      <c r="D128" s="2526"/>
      <c r="E128" s="2526"/>
      <c r="F128" s="1960" t="s">
        <v>2112</v>
      </c>
      <c r="G128" s="2526" t="s">
        <v>2338</v>
      </c>
      <c r="H128" s="2526"/>
      <c r="I128" s="2526"/>
      <c r="J128" s="2526"/>
      <c r="L128" s="2525">
        <v>0</v>
      </c>
      <c r="M128" s="2525"/>
      <c r="N128" s="2525">
        <v>0</v>
      </c>
      <c r="O128" s="2525"/>
      <c r="P128" s="2525">
        <v>0</v>
      </c>
      <c r="Q128" s="2525"/>
      <c r="R128" s="2525">
        <v>0</v>
      </c>
      <c r="S128" s="2525"/>
      <c r="T128" s="2525">
        <v>0</v>
      </c>
      <c r="U128" s="2525"/>
      <c r="V128" s="1961">
        <v>0</v>
      </c>
      <c r="W128" s="1962" t="s">
        <v>2114</v>
      </c>
    </row>
    <row r="129" spans="1:23" ht="11.25" customHeight="1" x14ac:dyDescent="0.2">
      <c r="A129" s="2526" t="s">
        <v>2339</v>
      </c>
      <c r="B129" s="2526"/>
      <c r="C129" s="2526"/>
      <c r="D129" s="2526"/>
      <c r="E129" s="2526"/>
      <c r="F129" s="1960" t="s">
        <v>2112</v>
      </c>
      <c r="G129" s="2526" t="s">
        <v>2340</v>
      </c>
      <c r="H129" s="2526"/>
      <c r="I129" s="2526"/>
      <c r="J129" s="2526"/>
      <c r="L129" s="2525">
        <v>0</v>
      </c>
      <c r="M129" s="2525"/>
      <c r="N129" s="2525">
        <v>0</v>
      </c>
      <c r="O129" s="2525"/>
      <c r="P129" s="2525">
        <v>0</v>
      </c>
      <c r="Q129" s="2525"/>
      <c r="R129" s="2525">
        <v>0</v>
      </c>
      <c r="S129" s="2525"/>
      <c r="T129" s="2525">
        <v>0</v>
      </c>
      <c r="U129" s="2525"/>
      <c r="V129" s="1961">
        <v>0</v>
      </c>
      <c r="W129" s="1962" t="s">
        <v>2114</v>
      </c>
    </row>
    <row r="130" spans="1:23" ht="11.25" customHeight="1" x14ac:dyDescent="0.2">
      <c r="A130" s="2526" t="s">
        <v>2341</v>
      </c>
      <c r="B130" s="2526"/>
      <c r="C130" s="2526"/>
      <c r="D130" s="2526"/>
      <c r="E130" s="2526"/>
      <c r="F130" s="1960" t="s">
        <v>2112</v>
      </c>
      <c r="G130" s="2526" t="s">
        <v>2294</v>
      </c>
      <c r="H130" s="2526"/>
      <c r="I130" s="2526"/>
      <c r="J130" s="2526"/>
      <c r="L130" s="2525">
        <v>0</v>
      </c>
      <c r="M130" s="2525"/>
      <c r="N130" s="2525">
        <v>0</v>
      </c>
      <c r="O130" s="2525"/>
      <c r="P130" s="2525">
        <v>0</v>
      </c>
      <c r="Q130" s="2525"/>
      <c r="R130" s="2525">
        <v>0</v>
      </c>
      <c r="S130" s="2525"/>
      <c r="T130" s="2525">
        <v>0</v>
      </c>
      <c r="U130" s="2525"/>
      <c r="V130" s="1961">
        <v>0</v>
      </c>
      <c r="W130" s="1962" t="s">
        <v>2114</v>
      </c>
    </row>
    <row r="131" spans="1:23" ht="2.25" customHeight="1" x14ac:dyDescent="0.2"/>
    <row r="132" spans="1:23" ht="13.5" customHeight="1" x14ac:dyDescent="0.2">
      <c r="A132" s="2523" t="s">
        <v>2342</v>
      </c>
      <c r="B132" s="2523"/>
      <c r="C132" s="2523"/>
      <c r="D132" s="2523"/>
      <c r="E132" s="2523"/>
      <c r="F132" s="2523"/>
      <c r="G132" s="2523"/>
      <c r="H132" s="2523"/>
      <c r="I132" s="2523"/>
      <c r="L132" s="2524">
        <v>0</v>
      </c>
      <c r="M132" s="2524"/>
      <c r="N132" s="2524">
        <v>0</v>
      </c>
      <c r="O132" s="2524"/>
      <c r="P132" s="2524">
        <v>235081.13</v>
      </c>
      <c r="Q132" s="2524"/>
      <c r="R132" s="2524">
        <v>235081.13</v>
      </c>
      <c r="S132" s="2524"/>
      <c r="T132" s="2524">
        <v>240124</v>
      </c>
      <c r="U132" s="2524"/>
      <c r="V132" s="1963">
        <v>97.899889223900999</v>
      </c>
    </row>
    <row r="133" spans="1:23" ht="15.75" customHeight="1" x14ac:dyDescent="0.2">
      <c r="A133" s="1959"/>
      <c r="B133" s="2527" t="s">
        <v>2343</v>
      </c>
      <c r="C133" s="2527"/>
      <c r="D133" s="2527"/>
      <c r="E133" s="2527"/>
      <c r="F133" s="2527"/>
      <c r="G133" s="2527"/>
      <c r="H133" s="2527"/>
      <c r="I133" s="2527"/>
      <c r="J133" s="2527"/>
      <c r="K133" s="2527"/>
      <c r="L133" s="2527"/>
      <c r="M133" s="2527"/>
      <c r="N133" s="2527"/>
      <c r="O133" s="2527"/>
      <c r="P133" s="2527"/>
      <c r="Q133" s="2527"/>
      <c r="R133" s="2527"/>
      <c r="S133" s="2527"/>
      <c r="T133" s="2527"/>
      <c r="U133" s="2527"/>
      <c r="V133" s="2527"/>
    </row>
    <row r="134" spans="1:23" ht="11.25" customHeight="1" x14ac:dyDescent="0.2">
      <c r="A134" s="2526" t="s">
        <v>2344</v>
      </c>
      <c r="B134" s="2526"/>
      <c r="C134" s="2526"/>
      <c r="D134" s="2526"/>
      <c r="E134" s="2526"/>
      <c r="F134" s="1960" t="s">
        <v>2112</v>
      </c>
      <c r="G134" s="2526" t="s">
        <v>2345</v>
      </c>
      <c r="H134" s="2526"/>
      <c r="I134" s="2526"/>
      <c r="J134" s="2526"/>
      <c r="L134" s="2525">
        <v>0</v>
      </c>
      <c r="M134" s="2525"/>
      <c r="N134" s="2525">
        <v>0</v>
      </c>
      <c r="O134" s="2525"/>
      <c r="P134" s="2525">
        <v>0</v>
      </c>
      <c r="Q134" s="2525"/>
      <c r="R134" s="2525">
        <v>0</v>
      </c>
      <c r="S134" s="2525"/>
      <c r="T134" s="2525">
        <v>0</v>
      </c>
      <c r="U134" s="2525"/>
      <c r="V134" s="1961">
        <v>0</v>
      </c>
      <c r="W134" s="1962" t="s">
        <v>2114</v>
      </c>
    </row>
    <row r="135" spans="1:23" ht="11.25" customHeight="1" x14ac:dyDescent="0.2">
      <c r="A135" s="2526" t="s">
        <v>2346</v>
      </c>
      <c r="B135" s="2526"/>
      <c r="C135" s="2526"/>
      <c r="D135" s="2526"/>
      <c r="E135" s="2526"/>
      <c r="F135" s="1960" t="s">
        <v>2112</v>
      </c>
      <c r="G135" s="2526" t="s">
        <v>2345</v>
      </c>
      <c r="H135" s="2526"/>
      <c r="I135" s="2526"/>
      <c r="J135" s="2526"/>
      <c r="L135" s="2525">
        <v>0</v>
      </c>
      <c r="M135" s="2525"/>
      <c r="N135" s="2525">
        <v>0</v>
      </c>
      <c r="O135" s="2525"/>
      <c r="P135" s="2525">
        <v>0</v>
      </c>
      <c r="Q135" s="2525"/>
      <c r="R135" s="2525">
        <v>0</v>
      </c>
      <c r="S135" s="2525"/>
      <c r="T135" s="2525">
        <v>0</v>
      </c>
      <c r="U135" s="2525"/>
      <c r="V135" s="1961">
        <v>0</v>
      </c>
      <c r="W135" s="1962" t="s">
        <v>2114</v>
      </c>
    </row>
    <row r="136" spans="1:23" ht="11.25" customHeight="1" x14ac:dyDescent="0.2">
      <c r="A136" s="2526" t="s">
        <v>2347</v>
      </c>
      <c r="B136" s="2526"/>
      <c r="C136" s="2526"/>
      <c r="D136" s="2526"/>
      <c r="E136" s="2526"/>
      <c r="F136" s="1960" t="s">
        <v>2112</v>
      </c>
      <c r="G136" s="2526" t="s">
        <v>2348</v>
      </c>
      <c r="H136" s="2526"/>
      <c r="I136" s="2526"/>
      <c r="J136" s="2526"/>
      <c r="L136" s="2525">
        <v>0</v>
      </c>
      <c r="M136" s="2525"/>
      <c r="N136" s="2525">
        <v>0</v>
      </c>
      <c r="O136" s="2525"/>
      <c r="P136" s="2525">
        <v>0</v>
      </c>
      <c r="Q136" s="2525"/>
      <c r="R136" s="2525">
        <v>0</v>
      </c>
      <c r="S136" s="2525"/>
      <c r="T136" s="2525">
        <v>0</v>
      </c>
      <c r="U136" s="2525"/>
      <c r="V136" s="1961">
        <v>0</v>
      </c>
      <c r="W136" s="1962" t="s">
        <v>2114</v>
      </c>
    </row>
    <row r="137" spans="1:23" ht="11.25" customHeight="1" x14ac:dyDescent="0.2">
      <c r="A137" s="2526" t="s">
        <v>2349</v>
      </c>
      <c r="B137" s="2526"/>
      <c r="C137" s="2526"/>
      <c r="D137" s="2526"/>
      <c r="E137" s="2526"/>
      <c r="F137" s="1960" t="s">
        <v>2112</v>
      </c>
      <c r="G137" s="2526" t="s">
        <v>2348</v>
      </c>
      <c r="H137" s="2526"/>
      <c r="I137" s="2526"/>
      <c r="J137" s="2526"/>
      <c r="L137" s="2525">
        <v>0</v>
      </c>
      <c r="M137" s="2525"/>
      <c r="N137" s="2525">
        <v>0</v>
      </c>
      <c r="O137" s="2525"/>
      <c r="P137" s="2525">
        <v>0</v>
      </c>
      <c r="Q137" s="2525"/>
      <c r="R137" s="2525">
        <v>0</v>
      </c>
      <c r="S137" s="2525"/>
      <c r="T137" s="2525">
        <v>0</v>
      </c>
      <c r="U137" s="2525"/>
      <c r="V137" s="1961">
        <v>0</v>
      </c>
      <c r="W137" s="1962" t="s">
        <v>2114</v>
      </c>
    </row>
    <row r="138" spans="1:23" ht="11.25" customHeight="1" x14ac:dyDescent="0.2">
      <c r="A138" s="2526" t="s">
        <v>2350</v>
      </c>
      <c r="B138" s="2526"/>
      <c r="C138" s="2526"/>
      <c r="D138" s="2526"/>
      <c r="E138" s="2526"/>
      <c r="F138" s="1960" t="s">
        <v>2112</v>
      </c>
      <c r="G138" s="2526" t="s">
        <v>2351</v>
      </c>
      <c r="H138" s="2526"/>
      <c r="I138" s="2526"/>
      <c r="J138" s="2526"/>
      <c r="L138" s="2525">
        <v>0</v>
      </c>
      <c r="M138" s="2525"/>
      <c r="N138" s="2525">
        <v>0</v>
      </c>
      <c r="O138" s="2525"/>
      <c r="P138" s="2525">
        <v>0</v>
      </c>
      <c r="Q138" s="2525"/>
      <c r="R138" s="2525">
        <v>0</v>
      </c>
      <c r="S138" s="2525"/>
      <c r="T138" s="2525">
        <v>0</v>
      </c>
      <c r="U138" s="2525"/>
      <c r="V138" s="1961">
        <v>0</v>
      </c>
      <c r="W138" s="1962" t="s">
        <v>2114</v>
      </c>
    </row>
    <row r="139" spans="1:23" ht="11.25" customHeight="1" x14ac:dyDescent="0.2">
      <c r="A139" s="2526" t="s">
        <v>2352</v>
      </c>
      <c r="B139" s="2526"/>
      <c r="C139" s="2526"/>
      <c r="D139" s="2526"/>
      <c r="E139" s="2526"/>
      <c r="F139" s="1960" t="s">
        <v>2112</v>
      </c>
      <c r="G139" s="2526" t="s">
        <v>2353</v>
      </c>
      <c r="H139" s="2526"/>
      <c r="I139" s="2526"/>
      <c r="J139" s="2526"/>
      <c r="L139" s="2525">
        <v>0</v>
      </c>
      <c r="M139" s="2525"/>
      <c r="N139" s="2525">
        <v>0</v>
      </c>
      <c r="O139" s="2525"/>
      <c r="P139" s="2525">
        <v>0</v>
      </c>
      <c r="Q139" s="2525"/>
      <c r="R139" s="2525">
        <v>0</v>
      </c>
      <c r="S139" s="2525"/>
      <c r="T139" s="2525">
        <v>0</v>
      </c>
      <c r="U139" s="2525"/>
      <c r="V139" s="1961">
        <v>0</v>
      </c>
      <c r="W139" s="1962" t="s">
        <v>2114</v>
      </c>
    </row>
    <row r="140" spans="1:23" ht="11.25" customHeight="1" x14ac:dyDescent="0.2">
      <c r="A140" s="2526" t="s">
        <v>2354</v>
      </c>
      <c r="B140" s="2526"/>
      <c r="C140" s="2526"/>
      <c r="D140" s="2526"/>
      <c r="E140" s="2526"/>
      <c r="F140" s="1960" t="s">
        <v>2112</v>
      </c>
      <c r="G140" s="2526" t="s">
        <v>2355</v>
      </c>
      <c r="H140" s="2526"/>
      <c r="I140" s="2526"/>
      <c r="J140" s="2526"/>
      <c r="L140" s="2525">
        <v>0</v>
      </c>
      <c r="M140" s="2525"/>
      <c r="N140" s="2525">
        <v>0</v>
      </c>
      <c r="O140" s="2525"/>
      <c r="P140" s="2525">
        <v>0</v>
      </c>
      <c r="Q140" s="2525"/>
      <c r="R140" s="2525">
        <v>0</v>
      </c>
      <c r="S140" s="2525"/>
      <c r="T140" s="2525">
        <v>0</v>
      </c>
      <c r="U140" s="2525"/>
      <c r="V140" s="1961">
        <v>0</v>
      </c>
      <c r="W140" s="1962" t="s">
        <v>2114</v>
      </c>
    </row>
    <row r="141" spans="1:23" ht="11.25" customHeight="1" x14ac:dyDescent="0.2">
      <c r="A141" s="2526" t="s">
        <v>2356</v>
      </c>
      <c r="B141" s="2526"/>
      <c r="C141" s="2526"/>
      <c r="D141" s="2526"/>
      <c r="E141" s="2526"/>
      <c r="F141" s="1960" t="s">
        <v>2112</v>
      </c>
      <c r="G141" s="2526" t="s">
        <v>2150</v>
      </c>
      <c r="H141" s="2526"/>
      <c r="I141" s="2526"/>
      <c r="J141" s="2526"/>
      <c r="L141" s="2525">
        <v>0</v>
      </c>
      <c r="M141" s="2525"/>
      <c r="N141" s="2525">
        <v>0</v>
      </c>
      <c r="O141" s="2525"/>
      <c r="P141" s="2525">
        <v>0</v>
      </c>
      <c r="Q141" s="2525"/>
      <c r="R141" s="2525">
        <v>0</v>
      </c>
      <c r="S141" s="2525"/>
      <c r="T141" s="2525">
        <v>0</v>
      </c>
      <c r="U141" s="2525"/>
      <c r="V141" s="1961">
        <v>0</v>
      </c>
      <c r="W141" s="1962" t="s">
        <v>2114</v>
      </c>
    </row>
    <row r="142" spans="1:23" ht="11.25" customHeight="1" x14ac:dyDescent="0.2">
      <c r="A142" s="2526" t="s">
        <v>2357</v>
      </c>
      <c r="B142" s="2526"/>
      <c r="C142" s="2526"/>
      <c r="D142" s="2526"/>
      <c r="E142" s="2526"/>
      <c r="F142" s="1960" t="s">
        <v>2112</v>
      </c>
      <c r="G142" s="2526" t="s">
        <v>2174</v>
      </c>
      <c r="H142" s="2526"/>
      <c r="I142" s="2526"/>
      <c r="J142" s="2526"/>
      <c r="L142" s="2525">
        <v>0</v>
      </c>
      <c r="M142" s="2525"/>
      <c r="N142" s="2525">
        <v>0</v>
      </c>
      <c r="O142" s="2525"/>
      <c r="P142" s="2525">
        <v>0</v>
      </c>
      <c r="Q142" s="2525"/>
      <c r="R142" s="2525">
        <v>0</v>
      </c>
      <c r="S142" s="2525"/>
      <c r="T142" s="2525">
        <v>0</v>
      </c>
      <c r="U142" s="2525"/>
      <c r="V142" s="1961">
        <v>0</v>
      </c>
      <c r="W142" s="1962" t="s">
        <v>2114</v>
      </c>
    </row>
    <row r="143" spans="1:23" ht="2.25" customHeight="1" x14ac:dyDescent="0.2"/>
    <row r="144" spans="1:23" ht="13.5" customHeight="1" x14ac:dyDescent="0.2">
      <c r="A144" s="2523" t="s">
        <v>2358</v>
      </c>
      <c r="B144" s="2523"/>
      <c r="C144" s="2523"/>
      <c r="D144" s="2523"/>
      <c r="E144" s="2523"/>
      <c r="F144" s="2523"/>
      <c r="G144" s="2523"/>
      <c r="H144" s="2523"/>
      <c r="I144" s="2523"/>
      <c r="L144" s="2524">
        <v>0</v>
      </c>
      <c r="M144" s="2524"/>
      <c r="N144" s="2524">
        <v>0</v>
      </c>
      <c r="O144" s="2524"/>
      <c r="P144" s="2524">
        <v>0</v>
      </c>
      <c r="Q144" s="2524"/>
      <c r="R144" s="2524">
        <v>0</v>
      </c>
      <c r="S144" s="2524"/>
      <c r="T144" s="2524">
        <v>0</v>
      </c>
      <c r="U144" s="2524"/>
      <c r="V144" s="1963">
        <v>0</v>
      </c>
    </row>
    <row r="145" spans="1:23" ht="15.75" customHeight="1" x14ac:dyDescent="0.2">
      <c r="A145" s="1959"/>
      <c r="B145" s="2527" t="s">
        <v>359</v>
      </c>
      <c r="C145" s="2527"/>
      <c r="D145" s="2527"/>
      <c r="E145" s="2527"/>
      <c r="F145" s="2527"/>
      <c r="G145" s="2527"/>
      <c r="H145" s="2527"/>
      <c r="I145" s="2527"/>
      <c r="J145" s="2527"/>
      <c r="K145" s="2527"/>
      <c r="L145" s="2527"/>
      <c r="M145" s="2527"/>
      <c r="N145" s="2527"/>
      <c r="O145" s="2527"/>
      <c r="P145" s="2527"/>
      <c r="Q145" s="2527"/>
      <c r="R145" s="2527"/>
      <c r="S145" s="2527"/>
      <c r="T145" s="2527"/>
      <c r="U145" s="2527"/>
      <c r="V145" s="2527"/>
    </row>
    <row r="146" spans="1:23" ht="11.25" customHeight="1" x14ac:dyDescent="0.2">
      <c r="A146" s="2526" t="s">
        <v>2359</v>
      </c>
      <c r="B146" s="2526"/>
      <c r="C146" s="2526"/>
      <c r="D146" s="2526"/>
      <c r="E146" s="2526"/>
      <c r="F146" s="1960" t="s">
        <v>2112</v>
      </c>
      <c r="G146" s="2526" t="s">
        <v>2300</v>
      </c>
      <c r="H146" s="2526"/>
      <c r="I146" s="2526"/>
      <c r="J146" s="2526"/>
      <c r="L146" s="2525">
        <v>0</v>
      </c>
      <c r="M146" s="2525"/>
      <c r="N146" s="2525">
        <v>0</v>
      </c>
      <c r="O146" s="2525"/>
      <c r="P146" s="2525">
        <v>0</v>
      </c>
      <c r="Q146" s="2525"/>
      <c r="R146" s="2525">
        <v>0</v>
      </c>
      <c r="S146" s="2525"/>
      <c r="T146" s="2525">
        <v>0</v>
      </c>
      <c r="U146" s="2525"/>
      <c r="V146" s="1961">
        <v>0</v>
      </c>
      <c r="W146" s="1962" t="s">
        <v>2114</v>
      </c>
    </row>
    <row r="147" spans="1:23" ht="11.25" customHeight="1" x14ac:dyDescent="0.2">
      <c r="A147" s="2526" t="s">
        <v>2360</v>
      </c>
      <c r="B147" s="2526"/>
      <c r="C147" s="2526"/>
      <c r="D147" s="2526"/>
      <c r="E147" s="2526"/>
      <c r="F147" s="1960" t="s">
        <v>2112</v>
      </c>
      <c r="G147" s="2526" t="s">
        <v>2302</v>
      </c>
      <c r="H147" s="2526"/>
      <c r="I147" s="2526"/>
      <c r="J147" s="2526"/>
      <c r="L147" s="2525">
        <v>0</v>
      </c>
      <c r="M147" s="2525"/>
      <c r="N147" s="2525">
        <v>0</v>
      </c>
      <c r="O147" s="2525"/>
      <c r="P147" s="2525">
        <v>0</v>
      </c>
      <c r="Q147" s="2525"/>
      <c r="R147" s="2525">
        <v>0</v>
      </c>
      <c r="S147" s="2525"/>
      <c r="T147" s="2525">
        <v>0</v>
      </c>
      <c r="U147" s="2525"/>
      <c r="V147" s="1961">
        <v>0</v>
      </c>
      <c r="W147" s="1962" t="s">
        <v>2114</v>
      </c>
    </row>
    <row r="148" spans="1:23" ht="11.25" customHeight="1" x14ac:dyDescent="0.2">
      <c r="A148" s="2526" t="s">
        <v>2361</v>
      </c>
      <c r="B148" s="2526"/>
      <c r="C148" s="2526"/>
      <c r="D148" s="2526"/>
      <c r="E148" s="2526"/>
      <c r="F148" s="1960" t="s">
        <v>2112</v>
      </c>
      <c r="G148" s="2526" t="s">
        <v>2300</v>
      </c>
      <c r="H148" s="2526"/>
      <c r="I148" s="2526"/>
      <c r="J148" s="2526"/>
      <c r="L148" s="2525">
        <v>0</v>
      </c>
      <c r="M148" s="2525"/>
      <c r="N148" s="2525">
        <v>0</v>
      </c>
      <c r="O148" s="2525"/>
      <c r="P148" s="2525">
        <v>9885.93</v>
      </c>
      <c r="Q148" s="2525"/>
      <c r="R148" s="2525">
        <v>9885.93</v>
      </c>
      <c r="S148" s="2525"/>
      <c r="T148" s="2525">
        <v>10001</v>
      </c>
      <c r="U148" s="2525"/>
      <c r="V148" s="1961">
        <v>98.849415058494145</v>
      </c>
      <c r="W148" s="1962" t="s">
        <v>2114</v>
      </c>
    </row>
    <row r="149" spans="1:23" ht="11.25" customHeight="1" x14ac:dyDescent="0.2">
      <c r="A149" s="2526" t="s">
        <v>2362</v>
      </c>
      <c r="B149" s="2526"/>
      <c r="C149" s="2526"/>
      <c r="D149" s="2526"/>
      <c r="E149" s="2526"/>
      <c r="F149" s="1960" t="s">
        <v>2112</v>
      </c>
      <c r="G149" s="2526" t="s">
        <v>2363</v>
      </c>
      <c r="H149" s="2526"/>
      <c r="I149" s="2526"/>
      <c r="J149" s="2526"/>
      <c r="L149" s="2525">
        <v>0</v>
      </c>
      <c r="M149" s="2525"/>
      <c r="N149" s="2525">
        <v>0</v>
      </c>
      <c r="O149" s="2525"/>
      <c r="P149" s="2525">
        <v>0</v>
      </c>
      <c r="Q149" s="2525"/>
      <c r="R149" s="2525">
        <v>0</v>
      </c>
      <c r="S149" s="2525"/>
      <c r="T149" s="2525">
        <v>0</v>
      </c>
      <c r="U149" s="2525"/>
      <c r="V149" s="1961">
        <v>0</v>
      </c>
      <c r="W149" s="1962" t="s">
        <v>2114</v>
      </c>
    </row>
    <row r="150" spans="1:23" ht="11.25" customHeight="1" x14ac:dyDescent="0.2">
      <c r="A150" s="2526" t="s">
        <v>2364</v>
      </c>
      <c r="B150" s="2526"/>
      <c r="C150" s="2526"/>
      <c r="D150" s="2526"/>
      <c r="E150" s="2526"/>
      <c r="F150" s="1960" t="s">
        <v>2112</v>
      </c>
      <c r="G150" s="2526" t="s">
        <v>2304</v>
      </c>
      <c r="H150" s="2526"/>
      <c r="I150" s="2526"/>
      <c r="J150" s="2526"/>
      <c r="L150" s="2525">
        <v>0</v>
      </c>
      <c r="M150" s="2525"/>
      <c r="N150" s="2525">
        <v>0</v>
      </c>
      <c r="O150" s="2525"/>
      <c r="P150" s="2525">
        <v>0</v>
      </c>
      <c r="Q150" s="2525"/>
      <c r="R150" s="2525">
        <v>0</v>
      </c>
      <c r="S150" s="2525"/>
      <c r="T150" s="2525">
        <v>0</v>
      </c>
      <c r="U150" s="2525"/>
      <c r="V150" s="1961">
        <v>0</v>
      </c>
      <c r="W150" s="1962" t="s">
        <v>2114</v>
      </c>
    </row>
    <row r="151" spans="1:23" ht="11.25" customHeight="1" x14ac:dyDescent="0.2">
      <c r="A151" s="2526" t="s">
        <v>2365</v>
      </c>
      <c r="B151" s="2526"/>
      <c r="C151" s="2526"/>
      <c r="D151" s="2526"/>
      <c r="E151" s="2526"/>
      <c r="F151" s="1960" t="s">
        <v>2112</v>
      </c>
      <c r="G151" s="2526" t="s">
        <v>2366</v>
      </c>
      <c r="H151" s="2526"/>
      <c r="I151" s="2526"/>
      <c r="J151" s="2526"/>
      <c r="L151" s="2525">
        <v>0</v>
      </c>
      <c r="M151" s="2525"/>
      <c r="N151" s="2525">
        <v>0</v>
      </c>
      <c r="O151" s="2525"/>
      <c r="P151" s="2525">
        <v>0</v>
      </c>
      <c r="Q151" s="2525"/>
      <c r="R151" s="2525">
        <v>0</v>
      </c>
      <c r="S151" s="2525"/>
      <c r="T151" s="2525">
        <v>0</v>
      </c>
      <c r="U151" s="2525"/>
      <c r="V151" s="1961">
        <v>0</v>
      </c>
      <c r="W151" s="1962" t="s">
        <v>2114</v>
      </c>
    </row>
    <row r="152" spans="1:23" ht="11.25" customHeight="1" x14ac:dyDescent="0.2">
      <c r="A152" s="2526" t="s">
        <v>2367</v>
      </c>
      <c r="B152" s="2526"/>
      <c r="C152" s="2526"/>
      <c r="D152" s="2526"/>
      <c r="E152" s="2526"/>
      <c r="F152" s="1960" t="s">
        <v>2112</v>
      </c>
      <c r="G152" s="2526" t="s">
        <v>2368</v>
      </c>
      <c r="H152" s="2526"/>
      <c r="I152" s="2526"/>
      <c r="J152" s="2526"/>
      <c r="L152" s="2525">
        <v>0</v>
      </c>
      <c r="M152" s="2525"/>
      <c r="N152" s="2525">
        <v>0</v>
      </c>
      <c r="O152" s="2525"/>
      <c r="P152" s="2525">
        <v>10500</v>
      </c>
      <c r="Q152" s="2525"/>
      <c r="R152" s="2525">
        <v>10500</v>
      </c>
      <c r="S152" s="2525"/>
      <c r="T152" s="2525">
        <v>10500</v>
      </c>
      <c r="U152" s="2525"/>
      <c r="V152" s="1961">
        <v>100</v>
      </c>
      <c r="W152" s="1962" t="s">
        <v>2114</v>
      </c>
    </row>
    <row r="153" spans="1:23" ht="11.25" customHeight="1" x14ac:dyDescent="0.2">
      <c r="A153" s="2526" t="s">
        <v>2369</v>
      </c>
      <c r="B153" s="2526"/>
      <c r="C153" s="2526"/>
      <c r="D153" s="2526"/>
      <c r="E153" s="2526"/>
      <c r="F153" s="1960" t="s">
        <v>2112</v>
      </c>
      <c r="G153" s="2526" t="s">
        <v>2370</v>
      </c>
      <c r="H153" s="2526"/>
      <c r="I153" s="2526"/>
      <c r="J153" s="2526"/>
      <c r="L153" s="2525">
        <v>0</v>
      </c>
      <c r="M153" s="2525"/>
      <c r="N153" s="2525">
        <v>0</v>
      </c>
      <c r="O153" s="2525"/>
      <c r="P153" s="2525">
        <v>0</v>
      </c>
      <c r="Q153" s="2525"/>
      <c r="R153" s="2525">
        <v>0</v>
      </c>
      <c r="S153" s="2525"/>
      <c r="T153" s="2525">
        <v>0</v>
      </c>
      <c r="U153" s="2525"/>
      <c r="V153" s="1961">
        <v>0</v>
      </c>
      <c r="W153" s="1962" t="s">
        <v>2114</v>
      </c>
    </row>
    <row r="154" spans="1:23" ht="11.25" customHeight="1" x14ac:dyDescent="0.2">
      <c r="A154" s="2526" t="s">
        <v>2371</v>
      </c>
      <c r="B154" s="2526"/>
      <c r="C154" s="2526"/>
      <c r="D154" s="2526"/>
      <c r="E154" s="2526"/>
      <c r="F154" s="1960" t="s">
        <v>2112</v>
      </c>
      <c r="G154" s="2526" t="s">
        <v>2372</v>
      </c>
      <c r="H154" s="2526"/>
      <c r="I154" s="2526"/>
      <c r="J154" s="2526"/>
      <c r="L154" s="2525">
        <v>0</v>
      </c>
      <c r="M154" s="2525"/>
      <c r="N154" s="2525">
        <v>0</v>
      </c>
      <c r="O154" s="2525"/>
      <c r="P154" s="2525">
        <v>0</v>
      </c>
      <c r="Q154" s="2525"/>
      <c r="R154" s="2525">
        <v>0</v>
      </c>
      <c r="S154" s="2525"/>
      <c r="T154" s="2525">
        <v>0</v>
      </c>
      <c r="U154" s="2525"/>
      <c r="V154" s="1961">
        <v>0</v>
      </c>
      <c r="W154" s="1962" t="s">
        <v>2114</v>
      </c>
    </row>
    <row r="155" spans="1:23" ht="11.25" customHeight="1" x14ac:dyDescent="0.2">
      <c r="A155" s="2526" t="s">
        <v>2373</v>
      </c>
      <c r="B155" s="2526"/>
      <c r="C155" s="2526"/>
      <c r="D155" s="2526"/>
      <c r="E155" s="2526"/>
      <c r="F155" s="1960" t="s">
        <v>2112</v>
      </c>
      <c r="G155" s="2526" t="s">
        <v>2355</v>
      </c>
      <c r="H155" s="2526"/>
      <c r="I155" s="2526"/>
      <c r="J155" s="2526"/>
      <c r="L155" s="2525">
        <v>0</v>
      </c>
      <c r="M155" s="2525"/>
      <c r="N155" s="2525">
        <v>0</v>
      </c>
      <c r="O155" s="2525"/>
      <c r="P155" s="2525">
        <v>626.91999999999996</v>
      </c>
      <c r="Q155" s="2525"/>
      <c r="R155" s="2525">
        <v>626.91999999999996</v>
      </c>
      <c r="S155" s="2525"/>
      <c r="T155" s="2525">
        <v>150</v>
      </c>
      <c r="U155" s="2525"/>
      <c r="V155" s="1961">
        <v>417.94666666666666</v>
      </c>
      <c r="W155" s="1962" t="s">
        <v>2114</v>
      </c>
    </row>
    <row r="156" spans="1:23" ht="11.25" customHeight="1" x14ac:dyDescent="0.2">
      <c r="A156" s="2526" t="s">
        <v>2374</v>
      </c>
      <c r="B156" s="2526"/>
      <c r="C156" s="2526"/>
      <c r="D156" s="2526"/>
      <c r="E156" s="2526"/>
      <c r="F156" s="1960" t="s">
        <v>2112</v>
      </c>
      <c r="G156" s="2526" t="s">
        <v>2152</v>
      </c>
      <c r="H156" s="2526"/>
      <c r="I156" s="2526"/>
      <c r="J156" s="2526"/>
      <c r="L156" s="2525">
        <v>0</v>
      </c>
      <c r="M156" s="2525"/>
      <c r="N156" s="2525">
        <v>0</v>
      </c>
      <c r="O156" s="2525"/>
      <c r="P156" s="2525">
        <v>0</v>
      </c>
      <c r="Q156" s="2525"/>
      <c r="R156" s="2525">
        <v>0</v>
      </c>
      <c r="S156" s="2525"/>
      <c r="T156" s="2525">
        <v>0</v>
      </c>
      <c r="U156" s="2525"/>
      <c r="V156" s="1961">
        <v>0</v>
      </c>
      <c r="W156" s="1962" t="s">
        <v>2114</v>
      </c>
    </row>
    <row r="157" spans="1:23" ht="11.25" customHeight="1" x14ac:dyDescent="0.2">
      <c r="A157" s="2526" t="s">
        <v>2375</v>
      </c>
      <c r="B157" s="2526"/>
      <c r="C157" s="2526"/>
      <c r="D157" s="2526"/>
      <c r="E157" s="2526"/>
      <c r="F157" s="1960" t="s">
        <v>2112</v>
      </c>
      <c r="G157" s="2526" t="s">
        <v>2376</v>
      </c>
      <c r="H157" s="2526"/>
      <c r="I157" s="2526"/>
      <c r="J157" s="2526"/>
      <c r="L157" s="2525">
        <v>0</v>
      </c>
      <c r="M157" s="2525"/>
      <c r="N157" s="2525">
        <v>0</v>
      </c>
      <c r="O157" s="2525"/>
      <c r="P157" s="2525">
        <v>0</v>
      </c>
      <c r="Q157" s="2525"/>
      <c r="R157" s="2525">
        <v>0</v>
      </c>
      <c r="S157" s="2525"/>
      <c r="T157" s="2525">
        <v>0</v>
      </c>
      <c r="U157" s="2525"/>
      <c r="V157" s="1961">
        <v>0</v>
      </c>
      <c r="W157" s="1962" t="s">
        <v>2114</v>
      </c>
    </row>
    <row r="158" spans="1:23" ht="11.25" customHeight="1" x14ac:dyDescent="0.2">
      <c r="A158" s="2526" t="s">
        <v>2377</v>
      </c>
      <c r="B158" s="2526"/>
      <c r="C158" s="2526"/>
      <c r="D158" s="2526"/>
      <c r="E158" s="2526"/>
      <c r="F158" s="1960" t="s">
        <v>2112</v>
      </c>
      <c r="G158" s="2526" t="s">
        <v>2148</v>
      </c>
      <c r="H158" s="2526"/>
      <c r="I158" s="2526"/>
      <c r="J158" s="2526"/>
      <c r="L158" s="2525">
        <v>0</v>
      </c>
      <c r="M158" s="2525"/>
      <c r="N158" s="2525">
        <v>0</v>
      </c>
      <c r="O158" s="2525"/>
      <c r="P158" s="2525">
        <v>0</v>
      </c>
      <c r="Q158" s="2525"/>
      <c r="R158" s="2525">
        <v>0</v>
      </c>
      <c r="S158" s="2525"/>
      <c r="T158" s="2525">
        <v>0</v>
      </c>
      <c r="U158" s="2525"/>
      <c r="V158" s="1961">
        <v>0</v>
      </c>
      <c r="W158" s="1962" t="s">
        <v>2114</v>
      </c>
    </row>
    <row r="159" spans="1:23" ht="11.25" customHeight="1" x14ac:dyDescent="0.2">
      <c r="A159" s="2526" t="s">
        <v>2378</v>
      </c>
      <c r="B159" s="2526"/>
      <c r="C159" s="2526"/>
      <c r="D159" s="2526"/>
      <c r="E159" s="2526"/>
      <c r="F159" s="1960" t="s">
        <v>2112</v>
      </c>
      <c r="G159" s="2526" t="s">
        <v>2379</v>
      </c>
      <c r="H159" s="2526"/>
      <c r="I159" s="2526"/>
      <c r="J159" s="2526"/>
      <c r="L159" s="2525">
        <v>0</v>
      </c>
      <c r="M159" s="2525"/>
      <c r="N159" s="2525">
        <v>0</v>
      </c>
      <c r="O159" s="2525"/>
      <c r="P159" s="2525">
        <v>152220.63</v>
      </c>
      <c r="Q159" s="2525"/>
      <c r="R159" s="2525">
        <v>152220.63</v>
      </c>
      <c r="S159" s="2525"/>
      <c r="T159" s="2525">
        <v>126914</v>
      </c>
      <c r="U159" s="2525"/>
      <c r="V159" s="1961">
        <v>119.93998298060103</v>
      </c>
      <c r="W159" s="1962" t="s">
        <v>2114</v>
      </c>
    </row>
    <row r="160" spans="1:23" ht="11.25" customHeight="1" x14ac:dyDescent="0.2">
      <c r="A160" s="2526" t="s">
        <v>2380</v>
      </c>
      <c r="B160" s="2526"/>
      <c r="C160" s="2526"/>
      <c r="D160" s="2526"/>
      <c r="E160" s="2526"/>
      <c r="F160" s="1960" t="s">
        <v>657</v>
      </c>
      <c r="G160" s="2526" t="s">
        <v>2381</v>
      </c>
      <c r="H160" s="2526"/>
      <c r="I160" s="2526"/>
      <c r="J160" s="2526"/>
      <c r="L160" s="2525">
        <v>0</v>
      </c>
      <c r="M160" s="2525"/>
      <c r="N160" s="2525">
        <v>0</v>
      </c>
      <c r="O160" s="2525"/>
      <c r="P160" s="2525">
        <v>34369.74</v>
      </c>
      <c r="Q160" s="2525"/>
      <c r="R160" s="2525">
        <v>34369.74</v>
      </c>
      <c r="S160" s="2525"/>
      <c r="T160" s="2525">
        <v>20000</v>
      </c>
      <c r="U160" s="2525"/>
      <c r="V160" s="1961">
        <v>171.84870000000004</v>
      </c>
      <c r="W160" s="1962" t="s">
        <v>2114</v>
      </c>
    </row>
    <row r="161" spans="1:23" ht="11.25" customHeight="1" x14ac:dyDescent="0.2">
      <c r="A161" s="2526" t="s">
        <v>2382</v>
      </c>
      <c r="B161" s="2526"/>
      <c r="C161" s="2526"/>
      <c r="D161" s="2526"/>
      <c r="E161" s="2526"/>
      <c r="F161" s="1960" t="s">
        <v>657</v>
      </c>
      <c r="G161" s="2526" t="s">
        <v>2383</v>
      </c>
      <c r="H161" s="2526"/>
      <c r="I161" s="2526"/>
      <c r="J161" s="2526"/>
      <c r="L161" s="2525">
        <v>0</v>
      </c>
      <c r="M161" s="2525"/>
      <c r="N161" s="2525">
        <v>0</v>
      </c>
      <c r="O161" s="2525"/>
      <c r="P161" s="2525">
        <v>8077.52</v>
      </c>
      <c r="Q161" s="2525"/>
      <c r="R161" s="2525">
        <v>8077.52</v>
      </c>
      <c r="S161" s="2525"/>
      <c r="T161" s="2525">
        <v>0</v>
      </c>
      <c r="U161" s="2525"/>
      <c r="V161" s="1961">
        <v>0</v>
      </c>
      <c r="W161" s="1962" t="s">
        <v>2114</v>
      </c>
    </row>
    <row r="162" spans="1:23" ht="11.25" customHeight="1" x14ac:dyDescent="0.2">
      <c r="A162" s="2526" t="s">
        <v>2384</v>
      </c>
      <c r="B162" s="2526"/>
      <c r="C162" s="2526"/>
      <c r="D162" s="2526"/>
      <c r="E162" s="2526"/>
      <c r="F162" s="1960" t="s">
        <v>1101</v>
      </c>
      <c r="G162" s="2526" t="s">
        <v>2385</v>
      </c>
      <c r="H162" s="2526"/>
      <c r="I162" s="2526"/>
      <c r="J162" s="2526"/>
      <c r="L162" s="2525">
        <v>0</v>
      </c>
      <c r="M162" s="2525"/>
      <c r="N162" s="2525">
        <v>0</v>
      </c>
      <c r="O162" s="2525"/>
      <c r="P162" s="2525">
        <v>15979.08</v>
      </c>
      <c r="Q162" s="2525"/>
      <c r="R162" s="2525">
        <v>15979.08</v>
      </c>
      <c r="S162" s="2525"/>
      <c r="T162" s="2525">
        <v>0</v>
      </c>
      <c r="U162" s="2525"/>
      <c r="V162" s="1961">
        <v>0</v>
      </c>
      <c r="W162" s="1962" t="s">
        <v>2114</v>
      </c>
    </row>
    <row r="163" spans="1:23" ht="11.25" customHeight="1" x14ac:dyDescent="0.2">
      <c r="A163" s="2526" t="s">
        <v>2386</v>
      </c>
      <c r="B163" s="2526"/>
      <c r="C163" s="2526"/>
      <c r="D163" s="2526"/>
      <c r="E163" s="2526"/>
      <c r="F163" s="1960" t="s">
        <v>1101</v>
      </c>
      <c r="G163" s="2526" t="s">
        <v>2387</v>
      </c>
      <c r="H163" s="2526"/>
      <c r="I163" s="2526"/>
      <c r="J163" s="2526"/>
      <c r="L163" s="2525">
        <v>0</v>
      </c>
      <c r="M163" s="2525"/>
      <c r="N163" s="2525">
        <v>0</v>
      </c>
      <c r="O163" s="2525"/>
      <c r="P163" s="2525">
        <v>19602.98</v>
      </c>
      <c r="Q163" s="2525"/>
      <c r="R163" s="2525">
        <v>19602.98</v>
      </c>
      <c r="S163" s="2525"/>
      <c r="T163" s="2525">
        <v>0</v>
      </c>
      <c r="U163" s="2525"/>
      <c r="V163" s="1961">
        <v>0</v>
      </c>
      <c r="W163" s="1962" t="s">
        <v>2114</v>
      </c>
    </row>
    <row r="164" spans="1:23" ht="11.25" customHeight="1" x14ac:dyDescent="0.2">
      <c r="A164" s="2526" t="s">
        <v>2388</v>
      </c>
      <c r="B164" s="2526"/>
      <c r="C164" s="2526"/>
      <c r="D164" s="2526"/>
      <c r="E164" s="2526"/>
      <c r="F164" s="1960" t="s">
        <v>2212</v>
      </c>
      <c r="G164" s="2526" t="s">
        <v>2389</v>
      </c>
      <c r="H164" s="2526"/>
      <c r="I164" s="2526"/>
      <c r="J164" s="2526"/>
      <c r="L164" s="2525">
        <v>0</v>
      </c>
      <c r="M164" s="2525"/>
      <c r="N164" s="2525">
        <v>0</v>
      </c>
      <c r="O164" s="2525"/>
      <c r="P164" s="2525">
        <v>0</v>
      </c>
      <c r="Q164" s="2525"/>
      <c r="R164" s="2525">
        <v>0</v>
      </c>
      <c r="S164" s="2525"/>
      <c r="T164" s="2525">
        <v>0</v>
      </c>
      <c r="U164" s="2525"/>
      <c r="V164" s="1961">
        <v>0</v>
      </c>
      <c r="W164" s="1962" t="s">
        <v>2114</v>
      </c>
    </row>
    <row r="165" spans="1:23" ht="11.25" customHeight="1" x14ac:dyDescent="0.2">
      <c r="A165" s="2526" t="s">
        <v>2390</v>
      </c>
      <c r="B165" s="2526"/>
      <c r="C165" s="2526"/>
      <c r="D165" s="2526"/>
      <c r="E165" s="2526"/>
      <c r="F165" s="1960" t="s">
        <v>2112</v>
      </c>
      <c r="G165" s="2526" t="s">
        <v>2391</v>
      </c>
      <c r="H165" s="2526"/>
      <c r="I165" s="2526"/>
      <c r="J165" s="2526"/>
      <c r="L165" s="2525">
        <v>0</v>
      </c>
      <c r="M165" s="2525"/>
      <c r="N165" s="2525">
        <v>0</v>
      </c>
      <c r="O165" s="2525"/>
      <c r="P165" s="2525">
        <v>0</v>
      </c>
      <c r="Q165" s="2525"/>
      <c r="R165" s="2525">
        <v>0</v>
      </c>
      <c r="S165" s="2525"/>
      <c r="T165" s="2525">
        <v>0</v>
      </c>
      <c r="U165" s="2525"/>
      <c r="V165" s="1961">
        <v>0</v>
      </c>
      <c r="W165" s="1962" t="s">
        <v>2114</v>
      </c>
    </row>
    <row r="166" spans="1:23" ht="11.25" customHeight="1" x14ac:dyDescent="0.2">
      <c r="A166" s="2526" t="s">
        <v>2392</v>
      </c>
      <c r="B166" s="2526"/>
      <c r="C166" s="2526"/>
      <c r="D166" s="2526"/>
      <c r="E166" s="2526"/>
      <c r="F166" s="1960" t="s">
        <v>2112</v>
      </c>
      <c r="G166" s="2526" t="s">
        <v>2391</v>
      </c>
      <c r="H166" s="2526"/>
      <c r="I166" s="2526"/>
      <c r="J166" s="2526"/>
      <c r="L166" s="2525">
        <v>0</v>
      </c>
      <c r="M166" s="2525"/>
      <c r="N166" s="2525">
        <v>0</v>
      </c>
      <c r="O166" s="2525"/>
      <c r="P166" s="2525">
        <v>0</v>
      </c>
      <c r="Q166" s="2525"/>
      <c r="R166" s="2525">
        <v>0</v>
      </c>
      <c r="S166" s="2525"/>
      <c r="T166" s="2525">
        <v>0</v>
      </c>
      <c r="U166" s="2525"/>
      <c r="V166" s="1961">
        <v>0</v>
      </c>
      <c r="W166" s="1962" t="s">
        <v>2114</v>
      </c>
    </row>
    <row r="167" spans="1:23" ht="2.25" customHeight="1" x14ac:dyDescent="0.2"/>
    <row r="168" spans="1:23" ht="13.5" customHeight="1" x14ac:dyDescent="0.2">
      <c r="A168" s="2523" t="s">
        <v>2393</v>
      </c>
      <c r="B168" s="2523"/>
      <c r="C168" s="2523"/>
      <c r="D168" s="2523"/>
      <c r="E168" s="2523"/>
      <c r="F168" s="2523"/>
      <c r="G168" s="2523"/>
      <c r="H168" s="2523"/>
      <c r="I168" s="2523"/>
      <c r="L168" s="2524">
        <v>0</v>
      </c>
      <c r="M168" s="2524"/>
      <c r="N168" s="2524">
        <v>0</v>
      </c>
      <c r="O168" s="2524"/>
      <c r="P168" s="2524">
        <v>251262.80000000002</v>
      </c>
      <c r="Q168" s="2524"/>
      <c r="R168" s="2524">
        <v>251262.80000000002</v>
      </c>
      <c r="S168" s="2524"/>
      <c r="T168" s="2524">
        <v>167565</v>
      </c>
      <c r="U168" s="2524"/>
      <c r="V168" s="1963">
        <v>149.94945245128756</v>
      </c>
    </row>
    <row r="169" spans="1:23" ht="15.75" customHeight="1" x14ac:dyDescent="0.2">
      <c r="A169" s="1959"/>
      <c r="B169" s="2527" t="s">
        <v>2394</v>
      </c>
      <c r="C169" s="2527"/>
      <c r="D169" s="2527"/>
      <c r="E169" s="2527"/>
      <c r="F169" s="2527"/>
      <c r="G169" s="2527"/>
      <c r="H169" s="2527"/>
      <c r="I169" s="2527"/>
      <c r="J169" s="2527"/>
      <c r="K169" s="2527"/>
      <c r="L169" s="2527"/>
      <c r="M169" s="2527"/>
      <c r="N169" s="2527"/>
      <c r="O169" s="2527"/>
      <c r="P169" s="2527"/>
      <c r="Q169" s="2527"/>
      <c r="R169" s="2527"/>
      <c r="S169" s="2527"/>
      <c r="T169" s="2527"/>
      <c r="U169" s="2527"/>
      <c r="V169" s="2527"/>
    </row>
    <row r="170" spans="1:23" ht="11.25" customHeight="1" x14ac:dyDescent="0.2">
      <c r="A170" s="2526" t="s">
        <v>2395</v>
      </c>
      <c r="B170" s="2526"/>
      <c r="C170" s="2526"/>
      <c r="D170" s="2526"/>
      <c r="E170" s="2526"/>
      <c r="F170" s="1960" t="s">
        <v>2112</v>
      </c>
      <c r="G170" s="2526" t="s">
        <v>2300</v>
      </c>
      <c r="H170" s="2526"/>
      <c r="I170" s="2526"/>
      <c r="J170" s="2526"/>
      <c r="L170" s="2525">
        <v>0</v>
      </c>
      <c r="M170" s="2525"/>
      <c r="N170" s="2525">
        <v>0</v>
      </c>
      <c r="O170" s="2525"/>
      <c r="P170" s="2525">
        <v>0</v>
      </c>
      <c r="Q170" s="2525"/>
      <c r="R170" s="2525">
        <v>0</v>
      </c>
      <c r="S170" s="2525"/>
      <c r="T170" s="2525">
        <v>0</v>
      </c>
      <c r="U170" s="2525"/>
      <c r="V170" s="1961">
        <v>0</v>
      </c>
      <c r="W170" s="1962" t="s">
        <v>2114</v>
      </c>
    </row>
    <row r="171" spans="1:23" ht="11.25" customHeight="1" x14ac:dyDescent="0.2">
      <c r="A171" s="2526" t="s">
        <v>2396</v>
      </c>
      <c r="B171" s="2526"/>
      <c r="C171" s="2526"/>
      <c r="D171" s="2526"/>
      <c r="E171" s="2526"/>
      <c r="F171" s="1960" t="s">
        <v>2112</v>
      </c>
      <c r="G171" s="2526" t="s">
        <v>2397</v>
      </c>
      <c r="H171" s="2526"/>
      <c r="I171" s="2526"/>
      <c r="J171" s="2526"/>
      <c r="L171" s="2525">
        <v>0</v>
      </c>
      <c r="M171" s="2525"/>
      <c r="N171" s="2525">
        <v>0</v>
      </c>
      <c r="O171" s="2525"/>
      <c r="P171" s="2525">
        <v>0</v>
      </c>
      <c r="Q171" s="2525"/>
      <c r="R171" s="2525">
        <v>0</v>
      </c>
      <c r="S171" s="2525"/>
      <c r="T171" s="2525">
        <v>0</v>
      </c>
      <c r="U171" s="2525"/>
      <c r="V171" s="1961">
        <v>0</v>
      </c>
      <c r="W171" s="1962" t="s">
        <v>2114</v>
      </c>
    </row>
    <row r="172" spans="1:23" ht="11.25" customHeight="1" x14ac:dyDescent="0.2">
      <c r="A172" s="2526" t="s">
        <v>2398</v>
      </c>
      <c r="B172" s="2526"/>
      <c r="C172" s="2526"/>
      <c r="D172" s="2526"/>
      <c r="E172" s="2526"/>
      <c r="F172" s="1960" t="s">
        <v>2112</v>
      </c>
      <c r="G172" s="2526" t="s">
        <v>2300</v>
      </c>
      <c r="H172" s="2526"/>
      <c r="I172" s="2526"/>
      <c r="J172" s="2526"/>
      <c r="L172" s="2525">
        <v>0</v>
      </c>
      <c r="M172" s="2525"/>
      <c r="N172" s="2525">
        <v>0</v>
      </c>
      <c r="O172" s="2525"/>
      <c r="P172" s="2525">
        <v>989.69</v>
      </c>
      <c r="Q172" s="2525"/>
      <c r="R172" s="2525">
        <v>989.69</v>
      </c>
      <c r="S172" s="2525"/>
      <c r="T172" s="2525">
        <v>1001</v>
      </c>
      <c r="U172" s="2525"/>
      <c r="V172" s="1961">
        <v>98.870129870129873</v>
      </c>
      <c r="W172" s="1962" t="s">
        <v>2114</v>
      </c>
    </row>
    <row r="173" spans="1:23" ht="11.25" customHeight="1" x14ac:dyDescent="0.2">
      <c r="A173" s="2526" t="s">
        <v>2399</v>
      </c>
      <c r="B173" s="2526"/>
      <c r="C173" s="2526"/>
      <c r="D173" s="2526"/>
      <c r="E173" s="2526"/>
      <c r="F173" s="1960" t="s">
        <v>2112</v>
      </c>
      <c r="G173" s="2526" t="s">
        <v>2298</v>
      </c>
      <c r="H173" s="2526"/>
      <c r="I173" s="2526"/>
      <c r="J173" s="2526"/>
      <c r="L173" s="2525">
        <v>0</v>
      </c>
      <c r="M173" s="2525"/>
      <c r="N173" s="2525">
        <v>0</v>
      </c>
      <c r="O173" s="2525"/>
      <c r="P173" s="2525">
        <v>0</v>
      </c>
      <c r="Q173" s="2525"/>
      <c r="R173" s="2525">
        <v>0</v>
      </c>
      <c r="S173" s="2525"/>
      <c r="T173" s="2525">
        <v>0</v>
      </c>
      <c r="U173" s="2525"/>
      <c r="V173" s="1961">
        <v>0</v>
      </c>
      <c r="W173" s="1962" t="s">
        <v>2114</v>
      </c>
    </row>
    <row r="174" spans="1:23" ht="11.25" customHeight="1" x14ac:dyDescent="0.2">
      <c r="A174" s="2526" t="s">
        <v>2400</v>
      </c>
      <c r="B174" s="2526"/>
      <c r="C174" s="2526"/>
      <c r="D174" s="2526"/>
      <c r="E174" s="2526"/>
      <c r="F174" s="1960" t="s">
        <v>2112</v>
      </c>
      <c r="G174" s="2526" t="s">
        <v>2401</v>
      </c>
      <c r="H174" s="2526"/>
      <c r="I174" s="2526"/>
      <c r="J174" s="2526"/>
      <c r="L174" s="2525">
        <v>0</v>
      </c>
      <c r="M174" s="2525"/>
      <c r="N174" s="2525">
        <v>0</v>
      </c>
      <c r="O174" s="2525"/>
      <c r="P174" s="2525">
        <v>989.69</v>
      </c>
      <c r="Q174" s="2525"/>
      <c r="R174" s="2525">
        <v>989.69</v>
      </c>
      <c r="S174" s="2525"/>
      <c r="T174" s="2525">
        <v>1001</v>
      </c>
      <c r="U174" s="2525"/>
      <c r="V174" s="1961">
        <v>98.870129870129873</v>
      </c>
      <c r="W174" s="1962" t="s">
        <v>2114</v>
      </c>
    </row>
    <row r="175" spans="1:23" ht="11.25" customHeight="1" x14ac:dyDescent="0.2">
      <c r="A175" s="2526" t="s">
        <v>2402</v>
      </c>
      <c r="B175" s="2526"/>
      <c r="C175" s="2526"/>
      <c r="D175" s="2526"/>
      <c r="E175" s="2526"/>
      <c r="F175" s="1960" t="s">
        <v>2112</v>
      </c>
      <c r="G175" s="2526" t="s">
        <v>2403</v>
      </c>
      <c r="H175" s="2526"/>
      <c r="I175" s="2526"/>
      <c r="J175" s="2526"/>
      <c r="L175" s="2525">
        <v>0</v>
      </c>
      <c r="M175" s="2525"/>
      <c r="N175" s="2525">
        <v>0</v>
      </c>
      <c r="O175" s="2525"/>
      <c r="P175" s="2525">
        <v>0</v>
      </c>
      <c r="Q175" s="2525"/>
      <c r="R175" s="2525">
        <v>0</v>
      </c>
      <c r="S175" s="2525"/>
      <c r="T175" s="2525">
        <v>0</v>
      </c>
      <c r="U175" s="2525"/>
      <c r="V175" s="1961">
        <v>0</v>
      </c>
      <c r="W175" s="1962" t="s">
        <v>2114</v>
      </c>
    </row>
    <row r="176" spans="1:23" ht="11.25" customHeight="1" x14ac:dyDescent="0.2">
      <c r="A176" s="2526" t="s">
        <v>2404</v>
      </c>
      <c r="B176" s="2526"/>
      <c r="C176" s="2526"/>
      <c r="D176" s="2526"/>
      <c r="E176" s="2526"/>
      <c r="F176" s="1960" t="s">
        <v>2112</v>
      </c>
      <c r="G176" s="2526" t="s">
        <v>2368</v>
      </c>
      <c r="H176" s="2526"/>
      <c r="I176" s="2526"/>
      <c r="J176" s="2526"/>
      <c r="L176" s="2525">
        <v>0</v>
      </c>
      <c r="M176" s="2525"/>
      <c r="N176" s="2525">
        <v>0</v>
      </c>
      <c r="O176" s="2525"/>
      <c r="P176" s="2525">
        <v>5500</v>
      </c>
      <c r="Q176" s="2525"/>
      <c r="R176" s="2525">
        <v>5500</v>
      </c>
      <c r="S176" s="2525"/>
      <c r="T176" s="2525">
        <v>5500</v>
      </c>
      <c r="U176" s="2525"/>
      <c r="V176" s="1961">
        <v>100</v>
      </c>
      <c r="W176" s="1962" t="s">
        <v>2114</v>
      </c>
    </row>
    <row r="177" spans="1:23" ht="11.25" customHeight="1" x14ac:dyDescent="0.2">
      <c r="A177" s="2526" t="s">
        <v>2405</v>
      </c>
      <c r="B177" s="2526"/>
      <c r="C177" s="2526"/>
      <c r="D177" s="2526"/>
      <c r="E177" s="2526"/>
      <c r="F177" s="1960" t="s">
        <v>2112</v>
      </c>
      <c r="G177" s="2526" t="s">
        <v>2355</v>
      </c>
      <c r="H177" s="2526"/>
      <c r="I177" s="2526"/>
      <c r="J177" s="2526"/>
      <c r="L177" s="2525">
        <v>0</v>
      </c>
      <c r="M177" s="2525"/>
      <c r="N177" s="2525">
        <v>0</v>
      </c>
      <c r="O177" s="2525"/>
      <c r="P177" s="2525">
        <v>182.71</v>
      </c>
      <c r="Q177" s="2525"/>
      <c r="R177" s="2525">
        <v>182.71</v>
      </c>
      <c r="S177" s="2525"/>
      <c r="T177" s="2525">
        <v>150</v>
      </c>
      <c r="U177" s="2525"/>
      <c r="V177" s="1961">
        <v>121.80666666666669</v>
      </c>
      <c r="W177" s="1962" t="s">
        <v>2114</v>
      </c>
    </row>
    <row r="178" spans="1:23" ht="2.25" customHeight="1" x14ac:dyDescent="0.2"/>
    <row r="179" spans="1:23" ht="13.5" customHeight="1" x14ac:dyDescent="0.2">
      <c r="A179" s="2523" t="s">
        <v>2406</v>
      </c>
      <c r="B179" s="2523"/>
      <c r="C179" s="2523"/>
      <c r="D179" s="2523"/>
      <c r="E179" s="2523"/>
      <c r="F179" s="2523"/>
      <c r="G179" s="2523"/>
      <c r="H179" s="2523"/>
      <c r="I179" s="2523"/>
      <c r="L179" s="2524">
        <v>0</v>
      </c>
      <c r="M179" s="2524"/>
      <c r="N179" s="2524">
        <v>0</v>
      </c>
      <c r="O179" s="2524"/>
      <c r="P179" s="2524">
        <v>7662.09</v>
      </c>
      <c r="Q179" s="2524"/>
      <c r="R179" s="2524">
        <v>7662.09</v>
      </c>
      <c r="S179" s="2524"/>
      <c r="T179" s="2524">
        <v>7652</v>
      </c>
      <c r="U179" s="2524"/>
      <c r="V179" s="1963">
        <v>100.13186095138526</v>
      </c>
    </row>
    <row r="180" spans="1:23" ht="15.75" customHeight="1" x14ac:dyDescent="0.2">
      <c r="A180" s="1959"/>
      <c r="B180" s="2527" t="s">
        <v>2407</v>
      </c>
      <c r="C180" s="2527"/>
      <c r="D180" s="2527"/>
      <c r="E180" s="2527"/>
      <c r="F180" s="2527"/>
      <c r="G180" s="2527"/>
      <c r="H180" s="2527"/>
      <c r="I180" s="2527"/>
      <c r="J180" s="2527"/>
      <c r="K180" s="2527"/>
      <c r="L180" s="2527"/>
      <c r="M180" s="2527"/>
      <c r="N180" s="2527"/>
      <c r="O180" s="2527"/>
      <c r="P180" s="2527"/>
      <c r="Q180" s="2527"/>
      <c r="R180" s="2527"/>
      <c r="S180" s="2527"/>
      <c r="T180" s="2527"/>
      <c r="U180" s="2527"/>
      <c r="V180" s="2527"/>
    </row>
    <row r="181" spans="1:23" ht="11.25" customHeight="1" x14ac:dyDescent="0.2">
      <c r="A181" s="2526" t="s">
        <v>2408</v>
      </c>
      <c r="B181" s="2526"/>
      <c r="C181" s="2526"/>
      <c r="D181" s="2526"/>
      <c r="E181" s="2526"/>
      <c r="F181" s="1960" t="s">
        <v>2112</v>
      </c>
      <c r="G181" s="2526" t="s">
        <v>2409</v>
      </c>
      <c r="H181" s="2526"/>
      <c r="I181" s="2526"/>
      <c r="J181" s="2526"/>
      <c r="L181" s="2525">
        <v>0</v>
      </c>
      <c r="M181" s="2525"/>
      <c r="N181" s="2525">
        <v>0</v>
      </c>
      <c r="O181" s="2525"/>
      <c r="P181" s="2525">
        <v>0</v>
      </c>
      <c r="Q181" s="2525"/>
      <c r="R181" s="2525">
        <v>0</v>
      </c>
      <c r="S181" s="2525"/>
      <c r="T181" s="2525">
        <v>0</v>
      </c>
      <c r="U181" s="2525"/>
      <c r="V181" s="1961">
        <v>0</v>
      </c>
      <c r="W181" s="1962" t="s">
        <v>2114</v>
      </c>
    </row>
    <row r="182" spans="1:23" ht="11.25" customHeight="1" x14ac:dyDescent="0.2">
      <c r="A182" s="2526" t="s">
        <v>2410</v>
      </c>
      <c r="B182" s="2526"/>
      <c r="C182" s="2526"/>
      <c r="D182" s="2526"/>
      <c r="E182" s="2526"/>
      <c r="F182" s="1960" t="s">
        <v>2112</v>
      </c>
      <c r="G182" s="2526" t="s">
        <v>2411</v>
      </c>
      <c r="H182" s="2526"/>
      <c r="I182" s="2526"/>
      <c r="J182" s="2526"/>
      <c r="L182" s="2525">
        <v>0</v>
      </c>
      <c r="M182" s="2525"/>
      <c r="N182" s="2525">
        <v>0</v>
      </c>
      <c r="O182" s="2525"/>
      <c r="P182" s="2525">
        <v>0</v>
      </c>
      <c r="Q182" s="2525"/>
      <c r="R182" s="2525">
        <v>0</v>
      </c>
      <c r="S182" s="2525"/>
      <c r="T182" s="2525">
        <v>0</v>
      </c>
      <c r="U182" s="2525"/>
      <c r="V182" s="1961">
        <v>0</v>
      </c>
      <c r="W182" s="1962" t="s">
        <v>2114</v>
      </c>
    </row>
    <row r="183" spans="1:23" ht="11.25" customHeight="1" x14ac:dyDescent="0.2">
      <c r="A183" s="2526" t="s">
        <v>2412</v>
      </c>
      <c r="B183" s="2526"/>
      <c r="C183" s="2526"/>
      <c r="D183" s="2526"/>
      <c r="E183" s="2526"/>
      <c r="F183" s="1960" t="s">
        <v>2112</v>
      </c>
      <c r="G183" s="2526" t="s">
        <v>2413</v>
      </c>
      <c r="H183" s="2526"/>
      <c r="I183" s="2526"/>
      <c r="J183" s="2526"/>
      <c r="L183" s="2525">
        <v>0</v>
      </c>
      <c r="M183" s="2525"/>
      <c r="N183" s="2525">
        <v>0</v>
      </c>
      <c r="O183" s="2525"/>
      <c r="P183" s="2525">
        <v>60996.68</v>
      </c>
      <c r="Q183" s="2525"/>
      <c r="R183" s="2525">
        <v>60996.68</v>
      </c>
      <c r="S183" s="2525"/>
      <c r="T183" s="2525">
        <v>55000</v>
      </c>
      <c r="U183" s="2525"/>
      <c r="V183" s="1961">
        <v>110.90305454545455</v>
      </c>
      <c r="W183" s="1962" t="s">
        <v>2114</v>
      </c>
    </row>
    <row r="184" spans="1:23" ht="11.25" customHeight="1" x14ac:dyDescent="0.2">
      <c r="A184" s="2526" t="s">
        <v>2414</v>
      </c>
      <c r="B184" s="2526"/>
      <c r="C184" s="2526"/>
      <c r="D184" s="2526"/>
      <c r="E184" s="2526"/>
      <c r="F184" s="1960" t="s">
        <v>2112</v>
      </c>
      <c r="G184" s="2526" t="s">
        <v>2415</v>
      </c>
      <c r="H184" s="2526"/>
      <c r="I184" s="2526"/>
      <c r="J184" s="2526"/>
      <c r="L184" s="2525">
        <v>0</v>
      </c>
      <c r="M184" s="2525"/>
      <c r="N184" s="2525">
        <v>0</v>
      </c>
      <c r="O184" s="2525"/>
      <c r="P184" s="2525">
        <v>0</v>
      </c>
      <c r="Q184" s="2525"/>
      <c r="R184" s="2525">
        <v>0</v>
      </c>
      <c r="S184" s="2525"/>
      <c r="T184" s="2525">
        <v>0</v>
      </c>
      <c r="U184" s="2525"/>
      <c r="V184" s="1961">
        <v>0</v>
      </c>
      <c r="W184" s="1962" t="s">
        <v>2114</v>
      </c>
    </row>
    <row r="185" spans="1:23" ht="11.25" customHeight="1" x14ac:dyDescent="0.2">
      <c r="A185" s="2526" t="s">
        <v>2416</v>
      </c>
      <c r="B185" s="2526"/>
      <c r="C185" s="2526"/>
      <c r="D185" s="2526"/>
      <c r="E185" s="2526"/>
      <c r="F185" s="1960" t="s">
        <v>2112</v>
      </c>
      <c r="G185" s="2526" t="s">
        <v>2417</v>
      </c>
      <c r="H185" s="2526"/>
      <c r="I185" s="2526"/>
      <c r="J185" s="2526"/>
      <c r="L185" s="2525">
        <v>0</v>
      </c>
      <c r="M185" s="2525"/>
      <c r="N185" s="2525">
        <v>0</v>
      </c>
      <c r="O185" s="2525"/>
      <c r="P185" s="2525">
        <v>0</v>
      </c>
      <c r="Q185" s="2525"/>
      <c r="R185" s="2525">
        <v>0</v>
      </c>
      <c r="S185" s="2525"/>
      <c r="T185" s="2525">
        <v>0</v>
      </c>
      <c r="U185" s="2525"/>
      <c r="V185" s="1961">
        <v>0</v>
      </c>
      <c r="W185" s="1962" t="s">
        <v>2114</v>
      </c>
    </row>
    <row r="186" spans="1:23" ht="11.25" customHeight="1" x14ac:dyDescent="0.2">
      <c r="A186" s="2526" t="s">
        <v>2418</v>
      </c>
      <c r="B186" s="2526"/>
      <c r="C186" s="2526"/>
      <c r="D186" s="2526"/>
      <c r="E186" s="2526"/>
      <c r="F186" s="1960" t="s">
        <v>2112</v>
      </c>
      <c r="G186" s="2526" t="s">
        <v>2419</v>
      </c>
      <c r="H186" s="2526"/>
      <c r="I186" s="2526"/>
      <c r="J186" s="2526"/>
      <c r="L186" s="2525">
        <v>0</v>
      </c>
      <c r="M186" s="2525"/>
      <c r="N186" s="2525">
        <v>0</v>
      </c>
      <c r="O186" s="2525"/>
      <c r="P186" s="2525">
        <v>0</v>
      </c>
      <c r="Q186" s="2525"/>
      <c r="R186" s="2525">
        <v>0</v>
      </c>
      <c r="S186" s="2525"/>
      <c r="T186" s="2525">
        <v>0</v>
      </c>
      <c r="U186" s="2525"/>
      <c r="V186" s="1961">
        <v>0</v>
      </c>
      <c r="W186" s="1962" t="s">
        <v>2114</v>
      </c>
    </row>
    <row r="187" spans="1:23" ht="11.25" customHeight="1" x14ac:dyDescent="0.2">
      <c r="A187" s="2526" t="s">
        <v>2420</v>
      </c>
      <c r="B187" s="2526"/>
      <c r="C187" s="2526"/>
      <c r="D187" s="2526"/>
      <c r="E187" s="2526"/>
      <c r="F187" s="1960" t="s">
        <v>2112</v>
      </c>
      <c r="G187" s="2526" t="s">
        <v>2421</v>
      </c>
      <c r="H187" s="2526"/>
      <c r="I187" s="2526"/>
      <c r="J187" s="2526"/>
      <c r="L187" s="2525">
        <v>0</v>
      </c>
      <c r="M187" s="2525"/>
      <c r="N187" s="2525">
        <v>0</v>
      </c>
      <c r="O187" s="2525"/>
      <c r="P187" s="2525">
        <v>0</v>
      </c>
      <c r="Q187" s="2525"/>
      <c r="R187" s="2525">
        <v>0</v>
      </c>
      <c r="S187" s="2525"/>
      <c r="T187" s="2525">
        <v>0</v>
      </c>
      <c r="U187" s="2525"/>
      <c r="V187" s="1961">
        <v>0</v>
      </c>
      <c r="W187" s="1962" t="s">
        <v>2114</v>
      </c>
    </row>
    <row r="188" spans="1:23" ht="2.25" customHeight="1" x14ac:dyDescent="0.2"/>
    <row r="189" spans="1:23" ht="13.5" customHeight="1" x14ac:dyDescent="0.2">
      <c r="A189" s="2523" t="s">
        <v>2422</v>
      </c>
      <c r="B189" s="2523"/>
      <c r="C189" s="2523"/>
      <c r="D189" s="2523"/>
      <c r="E189" s="2523"/>
      <c r="F189" s="2523"/>
      <c r="G189" s="2523"/>
      <c r="H189" s="2523"/>
      <c r="I189" s="2523"/>
      <c r="L189" s="2524">
        <v>0</v>
      </c>
      <c r="M189" s="2524"/>
      <c r="N189" s="2524">
        <v>0</v>
      </c>
      <c r="O189" s="2524"/>
      <c r="P189" s="2524">
        <v>60996.68</v>
      </c>
      <c r="Q189" s="2524"/>
      <c r="R189" s="2524">
        <v>60996.68</v>
      </c>
      <c r="S189" s="2524"/>
      <c r="T189" s="2524">
        <v>55000</v>
      </c>
      <c r="U189" s="2524"/>
      <c r="V189" s="1963">
        <v>110.90305454545455</v>
      </c>
    </row>
    <row r="190" spans="1:23" ht="15.75" customHeight="1" x14ac:dyDescent="0.2">
      <c r="A190" s="1959"/>
      <c r="B190" s="2527" t="s">
        <v>2423</v>
      </c>
      <c r="C190" s="2527"/>
      <c r="D190" s="2527"/>
      <c r="E190" s="2527"/>
      <c r="F190" s="2527"/>
      <c r="G190" s="2527"/>
      <c r="H190" s="2527"/>
      <c r="I190" s="2527"/>
      <c r="J190" s="2527"/>
      <c r="K190" s="2527"/>
      <c r="L190" s="2527"/>
      <c r="M190" s="2527"/>
      <c r="N190" s="2527"/>
      <c r="O190" s="2527"/>
      <c r="P190" s="2527"/>
      <c r="Q190" s="2527"/>
      <c r="R190" s="2527"/>
      <c r="S190" s="2527"/>
      <c r="T190" s="2527"/>
      <c r="U190" s="2527"/>
      <c r="V190" s="2527"/>
    </row>
    <row r="191" spans="1:23" ht="11.25" customHeight="1" x14ac:dyDescent="0.2">
      <c r="A191" s="2526" t="s">
        <v>2424</v>
      </c>
      <c r="B191" s="2526"/>
      <c r="C191" s="2526"/>
      <c r="D191" s="2526"/>
      <c r="E191" s="2526"/>
      <c r="F191" s="1960" t="s">
        <v>2112</v>
      </c>
      <c r="G191" s="2526" t="s">
        <v>2300</v>
      </c>
      <c r="H191" s="2526"/>
      <c r="I191" s="2526"/>
      <c r="J191" s="2526"/>
      <c r="L191" s="2525">
        <v>0</v>
      </c>
      <c r="M191" s="2525"/>
      <c r="N191" s="2525">
        <v>0</v>
      </c>
      <c r="O191" s="2525"/>
      <c r="P191" s="2525">
        <v>0</v>
      </c>
      <c r="Q191" s="2525"/>
      <c r="R191" s="2525">
        <v>0</v>
      </c>
      <c r="S191" s="2525"/>
      <c r="T191" s="2525">
        <v>0</v>
      </c>
      <c r="U191" s="2525"/>
      <c r="V191" s="1961">
        <v>0</v>
      </c>
      <c r="W191" s="1962" t="s">
        <v>2114</v>
      </c>
    </row>
    <row r="192" spans="1:23" ht="11.25" customHeight="1" x14ac:dyDescent="0.2">
      <c r="A192" s="2526" t="s">
        <v>2425</v>
      </c>
      <c r="B192" s="2526"/>
      <c r="C192" s="2526"/>
      <c r="D192" s="2526"/>
      <c r="E192" s="2526"/>
      <c r="F192" s="1960" t="s">
        <v>2112</v>
      </c>
      <c r="G192" s="2526" t="s">
        <v>2302</v>
      </c>
      <c r="H192" s="2526"/>
      <c r="I192" s="2526"/>
      <c r="J192" s="2526"/>
      <c r="L192" s="2525">
        <v>0</v>
      </c>
      <c r="M192" s="2525"/>
      <c r="N192" s="2525">
        <v>0</v>
      </c>
      <c r="O192" s="2525"/>
      <c r="P192" s="2525">
        <v>0</v>
      </c>
      <c r="Q192" s="2525"/>
      <c r="R192" s="2525">
        <v>0</v>
      </c>
      <c r="S192" s="2525"/>
      <c r="T192" s="2525">
        <v>0</v>
      </c>
      <c r="U192" s="2525"/>
      <c r="V192" s="1961">
        <v>0</v>
      </c>
      <c r="W192" s="1962" t="s">
        <v>2114</v>
      </c>
    </row>
    <row r="193" spans="1:23" ht="11.25" customHeight="1" x14ac:dyDescent="0.2">
      <c r="A193" s="2526" t="s">
        <v>2426</v>
      </c>
      <c r="B193" s="2526"/>
      <c r="C193" s="2526"/>
      <c r="D193" s="2526"/>
      <c r="E193" s="2526"/>
      <c r="F193" s="1960" t="s">
        <v>2112</v>
      </c>
      <c r="G193" s="2526" t="s">
        <v>2300</v>
      </c>
      <c r="H193" s="2526"/>
      <c r="I193" s="2526"/>
      <c r="J193" s="2526"/>
      <c r="L193" s="2525">
        <v>0</v>
      </c>
      <c r="M193" s="2525"/>
      <c r="N193" s="2525">
        <v>0</v>
      </c>
      <c r="O193" s="2525"/>
      <c r="P193" s="2525">
        <v>10264.66</v>
      </c>
      <c r="Q193" s="2525"/>
      <c r="R193" s="2525">
        <v>10264.66</v>
      </c>
      <c r="S193" s="2525"/>
      <c r="T193" s="2525">
        <v>10385</v>
      </c>
      <c r="U193" s="2525"/>
      <c r="V193" s="1961">
        <v>98.841213288396744</v>
      </c>
      <c r="W193" s="1962" t="s">
        <v>2114</v>
      </c>
    </row>
    <row r="194" spans="1:23" ht="11.25" customHeight="1" x14ac:dyDescent="0.2">
      <c r="A194" s="2526" t="s">
        <v>2427</v>
      </c>
      <c r="B194" s="2526"/>
      <c r="C194" s="2526"/>
      <c r="D194" s="2526"/>
      <c r="E194" s="2526"/>
      <c r="F194" s="1960" t="s">
        <v>2112</v>
      </c>
      <c r="G194" s="2526" t="s">
        <v>2298</v>
      </c>
      <c r="H194" s="2526"/>
      <c r="I194" s="2526"/>
      <c r="J194" s="2526"/>
      <c r="L194" s="2525">
        <v>0</v>
      </c>
      <c r="M194" s="2525"/>
      <c r="N194" s="2525">
        <v>0</v>
      </c>
      <c r="O194" s="2525"/>
      <c r="P194" s="2525">
        <v>0</v>
      </c>
      <c r="Q194" s="2525"/>
      <c r="R194" s="2525">
        <v>0</v>
      </c>
      <c r="S194" s="2525"/>
      <c r="T194" s="2525">
        <v>0</v>
      </c>
      <c r="U194" s="2525"/>
      <c r="V194" s="1961">
        <v>0</v>
      </c>
      <c r="W194" s="1962" t="s">
        <v>2114</v>
      </c>
    </row>
    <row r="195" spans="1:23" ht="11.25" customHeight="1" x14ac:dyDescent="0.2">
      <c r="A195" s="2526" t="s">
        <v>2428</v>
      </c>
      <c r="B195" s="2526"/>
      <c r="C195" s="2526"/>
      <c r="D195" s="2526"/>
      <c r="E195" s="2526"/>
      <c r="F195" s="1960" t="s">
        <v>2112</v>
      </c>
      <c r="G195" s="2526" t="s">
        <v>2429</v>
      </c>
      <c r="H195" s="2526"/>
      <c r="I195" s="2526"/>
      <c r="J195" s="2526"/>
      <c r="L195" s="2525">
        <v>0</v>
      </c>
      <c r="M195" s="2525"/>
      <c r="N195" s="2525">
        <v>0</v>
      </c>
      <c r="O195" s="2525"/>
      <c r="P195" s="2525">
        <v>0</v>
      </c>
      <c r="Q195" s="2525"/>
      <c r="R195" s="2525">
        <v>0</v>
      </c>
      <c r="S195" s="2525"/>
      <c r="T195" s="2525">
        <v>0</v>
      </c>
      <c r="U195" s="2525"/>
      <c r="V195" s="1961">
        <v>0</v>
      </c>
      <c r="W195" s="1962" t="s">
        <v>2114</v>
      </c>
    </row>
    <row r="196" spans="1:23" ht="11.25" customHeight="1" x14ac:dyDescent="0.2">
      <c r="A196" s="2526" t="s">
        <v>2430</v>
      </c>
      <c r="B196" s="2526"/>
      <c r="C196" s="2526"/>
      <c r="D196" s="2526"/>
      <c r="E196" s="2526"/>
      <c r="F196" s="1960" t="s">
        <v>2112</v>
      </c>
      <c r="G196" s="2526" t="s">
        <v>2132</v>
      </c>
      <c r="H196" s="2526"/>
      <c r="I196" s="2526"/>
      <c r="J196" s="2526"/>
      <c r="L196" s="2525">
        <v>0</v>
      </c>
      <c r="M196" s="2525"/>
      <c r="N196" s="2525">
        <v>0</v>
      </c>
      <c r="O196" s="2525"/>
      <c r="P196" s="2525">
        <v>95.08</v>
      </c>
      <c r="Q196" s="2525"/>
      <c r="R196" s="2525">
        <v>95.08</v>
      </c>
      <c r="S196" s="2525"/>
      <c r="T196" s="2525">
        <v>40</v>
      </c>
      <c r="U196" s="2525"/>
      <c r="V196" s="1961">
        <v>237.70000000000002</v>
      </c>
      <c r="W196" s="1962" t="s">
        <v>2114</v>
      </c>
    </row>
    <row r="197" spans="1:23" ht="2.25" customHeight="1" x14ac:dyDescent="0.2"/>
    <row r="198" spans="1:23" ht="13.5" customHeight="1" x14ac:dyDescent="0.2">
      <c r="A198" s="2523" t="s">
        <v>2431</v>
      </c>
      <c r="B198" s="2523"/>
      <c r="C198" s="2523"/>
      <c r="D198" s="2523"/>
      <c r="E198" s="2523"/>
      <c r="F198" s="2523"/>
      <c r="G198" s="2523"/>
      <c r="H198" s="2523"/>
      <c r="I198" s="2523"/>
      <c r="L198" s="2524">
        <v>0</v>
      </c>
      <c r="M198" s="2524"/>
      <c r="N198" s="2524">
        <v>0</v>
      </c>
      <c r="O198" s="2524"/>
      <c r="P198" s="2524">
        <v>10359.74</v>
      </c>
      <c r="Q198" s="2524"/>
      <c r="R198" s="2524">
        <v>10359.74</v>
      </c>
      <c r="S198" s="2524"/>
      <c r="T198" s="2524">
        <v>10425</v>
      </c>
      <c r="U198" s="2524"/>
      <c r="V198" s="1963">
        <v>99.374004796163064</v>
      </c>
    </row>
    <row r="199" spans="1:23" ht="15.75" customHeight="1" x14ac:dyDescent="0.2">
      <c r="A199" s="1959"/>
      <c r="B199" s="2527" t="s">
        <v>2432</v>
      </c>
      <c r="C199" s="2527"/>
      <c r="D199" s="2527"/>
      <c r="E199" s="2527"/>
      <c r="F199" s="2527"/>
      <c r="G199" s="2527"/>
      <c r="H199" s="2527"/>
      <c r="I199" s="2527"/>
      <c r="J199" s="2527"/>
      <c r="K199" s="2527"/>
      <c r="L199" s="2527"/>
      <c r="M199" s="2527"/>
      <c r="N199" s="2527"/>
      <c r="O199" s="2527"/>
      <c r="P199" s="2527"/>
      <c r="Q199" s="2527"/>
      <c r="R199" s="2527"/>
      <c r="S199" s="2527"/>
      <c r="T199" s="2527"/>
      <c r="U199" s="2527"/>
      <c r="V199" s="2527"/>
    </row>
    <row r="200" spans="1:23" ht="11.25" customHeight="1" x14ac:dyDescent="0.2">
      <c r="A200" s="2526" t="s">
        <v>2433</v>
      </c>
      <c r="B200" s="2526"/>
      <c r="C200" s="2526"/>
      <c r="D200" s="2526"/>
      <c r="E200" s="2526"/>
      <c r="F200" s="1960" t="s">
        <v>2112</v>
      </c>
      <c r="G200" s="2526" t="s">
        <v>2304</v>
      </c>
      <c r="H200" s="2526"/>
      <c r="I200" s="2526"/>
      <c r="J200" s="2526"/>
      <c r="L200" s="2525">
        <v>0</v>
      </c>
      <c r="M200" s="2525"/>
      <c r="N200" s="2525">
        <v>0</v>
      </c>
      <c r="O200" s="2525"/>
      <c r="P200" s="2525">
        <v>9885.93</v>
      </c>
      <c r="Q200" s="2525"/>
      <c r="R200" s="2525">
        <v>9885.93</v>
      </c>
      <c r="S200" s="2525"/>
      <c r="T200" s="2525">
        <v>10001</v>
      </c>
      <c r="U200" s="2525"/>
      <c r="V200" s="1961">
        <v>98.849415058494145</v>
      </c>
      <c r="W200" s="1962" t="s">
        <v>2114</v>
      </c>
    </row>
    <row r="201" spans="1:23" ht="11.25" customHeight="1" x14ac:dyDescent="0.2">
      <c r="A201" s="2526" t="s">
        <v>2434</v>
      </c>
      <c r="B201" s="2526"/>
      <c r="C201" s="2526"/>
      <c r="D201" s="2526"/>
      <c r="E201" s="2526"/>
      <c r="F201" s="1960" t="s">
        <v>2112</v>
      </c>
      <c r="G201" s="2526" t="s">
        <v>2304</v>
      </c>
      <c r="H201" s="2526"/>
      <c r="I201" s="2526"/>
      <c r="J201" s="2526"/>
      <c r="L201" s="2525">
        <v>0</v>
      </c>
      <c r="M201" s="2525"/>
      <c r="N201" s="2525">
        <v>0</v>
      </c>
      <c r="O201" s="2525"/>
      <c r="P201" s="2525">
        <v>0</v>
      </c>
      <c r="Q201" s="2525"/>
      <c r="R201" s="2525">
        <v>0</v>
      </c>
      <c r="S201" s="2525"/>
      <c r="T201" s="2525">
        <v>0</v>
      </c>
      <c r="U201" s="2525"/>
      <c r="V201" s="1961">
        <v>0</v>
      </c>
      <c r="W201" s="1962" t="s">
        <v>2114</v>
      </c>
    </row>
    <row r="202" spans="1:23" ht="11.25" customHeight="1" x14ac:dyDescent="0.2">
      <c r="A202" s="2526" t="s">
        <v>2435</v>
      </c>
      <c r="B202" s="2526"/>
      <c r="C202" s="2526"/>
      <c r="D202" s="2526"/>
      <c r="E202" s="2526"/>
      <c r="F202" s="1960" t="s">
        <v>2112</v>
      </c>
      <c r="G202" s="2526" t="s">
        <v>2411</v>
      </c>
      <c r="H202" s="2526"/>
      <c r="I202" s="2526"/>
      <c r="J202" s="2526"/>
      <c r="L202" s="2525">
        <v>0</v>
      </c>
      <c r="M202" s="2525"/>
      <c r="N202" s="2525">
        <v>0</v>
      </c>
      <c r="O202" s="2525"/>
      <c r="P202" s="2525">
        <v>0</v>
      </c>
      <c r="Q202" s="2525"/>
      <c r="R202" s="2525">
        <v>0</v>
      </c>
      <c r="S202" s="2525"/>
      <c r="T202" s="2525">
        <v>0</v>
      </c>
      <c r="U202" s="2525"/>
      <c r="V202" s="1961">
        <v>0</v>
      </c>
      <c r="W202" s="1962" t="s">
        <v>2114</v>
      </c>
    </row>
    <row r="203" spans="1:23" ht="11.25" customHeight="1" x14ac:dyDescent="0.2">
      <c r="A203" s="2526" t="s">
        <v>2436</v>
      </c>
      <c r="B203" s="2526"/>
      <c r="C203" s="2526"/>
      <c r="D203" s="2526"/>
      <c r="E203" s="2526"/>
      <c r="F203" s="1960" t="s">
        <v>2112</v>
      </c>
      <c r="G203" s="2526" t="s">
        <v>2437</v>
      </c>
      <c r="H203" s="2526"/>
      <c r="I203" s="2526"/>
      <c r="J203" s="2526"/>
      <c r="L203" s="2525">
        <v>0</v>
      </c>
      <c r="M203" s="2525"/>
      <c r="N203" s="2525">
        <v>0</v>
      </c>
      <c r="O203" s="2525"/>
      <c r="P203" s="2525">
        <v>53617.04</v>
      </c>
      <c r="Q203" s="2525"/>
      <c r="R203" s="2525">
        <v>53617.04</v>
      </c>
      <c r="S203" s="2525"/>
      <c r="T203" s="2525">
        <v>118144</v>
      </c>
      <c r="U203" s="2525"/>
      <c r="V203" s="1961">
        <v>45.382787107258949</v>
      </c>
      <c r="W203" s="1962" t="s">
        <v>2114</v>
      </c>
    </row>
    <row r="204" spans="1:23" ht="2.25" customHeight="1" x14ac:dyDescent="0.2"/>
    <row r="205" spans="1:23" ht="13.5" customHeight="1" x14ac:dyDescent="0.2">
      <c r="A205" s="2523" t="s">
        <v>2438</v>
      </c>
      <c r="B205" s="2523"/>
      <c r="C205" s="2523"/>
      <c r="D205" s="2523"/>
      <c r="E205" s="2523"/>
      <c r="F205" s="2523"/>
      <c r="G205" s="2523"/>
      <c r="H205" s="2523"/>
      <c r="I205" s="2523"/>
      <c r="L205" s="2524">
        <v>0</v>
      </c>
      <c r="M205" s="2524"/>
      <c r="N205" s="2524">
        <v>0</v>
      </c>
      <c r="O205" s="2524"/>
      <c r="P205" s="2524">
        <v>63502.97</v>
      </c>
      <c r="Q205" s="2524"/>
      <c r="R205" s="2524">
        <v>63502.97</v>
      </c>
      <c r="S205" s="2524"/>
      <c r="T205" s="2524">
        <v>128145</v>
      </c>
      <c r="U205" s="2524"/>
      <c r="V205" s="1963">
        <v>49.555558156775525</v>
      </c>
    </row>
    <row r="206" spans="1:23" ht="15.75" customHeight="1" x14ac:dyDescent="0.2">
      <c r="A206" s="1959"/>
      <c r="B206" s="2527" t="s">
        <v>2439</v>
      </c>
      <c r="C206" s="2527"/>
      <c r="D206" s="2527"/>
      <c r="E206" s="2527"/>
      <c r="F206" s="2527"/>
      <c r="G206" s="2527"/>
      <c r="H206" s="2527"/>
      <c r="I206" s="2527"/>
      <c r="J206" s="2527"/>
      <c r="K206" s="2527"/>
      <c r="L206" s="2527"/>
      <c r="M206" s="2527"/>
      <c r="N206" s="2527"/>
      <c r="O206" s="2527"/>
      <c r="P206" s="2527"/>
      <c r="Q206" s="2527"/>
      <c r="R206" s="2527"/>
      <c r="S206" s="2527"/>
      <c r="T206" s="2527"/>
      <c r="U206" s="2527"/>
      <c r="V206" s="2527"/>
    </row>
    <row r="207" spans="1:23" ht="11.25" customHeight="1" x14ac:dyDescent="0.2">
      <c r="A207" s="2526" t="s">
        <v>2440</v>
      </c>
      <c r="B207" s="2526"/>
      <c r="C207" s="2526"/>
      <c r="D207" s="2526"/>
      <c r="E207" s="2526"/>
      <c r="F207" s="1960" t="s">
        <v>2112</v>
      </c>
      <c r="G207" s="2526" t="s">
        <v>2441</v>
      </c>
      <c r="H207" s="2526"/>
      <c r="I207" s="2526"/>
      <c r="J207" s="2526"/>
      <c r="L207" s="2525">
        <v>0</v>
      </c>
      <c r="M207" s="2525"/>
      <c r="N207" s="2525">
        <v>0</v>
      </c>
      <c r="O207" s="2525"/>
      <c r="P207" s="2525">
        <v>0</v>
      </c>
      <c r="Q207" s="2525"/>
      <c r="R207" s="2525">
        <v>0</v>
      </c>
      <c r="S207" s="2525"/>
      <c r="T207" s="2525">
        <v>0</v>
      </c>
      <c r="U207" s="2525"/>
      <c r="V207" s="1961">
        <v>0</v>
      </c>
      <c r="W207" s="1962" t="s">
        <v>2114</v>
      </c>
    </row>
    <row r="208" spans="1:23" ht="11.25" customHeight="1" x14ac:dyDescent="0.2">
      <c r="A208" s="2526" t="s">
        <v>2442</v>
      </c>
      <c r="B208" s="2526"/>
      <c r="C208" s="2526"/>
      <c r="D208" s="2526"/>
      <c r="E208" s="2526"/>
      <c r="F208" s="1960" t="s">
        <v>2112</v>
      </c>
      <c r="G208" s="2526" t="s">
        <v>2443</v>
      </c>
      <c r="H208" s="2526"/>
      <c r="I208" s="2526"/>
      <c r="J208" s="2526"/>
      <c r="L208" s="2525">
        <v>0</v>
      </c>
      <c r="M208" s="2525"/>
      <c r="N208" s="2525">
        <v>0</v>
      </c>
      <c r="O208" s="2525"/>
      <c r="P208" s="2525">
        <v>0</v>
      </c>
      <c r="Q208" s="2525"/>
      <c r="R208" s="2525">
        <v>0</v>
      </c>
      <c r="S208" s="2525"/>
      <c r="T208" s="2525">
        <v>0</v>
      </c>
      <c r="U208" s="2525"/>
      <c r="V208" s="1961">
        <v>0</v>
      </c>
      <c r="W208" s="1962" t="s">
        <v>2114</v>
      </c>
    </row>
    <row r="209" spans="1:23" ht="11.25" customHeight="1" x14ac:dyDescent="0.2">
      <c r="A209" s="2526" t="s">
        <v>2444</v>
      </c>
      <c r="B209" s="2526"/>
      <c r="C209" s="2526"/>
      <c r="D209" s="2526"/>
      <c r="E209" s="2526"/>
      <c r="F209" s="1960" t="s">
        <v>2112</v>
      </c>
      <c r="G209" s="2526" t="s">
        <v>2445</v>
      </c>
      <c r="H209" s="2526"/>
      <c r="I209" s="2526"/>
      <c r="J209" s="2526"/>
      <c r="L209" s="2525">
        <v>0</v>
      </c>
      <c r="M209" s="2525"/>
      <c r="N209" s="2525">
        <v>0</v>
      </c>
      <c r="O209" s="2525"/>
      <c r="P209" s="2525">
        <v>0</v>
      </c>
      <c r="Q209" s="2525"/>
      <c r="R209" s="2525">
        <v>0</v>
      </c>
      <c r="S209" s="2525"/>
      <c r="T209" s="2525">
        <v>0</v>
      </c>
      <c r="U209" s="2525"/>
      <c r="V209" s="1961">
        <v>0</v>
      </c>
      <c r="W209" s="1962" t="s">
        <v>2114</v>
      </c>
    </row>
    <row r="210" spans="1:23" ht="11.25" customHeight="1" x14ac:dyDescent="0.2">
      <c r="A210" s="2526" t="s">
        <v>2446</v>
      </c>
      <c r="B210" s="2526"/>
      <c r="C210" s="2526"/>
      <c r="D210" s="2526"/>
      <c r="E210" s="2526"/>
      <c r="F210" s="1960" t="s">
        <v>2112</v>
      </c>
      <c r="G210" s="2526" t="s">
        <v>2447</v>
      </c>
      <c r="H210" s="2526"/>
      <c r="I210" s="2526"/>
      <c r="J210" s="2526"/>
      <c r="L210" s="2525">
        <v>0</v>
      </c>
      <c r="M210" s="2525"/>
      <c r="N210" s="2525">
        <v>0</v>
      </c>
      <c r="O210" s="2525"/>
      <c r="P210" s="2525">
        <v>0</v>
      </c>
      <c r="Q210" s="2525"/>
      <c r="R210" s="2525">
        <v>0</v>
      </c>
      <c r="S210" s="2525"/>
      <c r="T210" s="2525">
        <v>0</v>
      </c>
      <c r="U210" s="2525"/>
      <c r="V210" s="1961">
        <v>0</v>
      </c>
      <c r="W210" s="1962" t="s">
        <v>2114</v>
      </c>
    </row>
    <row r="211" spans="1:23" ht="2.25" customHeight="1" x14ac:dyDescent="0.2"/>
    <row r="212" spans="1:23" ht="13.5" customHeight="1" x14ac:dyDescent="0.2">
      <c r="A212" s="2523" t="s">
        <v>2448</v>
      </c>
      <c r="B212" s="2523"/>
      <c r="C212" s="2523"/>
      <c r="D212" s="2523"/>
      <c r="E212" s="2523"/>
      <c r="F212" s="2523"/>
      <c r="G212" s="2523"/>
      <c r="H212" s="2523"/>
      <c r="I212" s="2523"/>
      <c r="L212" s="2524">
        <v>0</v>
      </c>
      <c r="M212" s="2524"/>
      <c r="N212" s="2524">
        <v>0</v>
      </c>
      <c r="O212" s="2524"/>
      <c r="P212" s="2524">
        <v>0</v>
      </c>
      <c r="Q212" s="2524"/>
      <c r="R212" s="2524">
        <v>0</v>
      </c>
      <c r="S212" s="2524"/>
      <c r="T212" s="2524">
        <v>0</v>
      </c>
      <c r="U212" s="2524"/>
      <c r="V212" s="1963">
        <v>0</v>
      </c>
    </row>
    <row r="213" spans="1:23" ht="2.25" customHeight="1" x14ac:dyDescent="0.2"/>
    <row r="214" spans="1:23" s="1964" customFormat="1" ht="18" customHeight="1" x14ac:dyDescent="0.2">
      <c r="A214" s="2521" t="s">
        <v>2449</v>
      </c>
      <c r="B214" s="2521"/>
      <c r="C214" s="2521"/>
      <c r="D214" s="2521"/>
      <c r="E214" s="2521"/>
      <c r="F214" s="2521"/>
      <c r="G214" s="2521"/>
      <c r="H214" s="2521"/>
      <c r="I214" s="2521"/>
      <c r="L214" s="2522">
        <v>0</v>
      </c>
      <c r="M214" s="2522"/>
      <c r="N214" s="2522">
        <v>0</v>
      </c>
      <c r="O214" s="2522"/>
      <c r="P214" s="2522">
        <v>2254424.4</v>
      </c>
      <c r="Q214" s="2522"/>
      <c r="R214" s="2522">
        <v>2254424.4</v>
      </c>
      <c r="S214" s="2522"/>
      <c r="T214" s="2522">
        <v>2086497.03</v>
      </c>
      <c r="U214" s="2522"/>
      <c r="V214" s="1965">
        <v>108.04829183006314</v>
      </c>
    </row>
    <row r="215" spans="1:23" ht="18.75" customHeight="1" x14ac:dyDescent="0.2">
      <c r="A215" s="2528" t="s">
        <v>2450</v>
      </c>
      <c r="B215" s="2528"/>
      <c r="C215" s="2528"/>
      <c r="D215" s="2528"/>
      <c r="E215" s="2528"/>
      <c r="F215" s="2528"/>
      <c r="G215" s="2528"/>
      <c r="H215" s="2528"/>
      <c r="I215" s="2528"/>
      <c r="J215" s="2528"/>
      <c r="K215" s="2528"/>
      <c r="L215" s="2528"/>
      <c r="M215" s="2528"/>
      <c r="N215" s="2528"/>
      <c r="O215" s="2528"/>
      <c r="P215" s="2528"/>
      <c r="Q215" s="2528"/>
      <c r="R215" s="2528"/>
      <c r="S215" s="2528"/>
      <c r="T215" s="2528"/>
      <c r="U215" s="2528"/>
    </row>
    <row r="216" spans="1:23" ht="15.75" customHeight="1" x14ac:dyDescent="0.2">
      <c r="A216" s="1959"/>
      <c r="B216" s="2527" t="s">
        <v>2110</v>
      </c>
      <c r="C216" s="2527"/>
      <c r="D216" s="2527"/>
      <c r="E216" s="2527"/>
      <c r="F216" s="2527"/>
      <c r="G216" s="2527"/>
      <c r="H216" s="2527"/>
      <c r="I216" s="2527"/>
      <c r="J216" s="2527"/>
      <c r="K216" s="2527"/>
      <c r="L216" s="2527"/>
      <c r="M216" s="2527"/>
      <c r="N216" s="2527"/>
      <c r="O216" s="2527"/>
      <c r="P216" s="2527"/>
      <c r="Q216" s="2527"/>
      <c r="R216" s="2527"/>
      <c r="S216" s="2527"/>
      <c r="T216" s="2527"/>
      <c r="U216" s="2527"/>
      <c r="V216" s="2527"/>
    </row>
    <row r="217" spans="1:23" ht="11.25" customHeight="1" x14ac:dyDescent="0.2">
      <c r="A217" s="2526" t="s">
        <v>2451</v>
      </c>
      <c r="B217" s="2526"/>
      <c r="C217" s="2526"/>
      <c r="D217" s="2526"/>
      <c r="E217" s="2526"/>
      <c r="F217" s="1960" t="s">
        <v>2233</v>
      </c>
      <c r="G217" s="2526" t="s">
        <v>2452</v>
      </c>
      <c r="H217" s="2526"/>
      <c r="I217" s="2526"/>
      <c r="J217" s="2526"/>
      <c r="L217" s="2525">
        <v>0</v>
      </c>
      <c r="M217" s="2525"/>
      <c r="N217" s="2525">
        <v>0</v>
      </c>
      <c r="O217" s="2525"/>
      <c r="P217" s="2525">
        <v>0</v>
      </c>
      <c r="Q217" s="2525"/>
      <c r="R217" s="2525">
        <v>0</v>
      </c>
      <c r="S217" s="2525"/>
      <c r="T217" s="2525">
        <v>0</v>
      </c>
      <c r="U217" s="2525"/>
      <c r="V217" s="1961">
        <v>0</v>
      </c>
      <c r="W217" s="1962" t="s">
        <v>2453</v>
      </c>
    </row>
    <row r="218" spans="1:23" ht="11.25" customHeight="1" x14ac:dyDescent="0.2">
      <c r="A218" s="2526" t="s">
        <v>2454</v>
      </c>
      <c r="B218" s="2526"/>
      <c r="C218" s="2526"/>
      <c r="D218" s="2526"/>
      <c r="E218" s="2526"/>
      <c r="F218" s="1960" t="s">
        <v>2233</v>
      </c>
      <c r="G218" s="2526" t="s">
        <v>2455</v>
      </c>
      <c r="H218" s="2526"/>
      <c r="I218" s="2526"/>
      <c r="J218" s="2526"/>
      <c r="L218" s="2525">
        <v>0</v>
      </c>
      <c r="M218" s="2525"/>
      <c r="N218" s="2525">
        <v>0</v>
      </c>
      <c r="O218" s="2525"/>
      <c r="P218" s="2525">
        <v>0</v>
      </c>
      <c r="Q218" s="2525"/>
      <c r="R218" s="2525">
        <v>0</v>
      </c>
      <c r="S218" s="2525"/>
      <c r="T218" s="2525">
        <v>0</v>
      </c>
      <c r="U218" s="2525"/>
      <c r="V218" s="1961">
        <v>0</v>
      </c>
      <c r="W218" s="1962" t="s">
        <v>2453</v>
      </c>
    </row>
    <row r="219" spans="1:23" ht="11.25" customHeight="1" x14ac:dyDescent="0.2">
      <c r="A219" s="2526" t="s">
        <v>2456</v>
      </c>
      <c r="B219" s="2526"/>
      <c r="C219" s="2526"/>
      <c r="D219" s="2526"/>
      <c r="E219" s="2526"/>
      <c r="F219" s="1960" t="s">
        <v>2233</v>
      </c>
      <c r="G219" s="2526" t="s">
        <v>2457</v>
      </c>
      <c r="H219" s="2526"/>
      <c r="I219" s="2526"/>
      <c r="J219" s="2526"/>
      <c r="L219" s="2525">
        <v>0</v>
      </c>
      <c r="M219" s="2525"/>
      <c r="N219" s="2525">
        <v>0</v>
      </c>
      <c r="O219" s="2525"/>
      <c r="P219" s="2525">
        <v>0</v>
      </c>
      <c r="Q219" s="2525"/>
      <c r="R219" s="2525">
        <v>0</v>
      </c>
      <c r="S219" s="2525"/>
      <c r="T219" s="2525">
        <v>0</v>
      </c>
      <c r="U219" s="2525"/>
      <c r="V219" s="1961">
        <v>0</v>
      </c>
      <c r="W219" s="1962" t="s">
        <v>2453</v>
      </c>
    </row>
    <row r="220" spans="1:23" ht="11.25" customHeight="1" x14ac:dyDescent="0.2">
      <c r="A220" s="2526" t="s">
        <v>2458</v>
      </c>
      <c r="B220" s="2526"/>
      <c r="C220" s="2526"/>
      <c r="D220" s="2526"/>
      <c r="E220" s="2526"/>
      <c r="F220" s="1960" t="s">
        <v>2233</v>
      </c>
      <c r="G220" s="2526" t="s">
        <v>2459</v>
      </c>
      <c r="H220" s="2526"/>
      <c r="I220" s="2526"/>
      <c r="J220" s="2526"/>
      <c r="L220" s="2525">
        <v>0</v>
      </c>
      <c r="M220" s="2525"/>
      <c r="N220" s="2525">
        <v>0</v>
      </c>
      <c r="O220" s="2525"/>
      <c r="P220" s="2525">
        <v>0</v>
      </c>
      <c r="Q220" s="2525"/>
      <c r="R220" s="2525">
        <v>0</v>
      </c>
      <c r="S220" s="2525"/>
      <c r="T220" s="2525">
        <v>0</v>
      </c>
      <c r="U220" s="2525"/>
      <c r="V220" s="1961">
        <v>0</v>
      </c>
      <c r="W220" s="1962" t="s">
        <v>2453</v>
      </c>
    </row>
    <row r="221" spans="1:23" ht="11.25" customHeight="1" x14ac:dyDescent="0.2">
      <c r="A221" s="2526" t="s">
        <v>2460</v>
      </c>
      <c r="B221" s="2526"/>
      <c r="C221" s="2526"/>
      <c r="D221" s="2526"/>
      <c r="E221" s="2526"/>
      <c r="F221" s="1960" t="s">
        <v>2233</v>
      </c>
      <c r="G221" s="2526" t="s">
        <v>2461</v>
      </c>
      <c r="H221" s="2526"/>
      <c r="I221" s="2526"/>
      <c r="J221" s="2526"/>
      <c r="L221" s="2525">
        <v>0</v>
      </c>
      <c r="M221" s="2525"/>
      <c r="N221" s="2525">
        <v>0</v>
      </c>
      <c r="O221" s="2525"/>
      <c r="P221" s="2525">
        <v>0</v>
      </c>
      <c r="Q221" s="2525"/>
      <c r="R221" s="2525">
        <v>0</v>
      </c>
      <c r="S221" s="2525"/>
      <c r="T221" s="2525">
        <v>0</v>
      </c>
      <c r="U221" s="2525"/>
      <c r="V221" s="1961">
        <v>0</v>
      </c>
      <c r="W221" s="1962" t="s">
        <v>2453</v>
      </c>
    </row>
    <row r="222" spans="1:23" ht="11.25" customHeight="1" x14ac:dyDescent="0.2">
      <c r="A222" s="2526" t="s">
        <v>2462</v>
      </c>
      <c r="B222" s="2526"/>
      <c r="C222" s="2526"/>
      <c r="D222" s="2526"/>
      <c r="E222" s="2526"/>
      <c r="F222" s="1960" t="s">
        <v>2112</v>
      </c>
      <c r="G222" s="2526" t="s">
        <v>2463</v>
      </c>
      <c r="H222" s="2526"/>
      <c r="I222" s="2526"/>
      <c r="J222" s="2526"/>
      <c r="L222" s="2525">
        <v>0</v>
      </c>
      <c r="M222" s="2525"/>
      <c r="N222" s="2525">
        <v>0</v>
      </c>
      <c r="O222" s="2525"/>
      <c r="P222" s="2525">
        <v>532077.69000000006</v>
      </c>
      <c r="Q222" s="2525"/>
      <c r="R222" s="2525">
        <v>532077.69000000006</v>
      </c>
      <c r="S222" s="2525"/>
      <c r="T222" s="2525">
        <v>531714</v>
      </c>
      <c r="U222" s="2525"/>
      <c r="V222" s="1961">
        <v>100.06839955314325</v>
      </c>
      <c r="W222" s="1962" t="s">
        <v>2453</v>
      </c>
    </row>
    <row r="223" spans="1:23" ht="11.25" customHeight="1" x14ac:dyDescent="0.2">
      <c r="A223" s="2526" t="s">
        <v>2464</v>
      </c>
      <c r="B223" s="2526"/>
      <c r="C223" s="2526"/>
      <c r="D223" s="2526"/>
      <c r="E223" s="2526"/>
      <c r="F223" s="1960" t="s">
        <v>2212</v>
      </c>
      <c r="G223" s="2526" t="s">
        <v>2465</v>
      </c>
      <c r="H223" s="2526"/>
      <c r="I223" s="2526"/>
      <c r="J223" s="2526"/>
      <c r="L223" s="2525">
        <v>0</v>
      </c>
      <c r="M223" s="2525"/>
      <c r="N223" s="2525">
        <v>0</v>
      </c>
      <c r="O223" s="2525"/>
      <c r="P223" s="2525">
        <v>0</v>
      </c>
      <c r="Q223" s="2525"/>
      <c r="R223" s="2525">
        <v>0</v>
      </c>
      <c r="S223" s="2525"/>
      <c r="T223" s="2525">
        <v>0</v>
      </c>
      <c r="U223" s="2525"/>
      <c r="V223" s="1961">
        <v>0</v>
      </c>
      <c r="W223" s="1962" t="s">
        <v>2453</v>
      </c>
    </row>
    <row r="224" spans="1:23" ht="11.25" customHeight="1" x14ac:dyDescent="0.2">
      <c r="A224" s="2526" t="s">
        <v>2466</v>
      </c>
      <c r="B224" s="2526"/>
      <c r="C224" s="2526"/>
      <c r="D224" s="2526"/>
      <c r="E224" s="2526"/>
      <c r="F224" s="1960" t="s">
        <v>2212</v>
      </c>
      <c r="G224" s="2526" t="s">
        <v>2467</v>
      </c>
      <c r="H224" s="2526"/>
      <c r="I224" s="2526"/>
      <c r="J224" s="2526"/>
      <c r="L224" s="2525">
        <v>0</v>
      </c>
      <c r="M224" s="2525"/>
      <c r="N224" s="2525">
        <v>0</v>
      </c>
      <c r="O224" s="2525"/>
      <c r="P224" s="2525">
        <v>0</v>
      </c>
      <c r="Q224" s="2525"/>
      <c r="R224" s="2525">
        <v>0</v>
      </c>
      <c r="S224" s="2525"/>
      <c r="T224" s="2525">
        <v>0</v>
      </c>
      <c r="U224" s="2525"/>
      <c r="V224" s="1961">
        <v>0</v>
      </c>
      <c r="W224" s="1962" t="s">
        <v>2453</v>
      </c>
    </row>
    <row r="225" spans="1:23" ht="11.25" customHeight="1" x14ac:dyDescent="0.2">
      <c r="A225" s="2526" t="s">
        <v>2468</v>
      </c>
      <c r="B225" s="2526"/>
      <c r="C225" s="2526"/>
      <c r="D225" s="2526"/>
      <c r="E225" s="2526"/>
      <c r="F225" s="1960" t="s">
        <v>2204</v>
      </c>
      <c r="G225" s="2526" t="s">
        <v>2469</v>
      </c>
      <c r="H225" s="2526"/>
      <c r="I225" s="2526"/>
      <c r="J225" s="2526"/>
      <c r="L225" s="2525">
        <v>0</v>
      </c>
      <c r="M225" s="2525"/>
      <c r="N225" s="2525">
        <v>0</v>
      </c>
      <c r="O225" s="2525"/>
      <c r="P225" s="2525">
        <v>0</v>
      </c>
      <c r="Q225" s="2525"/>
      <c r="R225" s="2525">
        <v>0</v>
      </c>
      <c r="S225" s="2525"/>
      <c r="T225" s="2525">
        <v>0</v>
      </c>
      <c r="U225" s="2525"/>
      <c r="V225" s="1961">
        <v>0</v>
      </c>
      <c r="W225" s="1962" t="s">
        <v>2453</v>
      </c>
    </row>
    <row r="226" spans="1:23" ht="11.25" customHeight="1" x14ac:dyDescent="0.2">
      <c r="A226" s="2526" t="s">
        <v>2470</v>
      </c>
      <c r="B226" s="2526"/>
      <c r="C226" s="2526"/>
      <c r="D226" s="2526"/>
      <c r="E226" s="2526"/>
      <c r="F226" s="1960" t="s">
        <v>2112</v>
      </c>
      <c r="G226" s="2526" t="s">
        <v>2471</v>
      </c>
      <c r="H226" s="2526"/>
      <c r="I226" s="2526"/>
      <c r="J226" s="2526"/>
      <c r="L226" s="2525">
        <v>0</v>
      </c>
      <c r="M226" s="2525"/>
      <c r="N226" s="2525">
        <v>0</v>
      </c>
      <c r="O226" s="2525"/>
      <c r="P226" s="2525">
        <v>0</v>
      </c>
      <c r="Q226" s="2525"/>
      <c r="R226" s="2525">
        <v>0</v>
      </c>
      <c r="S226" s="2525"/>
      <c r="T226" s="2525">
        <v>0</v>
      </c>
      <c r="U226" s="2525"/>
      <c r="V226" s="1961">
        <v>0</v>
      </c>
      <c r="W226" s="1962" t="s">
        <v>2453</v>
      </c>
    </row>
    <row r="227" spans="1:23" ht="11.25" customHeight="1" x14ac:dyDescent="0.2">
      <c r="A227" s="2526" t="s">
        <v>2472</v>
      </c>
      <c r="B227" s="2526"/>
      <c r="C227" s="2526"/>
      <c r="D227" s="2526"/>
      <c r="E227" s="2526"/>
      <c r="F227" s="1960" t="s">
        <v>2112</v>
      </c>
      <c r="G227" s="2526" t="s">
        <v>2473</v>
      </c>
      <c r="H227" s="2526"/>
      <c r="I227" s="2526"/>
      <c r="J227" s="2526"/>
      <c r="L227" s="2525">
        <v>0</v>
      </c>
      <c r="M227" s="2525"/>
      <c r="N227" s="2525">
        <v>0</v>
      </c>
      <c r="O227" s="2525"/>
      <c r="P227" s="2525">
        <v>0</v>
      </c>
      <c r="Q227" s="2525"/>
      <c r="R227" s="2525">
        <v>0</v>
      </c>
      <c r="S227" s="2525"/>
      <c r="T227" s="2525">
        <v>0</v>
      </c>
      <c r="U227" s="2525"/>
      <c r="V227" s="1961">
        <v>0</v>
      </c>
      <c r="W227" s="1962" t="s">
        <v>2453</v>
      </c>
    </row>
    <row r="228" spans="1:23" ht="11.25" customHeight="1" x14ac:dyDescent="0.2">
      <c r="A228" s="2526" t="s">
        <v>2474</v>
      </c>
      <c r="B228" s="2526"/>
      <c r="C228" s="2526"/>
      <c r="D228" s="2526"/>
      <c r="E228" s="2526"/>
      <c r="F228" s="1960" t="s">
        <v>2212</v>
      </c>
      <c r="G228" s="2526" t="s">
        <v>2475</v>
      </c>
      <c r="H228" s="2526"/>
      <c r="I228" s="2526"/>
      <c r="J228" s="2526"/>
      <c r="L228" s="2525">
        <v>0</v>
      </c>
      <c r="M228" s="2525"/>
      <c r="N228" s="2525">
        <v>0</v>
      </c>
      <c r="O228" s="2525"/>
      <c r="P228" s="2525">
        <v>0</v>
      </c>
      <c r="Q228" s="2525"/>
      <c r="R228" s="2525">
        <v>0</v>
      </c>
      <c r="S228" s="2525"/>
      <c r="T228" s="2525">
        <v>0</v>
      </c>
      <c r="U228" s="2525"/>
      <c r="V228" s="1961">
        <v>0</v>
      </c>
      <c r="W228" s="1962" t="s">
        <v>2453</v>
      </c>
    </row>
    <row r="229" spans="1:23" ht="11.25" customHeight="1" x14ac:dyDescent="0.2">
      <c r="A229" s="2526" t="s">
        <v>2476</v>
      </c>
      <c r="B229" s="2526"/>
      <c r="C229" s="2526"/>
      <c r="D229" s="2526"/>
      <c r="E229" s="2526"/>
      <c r="F229" s="1960" t="s">
        <v>53</v>
      </c>
      <c r="G229" s="2526" t="s">
        <v>2477</v>
      </c>
      <c r="H229" s="2526"/>
      <c r="I229" s="2526"/>
      <c r="J229" s="2526"/>
      <c r="L229" s="2525">
        <v>0</v>
      </c>
      <c r="M229" s="2525"/>
      <c r="N229" s="2525">
        <v>0</v>
      </c>
      <c r="O229" s="2525"/>
      <c r="P229" s="2525">
        <v>0</v>
      </c>
      <c r="Q229" s="2525"/>
      <c r="R229" s="2525">
        <v>0</v>
      </c>
      <c r="S229" s="2525"/>
      <c r="T229" s="2525">
        <v>0</v>
      </c>
      <c r="U229" s="2525"/>
      <c r="V229" s="1961">
        <v>0</v>
      </c>
      <c r="W229" s="1962" t="s">
        <v>2453</v>
      </c>
    </row>
    <row r="230" spans="1:23" ht="11.25" customHeight="1" x14ac:dyDescent="0.2">
      <c r="A230" s="2526" t="s">
        <v>2478</v>
      </c>
      <c r="B230" s="2526"/>
      <c r="C230" s="2526"/>
      <c r="D230" s="2526"/>
      <c r="E230" s="2526"/>
      <c r="F230" s="1960" t="s">
        <v>2112</v>
      </c>
      <c r="G230" s="2526" t="s">
        <v>2479</v>
      </c>
      <c r="H230" s="2526"/>
      <c r="I230" s="2526"/>
      <c r="J230" s="2526"/>
      <c r="L230" s="2525">
        <v>0</v>
      </c>
      <c r="M230" s="2525"/>
      <c r="N230" s="2525">
        <v>0</v>
      </c>
      <c r="O230" s="2525"/>
      <c r="P230" s="2525">
        <v>0</v>
      </c>
      <c r="Q230" s="2525"/>
      <c r="R230" s="2525">
        <v>0</v>
      </c>
      <c r="S230" s="2525"/>
      <c r="T230" s="2525">
        <v>0</v>
      </c>
      <c r="U230" s="2525"/>
      <c r="V230" s="1961">
        <v>0</v>
      </c>
      <c r="W230" s="1962" t="s">
        <v>2453</v>
      </c>
    </row>
    <row r="231" spans="1:23" ht="11.25" customHeight="1" x14ac:dyDescent="0.2">
      <c r="A231" s="2526" t="s">
        <v>2480</v>
      </c>
      <c r="B231" s="2526"/>
      <c r="C231" s="2526"/>
      <c r="D231" s="2526"/>
      <c r="E231" s="2526"/>
      <c r="F231" s="1960" t="s">
        <v>1442</v>
      </c>
      <c r="G231" s="2526" t="s">
        <v>2481</v>
      </c>
      <c r="H231" s="2526"/>
      <c r="I231" s="2526"/>
      <c r="J231" s="2526"/>
      <c r="L231" s="2525">
        <v>0</v>
      </c>
      <c r="M231" s="2525"/>
      <c r="N231" s="2525">
        <v>0</v>
      </c>
      <c r="O231" s="2525"/>
      <c r="P231" s="2525">
        <v>0</v>
      </c>
      <c r="Q231" s="2525"/>
      <c r="R231" s="2525">
        <v>0</v>
      </c>
      <c r="S231" s="2525"/>
      <c r="T231" s="2525">
        <v>500</v>
      </c>
      <c r="U231" s="2525"/>
      <c r="V231" s="1961">
        <v>0</v>
      </c>
      <c r="W231" s="1962" t="s">
        <v>2453</v>
      </c>
    </row>
    <row r="232" spans="1:23" ht="11.25" customHeight="1" x14ac:dyDescent="0.2">
      <c r="A232" s="2526" t="s">
        <v>2482</v>
      </c>
      <c r="B232" s="2526"/>
      <c r="C232" s="2526"/>
      <c r="D232" s="2526"/>
      <c r="E232" s="2526"/>
      <c r="F232" s="1960" t="s">
        <v>2112</v>
      </c>
      <c r="G232" s="2526" t="s">
        <v>2483</v>
      </c>
      <c r="H232" s="2526"/>
      <c r="I232" s="2526"/>
      <c r="J232" s="2526"/>
      <c r="L232" s="2525">
        <v>0</v>
      </c>
      <c r="M232" s="2525"/>
      <c r="N232" s="2525">
        <v>0</v>
      </c>
      <c r="O232" s="2525"/>
      <c r="P232" s="2525">
        <v>1140</v>
      </c>
      <c r="Q232" s="2525"/>
      <c r="R232" s="2525">
        <v>1140</v>
      </c>
      <c r="S232" s="2525"/>
      <c r="T232" s="2525">
        <v>0</v>
      </c>
      <c r="U232" s="2525"/>
      <c r="V232" s="1961">
        <v>0</v>
      </c>
      <c r="W232" s="1962" t="s">
        <v>2453</v>
      </c>
    </row>
    <row r="233" spans="1:23" ht="11.25" customHeight="1" x14ac:dyDescent="0.2">
      <c r="A233" s="2526" t="s">
        <v>2484</v>
      </c>
      <c r="B233" s="2526"/>
      <c r="C233" s="2526"/>
      <c r="D233" s="2526"/>
      <c r="E233" s="2526"/>
      <c r="F233" s="1960" t="s">
        <v>2112</v>
      </c>
      <c r="G233" s="2526" t="s">
        <v>2485</v>
      </c>
      <c r="H233" s="2526"/>
      <c r="I233" s="2526"/>
      <c r="J233" s="2526"/>
      <c r="L233" s="2525">
        <v>0</v>
      </c>
      <c r="M233" s="2525"/>
      <c r="N233" s="2525">
        <v>0</v>
      </c>
      <c r="O233" s="2525"/>
      <c r="P233" s="2525">
        <v>0</v>
      </c>
      <c r="Q233" s="2525"/>
      <c r="R233" s="2525">
        <v>0</v>
      </c>
      <c r="S233" s="2525"/>
      <c r="T233" s="2525">
        <v>0</v>
      </c>
      <c r="U233" s="2525"/>
      <c r="V233" s="1961">
        <v>0</v>
      </c>
      <c r="W233" s="1962" t="s">
        <v>2453</v>
      </c>
    </row>
    <row r="234" spans="1:23" ht="11.25" customHeight="1" x14ac:dyDescent="0.2">
      <c r="A234" s="2526" t="s">
        <v>2486</v>
      </c>
      <c r="B234" s="2526"/>
      <c r="C234" s="2526"/>
      <c r="D234" s="2526"/>
      <c r="E234" s="2526"/>
      <c r="F234" s="1960" t="s">
        <v>2112</v>
      </c>
      <c r="G234" s="2526" t="s">
        <v>2487</v>
      </c>
      <c r="H234" s="2526"/>
      <c r="I234" s="2526"/>
      <c r="J234" s="2526"/>
      <c r="L234" s="2525">
        <v>0</v>
      </c>
      <c r="M234" s="2525"/>
      <c r="N234" s="2525">
        <v>0</v>
      </c>
      <c r="O234" s="2525"/>
      <c r="P234" s="2525">
        <v>11395.5</v>
      </c>
      <c r="Q234" s="2525"/>
      <c r="R234" s="2525">
        <v>11395.5</v>
      </c>
      <c r="S234" s="2525"/>
      <c r="T234" s="2525">
        <v>10000</v>
      </c>
      <c r="U234" s="2525"/>
      <c r="V234" s="1961">
        <v>113.955</v>
      </c>
      <c r="W234" s="1962" t="s">
        <v>2453</v>
      </c>
    </row>
    <row r="235" spans="1:23" ht="11.25" customHeight="1" x14ac:dyDescent="0.2">
      <c r="A235" s="2526" t="s">
        <v>2486</v>
      </c>
      <c r="B235" s="2526"/>
      <c r="C235" s="2526"/>
      <c r="D235" s="2526"/>
      <c r="E235" s="2526"/>
      <c r="F235" s="1960" t="s">
        <v>2212</v>
      </c>
      <c r="G235" s="2526" t="s">
        <v>2488</v>
      </c>
      <c r="H235" s="2526"/>
      <c r="I235" s="2526"/>
      <c r="J235" s="2526"/>
      <c r="L235" s="2525">
        <v>0</v>
      </c>
      <c r="M235" s="2525"/>
      <c r="N235" s="2525">
        <v>0</v>
      </c>
      <c r="O235" s="2525"/>
      <c r="P235" s="2525">
        <v>0</v>
      </c>
      <c r="Q235" s="2525"/>
      <c r="R235" s="2525">
        <v>0</v>
      </c>
      <c r="S235" s="2525"/>
      <c r="T235" s="2525">
        <v>0</v>
      </c>
      <c r="U235" s="2525"/>
      <c r="V235" s="1961">
        <v>0</v>
      </c>
      <c r="W235" s="1962" t="s">
        <v>2453</v>
      </c>
    </row>
    <row r="236" spans="1:23" ht="11.25" customHeight="1" x14ac:dyDescent="0.2">
      <c r="A236" s="2526" t="s">
        <v>2486</v>
      </c>
      <c r="B236" s="2526"/>
      <c r="C236" s="2526"/>
      <c r="D236" s="2526"/>
      <c r="E236" s="2526"/>
      <c r="F236" s="1960" t="s">
        <v>2236</v>
      </c>
      <c r="G236" s="2526" t="s">
        <v>2489</v>
      </c>
      <c r="H236" s="2526"/>
      <c r="I236" s="2526"/>
      <c r="J236" s="2526"/>
      <c r="L236" s="2525">
        <v>0</v>
      </c>
      <c r="M236" s="2525"/>
      <c r="N236" s="2525">
        <v>0</v>
      </c>
      <c r="O236" s="2525"/>
      <c r="P236" s="2525">
        <v>0</v>
      </c>
      <c r="Q236" s="2525"/>
      <c r="R236" s="2525">
        <v>0</v>
      </c>
      <c r="S236" s="2525"/>
      <c r="T236" s="2525">
        <v>0</v>
      </c>
      <c r="U236" s="2525"/>
      <c r="V236" s="1961">
        <v>0</v>
      </c>
      <c r="W236" s="1962" t="s">
        <v>2453</v>
      </c>
    </row>
    <row r="237" spans="1:23" ht="11.25" customHeight="1" x14ac:dyDescent="0.2">
      <c r="A237" s="2526" t="s">
        <v>2490</v>
      </c>
      <c r="B237" s="2526"/>
      <c r="C237" s="2526"/>
      <c r="D237" s="2526"/>
      <c r="E237" s="2526"/>
      <c r="F237" s="1960" t="s">
        <v>2112</v>
      </c>
      <c r="G237" s="2526" t="s">
        <v>2491</v>
      </c>
      <c r="H237" s="2526"/>
      <c r="I237" s="2526"/>
      <c r="J237" s="2526"/>
      <c r="L237" s="2525">
        <v>0</v>
      </c>
      <c r="M237" s="2525"/>
      <c r="N237" s="2525">
        <v>0</v>
      </c>
      <c r="O237" s="2525"/>
      <c r="P237" s="2525">
        <v>0</v>
      </c>
      <c r="Q237" s="2525"/>
      <c r="R237" s="2525">
        <v>0</v>
      </c>
      <c r="S237" s="2525"/>
      <c r="T237" s="2525">
        <v>0</v>
      </c>
      <c r="U237" s="2525"/>
      <c r="V237" s="1961">
        <v>0</v>
      </c>
      <c r="W237" s="1962" t="s">
        <v>2453</v>
      </c>
    </row>
    <row r="238" spans="1:23" ht="11.25" customHeight="1" x14ac:dyDescent="0.2">
      <c r="A238" s="2526" t="s">
        <v>2492</v>
      </c>
      <c r="B238" s="2526"/>
      <c r="C238" s="2526"/>
      <c r="D238" s="2526"/>
      <c r="E238" s="2526"/>
      <c r="F238" s="1960" t="s">
        <v>2112</v>
      </c>
      <c r="G238" s="2526" t="s">
        <v>2493</v>
      </c>
      <c r="H238" s="2526"/>
      <c r="I238" s="2526"/>
      <c r="J238" s="2526"/>
      <c r="L238" s="2525">
        <v>0</v>
      </c>
      <c r="M238" s="2525"/>
      <c r="N238" s="2525">
        <v>0</v>
      </c>
      <c r="O238" s="2525"/>
      <c r="P238" s="2525">
        <v>340</v>
      </c>
      <c r="Q238" s="2525"/>
      <c r="R238" s="2525">
        <v>340</v>
      </c>
      <c r="S238" s="2525"/>
      <c r="T238" s="2525">
        <v>0</v>
      </c>
      <c r="U238" s="2525"/>
      <c r="V238" s="1961">
        <v>0</v>
      </c>
      <c r="W238" s="1962" t="s">
        <v>2453</v>
      </c>
    </row>
    <row r="239" spans="1:23" ht="11.25" customHeight="1" x14ac:dyDescent="0.2">
      <c r="A239" s="2526" t="s">
        <v>2494</v>
      </c>
      <c r="B239" s="2526"/>
      <c r="C239" s="2526"/>
      <c r="D239" s="2526"/>
      <c r="E239" s="2526"/>
      <c r="F239" s="1960" t="s">
        <v>2112</v>
      </c>
      <c r="G239" s="2526" t="s">
        <v>2495</v>
      </c>
      <c r="H239" s="2526"/>
      <c r="I239" s="2526"/>
      <c r="J239" s="2526"/>
      <c r="L239" s="2525">
        <v>0</v>
      </c>
      <c r="M239" s="2525"/>
      <c r="N239" s="2525">
        <v>0</v>
      </c>
      <c r="O239" s="2525"/>
      <c r="P239" s="2525">
        <v>0</v>
      </c>
      <c r="Q239" s="2525"/>
      <c r="R239" s="2525">
        <v>0</v>
      </c>
      <c r="S239" s="2525"/>
      <c r="T239" s="2525">
        <v>0</v>
      </c>
      <c r="U239" s="2525"/>
      <c r="V239" s="1961">
        <v>0</v>
      </c>
      <c r="W239" s="1962" t="s">
        <v>2453</v>
      </c>
    </row>
    <row r="240" spans="1:23" ht="11.25" customHeight="1" x14ac:dyDescent="0.2">
      <c r="A240" s="2526" t="s">
        <v>2496</v>
      </c>
      <c r="B240" s="2526"/>
      <c r="C240" s="2526"/>
      <c r="D240" s="2526"/>
      <c r="E240" s="2526"/>
      <c r="F240" s="1960" t="s">
        <v>2112</v>
      </c>
      <c r="G240" s="2526" t="s">
        <v>2497</v>
      </c>
      <c r="H240" s="2526"/>
      <c r="I240" s="2526"/>
      <c r="J240" s="2526"/>
      <c r="L240" s="2525">
        <v>0</v>
      </c>
      <c r="M240" s="2525"/>
      <c r="N240" s="2525">
        <v>0</v>
      </c>
      <c r="O240" s="2525"/>
      <c r="P240" s="2525">
        <v>0</v>
      </c>
      <c r="Q240" s="2525"/>
      <c r="R240" s="2525">
        <v>0</v>
      </c>
      <c r="S240" s="2525"/>
      <c r="T240" s="2525">
        <v>0</v>
      </c>
      <c r="U240" s="2525"/>
      <c r="V240" s="1961">
        <v>0</v>
      </c>
      <c r="W240" s="1962" t="s">
        <v>2453</v>
      </c>
    </row>
    <row r="241" spans="1:23" ht="11.25" customHeight="1" x14ac:dyDescent="0.2">
      <c r="A241" s="2526" t="s">
        <v>2498</v>
      </c>
      <c r="B241" s="2526"/>
      <c r="C241" s="2526"/>
      <c r="D241" s="2526"/>
      <c r="E241" s="2526"/>
      <c r="F241" s="1960" t="s">
        <v>2112</v>
      </c>
      <c r="G241" s="2526" t="s">
        <v>2499</v>
      </c>
      <c r="H241" s="2526"/>
      <c r="I241" s="2526"/>
      <c r="J241" s="2526"/>
      <c r="L241" s="2525">
        <v>0</v>
      </c>
      <c r="M241" s="2525"/>
      <c r="N241" s="2525">
        <v>0</v>
      </c>
      <c r="O241" s="2525"/>
      <c r="P241" s="2525">
        <v>0</v>
      </c>
      <c r="Q241" s="2525"/>
      <c r="R241" s="2525">
        <v>0</v>
      </c>
      <c r="S241" s="2525"/>
      <c r="T241" s="2525">
        <v>0</v>
      </c>
      <c r="U241" s="2525"/>
      <c r="V241" s="1961">
        <v>0</v>
      </c>
      <c r="W241" s="1962" t="s">
        <v>2453</v>
      </c>
    </row>
    <row r="242" spans="1:23" ht="11.25" customHeight="1" x14ac:dyDescent="0.2">
      <c r="A242" s="2526" t="s">
        <v>2500</v>
      </c>
      <c r="B242" s="2526"/>
      <c r="C242" s="2526"/>
      <c r="D242" s="2526"/>
      <c r="E242" s="2526"/>
      <c r="F242" s="1960" t="s">
        <v>2112</v>
      </c>
      <c r="G242" s="2526" t="s">
        <v>2501</v>
      </c>
      <c r="H242" s="2526"/>
      <c r="I242" s="2526"/>
      <c r="J242" s="2526"/>
      <c r="L242" s="2525">
        <v>0</v>
      </c>
      <c r="M242" s="2525"/>
      <c r="N242" s="2525">
        <v>0</v>
      </c>
      <c r="O242" s="2525"/>
      <c r="P242" s="2525">
        <v>0</v>
      </c>
      <c r="Q242" s="2525"/>
      <c r="R242" s="2525">
        <v>0</v>
      </c>
      <c r="S242" s="2525"/>
      <c r="T242" s="2525">
        <v>0</v>
      </c>
      <c r="U242" s="2525"/>
      <c r="V242" s="1961">
        <v>0</v>
      </c>
      <c r="W242" s="1962" t="s">
        <v>2453</v>
      </c>
    </row>
    <row r="243" spans="1:23" ht="11.25" customHeight="1" x14ac:dyDescent="0.2">
      <c r="A243" s="2526" t="s">
        <v>2502</v>
      </c>
      <c r="B243" s="2526"/>
      <c r="C243" s="2526"/>
      <c r="D243" s="2526"/>
      <c r="E243" s="2526"/>
      <c r="F243" s="1960" t="s">
        <v>2112</v>
      </c>
      <c r="G243" s="2526" t="s">
        <v>2503</v>
      </c>
      <c r="H243" s="2526"/>
      <c r="I243" s="2526"/>
      <c r="J243" s="2526"/>
      <c r="L243" s="2525">
        <v>0</v>
      </c>
      <c r="M243" s="2525"/>
      <c r="N243" s="2525">
        <v>0</v>
      </c>
      <c r="O243" s="2525"/>
      <c r="P243" s="2525">
        <v>0</v>
      </c>
      <c r="Q243" s="2525"/>
      <c r="R243" s="2525">
        <v>0</v>
      </c>
      <c r="S243" s="2525"/>
      <c r="T243" s="2525">
        <v>0</v>
      </c>
      <c r="U243" s="2525"/>
      <c r="V243" s="1961">
        <v>0</v>
      </c>
      <c r="W243" s="1962" t="s">
        <v>2453</v>
      </c>
    </row>
    <row r="244" spans="1:23" ht="11.25" customHeight="1" x14ac:dyDescent="0.2">
      <c r="A244" s="2526" t="s">
        <v>2504</v>
      </c>
      <c r="B244" s="2526"/>
      <c r="C244" s="2526"/>
      <c r="D244" s="2526"/>
      <c r="E244" s="2526"/>
      <c r="F244" s="1960" t="s">
        <v>2505</v>
      </c>
      <c r="G244" s="2526" t="s">
        <v>2506</v>
      </c>
      <c r="H244" s="2526"/>
      <c r="I244" s="2526"/>
      <c r="J244" s="2526"/>
      <c r="L244" s="2525">
        <v>0</v>
      </c>
      <c r="M244" s="2525"/>
      <c r="N244" s="2525">
        <v>0</v>
      </c>
      <c r="O244" s="2525"/>
      <c r="P244" s="2525">
        <v>0</v>
      </c>
      <c r="Q244" s="2525"/>
      <c r="R244" s="2525">
        <v>0</v>
      </c>
      <c r="S244" s="2525"/>
      <c r="T244" s="2525">
        <v>0</v>
      </c>
      <c r="U244" s="2525"/>
      <c r="V244" s="1961">
        <v>0</v>
      </c>
      <c r="W244" s="1962" t="s">
        <v>2453</v>
      </c>
    </row>
    <row r="245" spans="1:23" ht="11.25" customHeight="1" x14ac:dyDescent="0.2">
      <c r="A245" s="2526" t="s">
        <v>2504</v>
      </c>
      <c r="B245" s="2526"/>
      <c r="C245" s="2526"/>
      <c r="D245" s="2526"/>
      <c r="E245" s="2526"/>
      <c r="F245" s="1960" t="s">
        <v>1709</v>
      </c>
      <c r="G245" s="2526" t="s">
        <v>2507</v>
      </c>
      <c r="H245" s="2526"/>
      <c r="I245" s="2526"/>
      <c r="J245" s="2526"/>
      <c r="L245" s="2525">
        <v>0</v>
      </c>
      <c r="M245" s="2525"/>
      <c r="N245" s="2525">
        <v>0</v>
      </c>
      <c r="O245" s="2525"/>
      <c r="P245" s="2525">
        <v>0</v>
      </c>
      <c r="Q245" s="2525"/>
      <c r="R245" s="2525">
        <v>0</v>
      </c>
      <c r="S245" s="2525"/>
      <c r="T245" s="2525">
        <v>0</v>
      </c>
      <c r="U245" s="2525"/>
      <c r="V245" s="1961">
        <v>0</v>
      </c>
      <c r="W245" s="1962" t="s">
        <v>2453</v>
      </c>
    </row>
    <row r="246" spans="1:23" ht="11.25" customHeight="1" x14ac:dyDescent="0.2">
      <c r="A246" s="2526" t="s">
        <v>2508</v>
      </c>
      <c r="B246" s="2526"/>
      <c r="C246" s="2526"/>
      <c r="D246" s="2526"/>
      <c r="E246" s="2526"/>
      <c r="F246" s="1960" t="s">
        <v>2112</v>
      </c>
      <c r="G246" s="2526" t="s">
        <v>2509</v>
      </c>
      <c r="H246" s="2526"/>
      <c r="I246" s="2526"/>
      <c r="J246" s="2526"/>
      <c r="L246" s="2525">
        <v>0</v>
      </c>
      <c r="M246" s="2525"/>
      <c r="N246" s="2525">
        <v>0</v>
      </c>
      <c r="O246" s="2525"/>
      <c r="P246" s="2525">
        <v>0</v>
      </c>
      <c r="Q246" s="2525"/>
      <c r="R246" s="2525">
        <v>0</v>
      </c>
      <c r="S246" s="2525"/>
      <c r="T246" s="2525">
        <v>0</v>
      </c>
      <c r="U246" s="2525"/>
      <c r="V246" s="1961">
        <v>0</v>
      </c>
      <c r="W246" s="1962" t="s">
        <v>2453</v>
      </c>
    </row>
    <row r="247" spans="1:23" ht="11.25" customHeight="1" x14ac:dyDescent="0.2">
      <c r="A247" s="2526" t="s">
        <v>2508</v>
      </c>
      <c r="B247" s="2526"/>
      <c r="C247" s="2526"/>
      <c r="D247" s="2526"/>
      <c r="E247" s="2526"/>
      <c r="F247" s="1960" t="s">
        <v>53</v>
      </c>
      <c r="G247" s="2526" t="s">
        <v>2510</v>
      </c>
      <c r="H247" s="2526"/>
      <c r="I247" s="2526"/>
      <c r="J247" s="2526"/>
      <c r="L247" s="2525">
        <v>0</v>
      </c>
      <c r="M247" s="2525"/>
      <c r="N247" s="2525">
        <v>0</v>
      </c>
      <c r="O247" s="2525"/>
      <c r="P247" s="2525">
        <v>0</v>
      </c>
      <c r="Q247" s="2525"/>
      <c r="R247" s="2525">
        <v>0</v>
      </c>
      <c r="S247" s="2525"/>
      <c r="T247" s="2525">
        <v>0</v>
      </c>
      <c r="U247" s="2525"/>
      <c r="V247" s="1961">
        <v>0</v>
      </c>
      <c r="W247" s="1962" t="s">
        <v>2453</v>
      </c>
    </row>
    <row r="248" spans="1:23" ht="11.25" customHeight="1" x14ac:dyDescent="0.2">
      <c r="A248" s="2526" t="s">
        <v>2511</v>
      </c>
      <c r="B248" s="2526"/>
      <c r="C248" s="2526"/>
      <c r="D248" s="2526"/>
      <c r="E248" s="2526"/>
      <c r="F248" s="1960" t="s">
        <v>2212</v>
      </c>
      <c r="G248" s="2526" t="s">
        <v>2512</v>
      </c>
      <c r="H248" s="2526"/>
      <c r="I248" s="2526"/>
      <c r="J248" s="2526"/>
      <c r="L248" s="2525">
        <v>0</v>
      </c>
      <c r="M248" s="2525"/>
      <c r="N248" s="2525">
        <v>0</v>
      </c>
      <c r="O248" s="2525"/>
      <c r="P248" s="2525">
        <v>0</v>
      </c>
      <c r="Q248" s="2525"/>
      <c r="R248" s="2525">
        <v>0</v>
      </c>
      <c r="S248" s="2525"/>
      <c r="T248" s="2525">
        <v>0</v>
      </c>
      <c r="U248" s="2525"/>
      <c r="V248" s="1961">
        <v>0</v>
      </c>
      <c r="W248" s="1962" t="s">
        <v>2453</v>
      </c>
    </row>
    <row r="249" spans="1:23" ht="11.25" customHeight="1" x14ac:dyDescent="0.2">
      <c r="A249" s="2526" t="s">
        <v>2513</v>
      </c>
      <c r="B249" s="2526"/>
      <c r="C249" s="2526"/>
      <c r="D249" s="2526"/>
      <c r="E249" s="2526"/>
      <c r="F249" s="1960" t="s">
        <v>53</v>
      </c>
      <c r="G249" s="2526" t="s">
        <v>2514</v>
      </c>
      <c r="H249" s="2526"/>
      <c r="I249" s="2526"/>
      <c r="J249" s="2526"/>
      <c r="L249" s="2525">
        <v>0</v>
      </c>
      <c r="M249" s="2525"/>
      <c r="N249" s="2525">
        <v>0</v>
      </c>
      <c r="O249" s="2525"/>
      <c r="P249" s="2525">
        <v>0</v>
      </c>
      <c r="Q249" s="2525"/>
      <c r="R249" s="2525">
        <v>0</v>
      </c>
      <c r="S249" s="2525"/>
      <c r="T249" s="2525">
        <v>0</v>
      </c>
      <c r="U249" s="2525"/>
      <c r="V249" s="1961">
        <v>0</v>
      </c>
      <c r="W249" s="1962" t="s">
        <v>2453</v>
      </c>
    </row>
    <row r="250" spans="1:23" ht="11.25" customHeight="1" x14ac:dyDescent="0.2">
      <c r="A250" s="2526" t="s">
        <v>2515</v>
      </c>
      <c r="B250" s="2526"/>
      <c r="C250" s="2526"/>
      <c r="D250" s="2526"/>
      <c r="E250" s="2526"/>
      <c r="F250" s="1960" t="s">
        <v>2112</v>
      </c>
      <c r="G250" s="2526" t="s">
        <v>2516</v>
      </c>
      <c r="H250" s="2526"/>
      <c r="I250" s="2526"/>
      <c r="J250" s="2526"/>
      <c r="L250" s="2525">
        <v>0</v>
      </c>
      <c r="M250" s="2525"/>
      <c r="N250" s="2525">
        <v>0</v>
      </c>
      <c r="O250" s="2525"/>
      <c r="P250" s="2525">
        <v>5223.1099999999997</v>
      </c>
      <c r="Q250" s="2525"/>
      <c r="R250" s="2525">
        <v>5223.1099999999997</v>
      </c>
      <c r="S250" s="2525"/>
      <c r="T250" s="2525">
        <v>3085</v>
      </c>
      <c r="U250" s="2525"/>
      <c r="V250" s="1961">
        <v>169.3066450567261</v>
      </c>
      <c r="W250" s="1962" t="s">
        <v>2453</v>
      </c>
    </row>
    <row r="251" spans="1:23" ht="11.25" customHeight="1" x14ac:dyDescent="0.2">
      <c r="A251" s="2526" t="s">
        <v>2515</v>
      </c>
      <c r="B251" s="2526"/>
      <c r="C251" s="2526"/>
      <c r="D251" s="2526"/>
      <c r="E251" s="2526"/>
      <c r="F251" s="1960" t="s">
        <v>2212</v>
      </c>
      <c r="G251" s="2526" t="s">
        <v>2517</v>
      </c>
      <c r="H251" s="2526"/>
      <c r="I251" s="2526"/>
      <c r="J251" s="2526"/>
      <c r="L251" s="2525">
        <v>0</v>
      </c>
      <c r="M251" s="2525"/>
      <c r="N251" s="2525">
        <v>0</v>
      </c>
      <c r="O251" s="2525"/>
      <c r="P251" s="2525">
        <v>0</v>
      </c>
      <c r="Q251" s="2525"/>
      <c r="R251" s="2525">
        <v>0</v>
      </c>
      <c r="S251" s="2525"/>
      <c r="T251" s="2525">
        <v>0</v>
      </c>
      <c r="U251" s="2525"/>
      <c r="V251" s="1961">
        <v>0</v>
      </c>
      <c r="W251" s="1962" t="s">
        <v>2453</v>
      </c>
    </row>
    <row r="252" spans="1:23" ht="11.25" customHeight="1" x14ac:dyDescent="0.2">
      <c r="A252" s="2526" t="s">
        <v>2515</v>
      </c>
      <c r="B252" s="2526"/>
      <c r="C252" s="2526"/>
      <c r="D252" s="2526"/>
      <c r="E252" s="2526"/>
      <c r="F252" s="1960" t="s">
        <v>2236</v>
      </c>
      <c r="G252" s="2526" t="s">
        <v>2518</v>
      </c>
      <c r="H252" s="2526"/>
      <c r="I252" s="2526"/>
      <c r="J252" s="2526"/>
      <c r="L252" s="2525">
        <v>0</v>
      </c>
      <c r="M252" s="2525"/>
      <c r="N252" s="2525">
        <v>0</v>
      </c>
      <c r="O252" s="2525"/>
      <c r="P252" s="2525">
        <v>0</v>
      </c>
      <c r="Q252" s="2525"/>
      <c r="R252" s="2525">
        <v>0</v>
      </c>
      <c r="S252" s="2525"/>
      <c r="T252" s="2525">
        <v>75</v>
      </c>
      <c r="U252" s="2525"/>
      <c r="V252" s="1961">
        <v>0</v>
      </c>
      <c r="W252" s="1962" t="s">
        <v>2453</v>
      </c>
    </row>
    <row r="253" spans="1:23" ht="11.25" customHeight="1" x14ac:dyDescent="0.2">
      <c r="A253" s="2526" t="s">
        <v>2515</v>
      </c>
      <c r="B253" s="2526"/>
      <c r="C253" s="2526"/>
      <c r="D253" s="2526"/>
      <c r="E253" s="2526"/>
      <c r="F253" s="1960" t="s">
        <v>1442</v>
      </c>
      <c r="G253" s="2526" t="s">
        <v>2519</v>
      </c>
      <c r="H253" s="2526"/>
      <c r="I253" s="2526"/>
      <c r="J253" s="2526"/>
      <c r="L253" s="2525">
        <v>0</v>
      </c>
      <c r="M253" s="2525"/>
      <c r="N253" s="2525">
        <v>0</v>
      </c>
      <c r="O253" s="2525"/>
      <c r="P253" s="2525">
        <v>0</v>
      </c>
      <c r="Q253" s="2525"/>
      <c r="R253" s="2525">
        <v>0</v>
      </c>
      <c r="S253" s="2525"/>
      <c r="T253" s="2525">
        <v>0</v>
      </c>
      <c r="U253" s="2525"/>
      <c r="V253" s="1961">
        <v>0</v>
      </c>
      <c r="W253" s="1962" t="s">
        <v>2453</v>
      </c>
    </row>
    <row r="254" spans="1:23" ht="11.25" customHeight="1" x14ac:dyDescent="0.2">
      <c r="A254" s="2526" t="s">
        <v>2515</v>
      </c>
      <c r="B254" s="2526"/>
      <c r="C254" s="2526"/>
      <c r="D254" s="2526"/>
      <c r="E254" s="2526"/>
      <c r="F254" s="1960" t="s">
        <v>53</v>
      </c>
      <c r="G254" s="2526" t="s">
        <v>2520</v>
      </c>
      <c r="H254" s="2526"/>
      <c r="I254" s="2526"/>
      <c r="J254" s="2526"/>
      <c r="L254" s="2525">
        <v>0</v>
      </c>
      <c r="M254" s="2525"/>
      <c r="N254" s="2525">
        <v>0</v>
      </c>
      <c r="O254" s="2525"/>
      <c r="P254" s="2525">
        <v>0</v>
      </c>
      <c r="Q254" s="2525"/>
      <c r="R254" s="2525">
        <v>0</v>
      </c>
      <c r="S254" s="2525"/>
      <c r="T254" s="2525">
        <v>0</v>
      </c>
      <c r="U254" s="2525"/>
      <c r="V254" s="1961">
        <v>0</v>
      </c>
      <c r="W254" s="1962" t="s">
        <v>2453</v>
      </c>
    </row>
    <row r="255" spans="1:23" ht="11.25" customHeight="1" x14ac:dyDescent="0.2">
      <c r="A255" s="2526" t="s">
        <v>2521</v>
      </c>
      <c r="B255" s="2526"/>
      <c r="C255" s="2526"/>
      <c r="D255" s="2526"/>
      <c r="E255" s="2526"/>
      <c r="F255" s="1960" t="s">
        <v>2236</v>
      </c>
      <c r="G255" s="2526" t="s">
        <v>2522</v>
      </c>
      <c r="H255" s="2526"/>
      <c r="I255" s="2526"/>
      <c r="J255" s="2526"/>
      <c r="L255" s="2525">
        <v>0</v>
      </c>
      <c r="M255" s="2525"/>
      <c r="N255" s="2525">
        <v>0</v>
      </c>
      <c r="O255" s="2525"/>
      <c r="P255" s="2525">
        <v>0</v>
      </c>
      <c r="Q255" s="2525"/>
      <c r="R255" s="2525">
        <v>0</v>
      </c>
      <c r="S255" s="2525"/>
      <c r="T255" s="2525">
        <v>0</v>
      </c>
      <c r="U255" s="2525"/>
      <c r="V255" s="1961">
        <v>0</v>
      </c>
      <c r="W255" s="1962" t="s">
        <v>2453</v>
      </c>
    </row>
    <row r="256" spans="1:23" ht="11.25" customHeight="1" x14ac:dyDescent="0.2">
      <c r="A256" s="2526" t="s">
        <v>2523</v>
      </c>
      <c r="B256" s="2526"/>
      <c r="C256" s="2526"/>
      <c r="D256" s="2526"/>
      <c r="E256" s="2526"/>
      <c r="F256" s="1960" t="s">
        <v>2112</v>
      </c>
      <c r="G256" s="2526" t="s">
        <v>2524</v>
      </c>
      <c r="H256" s="2526"/>
      <c r="I256" s="2526"/>
      <c r="J256" s="2526"/>
      <c r="L256" s="2525">
        <v>0</v>
      </c>
      <c r="M256" s="2525"/>
      <c r="N256" s="2525">
        <v>0</v>
      </c>
      <c r="O256" s="2525"/>
      <c r="P256" s="2525">
        <v>0</v>
      </c>
      <c r="Q256" s="2525"/>
      <c r="R256" s="2525">
        <v>0</v>
      </c>
      <c r="S256" s="2525"/>
      <c r="T256" s="2525">
        <v>0</v>
      </c>
      <c r="U256" s="2525"/>
      <c r="V256" s="1961">
        <v>0</v>
      </c>
      <c r="W256" s="1962" t="s">
        <v>2453</v>
      </c>
    </row>
    <row r="257" spans="1:23" ht="11.25" customHeight="1" x14ac:dyDescent="0.2">
      <c r="A257" s="2526" t="s">
        <v>2525</v>
      </c>
      <c r="B257" s="2526"/>
      <c r="C257" s="2526"/>
      <c r="D257" s="2526"/>
      <c r="E257" s="2526"/>
      <c r="F257" s="1960" t="s">
        <v>2112</v>
      </c>
      <c r="G257" s="2526" t="s">
        <v>2526</v>
      </c>
      <c r="H257" s="2526"/>
      <c r="I257" s="2526"/>
      <c r="J257" s="2526"/>
      <c r="L257" s="2525">
        <v>0</v>
      </c>
      <c r="M257" s="2525"/>
      <c r="N257" s="2525">
        <v>0</v>
      </c>
      <c r="O257" s="2525"/>
      <c r="P257" s="2525">
        <v>297</v>
      </c>
      <c r="Q257" s="2525"/>
      <c r="R257" s="2525">
        <v>297</v>
      </c>
      <c r="S257" s="2525"/>
      <c r="T257" s="2525">
        <v>300</v>
      </c>
      <c r="U257" s="2525"/>
      <c r="V257" s="1961">
        <v>99</v>
      </c>
      <c r="W257" s="1962" t="s">
        <v>2453</v>
      </c>
    </row>
    <row r="258" spans="1:23" ht="11.25" customHeight="1" x14ac:dyDescent="0.2">
      <c r="A258" s="2526" t="s">
        <v>2525</v>
      </c>
      <c r="B258" s="2526"/>
      <c r="C258" s="2526"/>
      <c r="D258" s="2526"/>
      <c r="E258" s="2526"/>
      <c r="F258" s="1960" t="s">
        <v>2212</v>
      </c>
      <c r="G258" s="2526" t="s">
        <v>2527</v>
      </c>
      <c r="H258" s="2526"/>
      <c r="I258" s="2526"/>
      <c r="J258" s="2526"/>
      <c r="L258" s="2525">
        <v>0</v>
      </c>
      <c r="M258" s="2525"/>
      <c r="N258" s="2525">
        <v>0</v>
      </c>
      <c r="O258" s="2525"/>
      <c r="P258" s="2525">
        <v>0</v>
      </c>
      <c r="Q258" s="2525"/>
      <c r="R258" s="2525">
        <v>0</v>
      </c>
      <c r="S258" s="2525"/>
      <c r="T258" s="2525">
        <v>0</v>
      </c>
      <c r="U258" s="2525"/>
      <c r="V258" s="1961">
        <v>0</v>
      </c>
      <c r="W258" s="1962" t="s">
        <v>2453</v>
      </c>
    </row>
    <row r="259" spans="1:23" ht="11.25" customHeight="1" x14ac:dyDescent="0.2">
      <c r="A259" s="2526" t="s">
        <v>2528</v>
      </c>
      <c r="B259" s="2526"/>
      <c r="C259" s="2526"/>
      <c r="D259" s="2526"/>
      <c r="E259" s="2526"/>
      <c r="F259" s="1960" t="s">
        <v>2112</v>
      </c>
      <c r="G259" s="2526" t="s">
        <v>2529</v>
      </c>
      <c r="H259" s="2526"/>
      <c r="I259" s="2526"/>
      <c r="J259" s="2526"/>
      <c r="L259" s="2525">
        <v>0</v>
      </c>
      <c r="M259" s="2525"/>
      <c r="N259" s="2525">
        <v>0</v>
      </c>
      <c r="O259" s="2525"/>
      <c r="P259" s="2525">
        <v>63008.54</v>
      </c>
      <c r="Q259" s="2525"/>
      <c r="R259" s="2525">
        <v>63008.54</v>
      </c>
      <c r="S259" s="2525"/>
      <c r="T259" s="2525">
        <v>79200</v>
      </c>
      <c r="U259" s="2525"/>
      <c r="V259" s="1961">
        <v>79.556237373737375</v>
      </c>
      <c r="W259" s="1962" t="s">
        <v>2453</v>
      </c>
    </row>
    <row r="260" spans="1:23" ht="11.25" customHeight="1" x14ac:dyDescent="0.2">
      <c r="A260" s="2526" t="s">
        <v>2528</v>
      </c>
      <c r="B260" s="2526"/>
      <c r="C260" s="2526"/>
      <c r="D260" s="2526"/>
      <c r="E260" s="2526"/>
      <c r="F260" s="1960" t="s">
        <v>2212</v>
      </c>
      <c r="G260" s="2526" t="s">
        <v>2530</v>
      </c>
      <c r="H260" s="2526"/>
      <c r="I260" s="2526"/>
      <c r="J260" s="2526"/>
      <c r="L260" s="2525">
        <v>0</v>
      </c>
      <c r="M260" s="2525"/>
      <c r="N260" s="2525">
        <v>0</v>
      </c>
      <c r="O260" s="2525"/>
      <c r="P260" s="2525">
        <v>0</v>
      </c>
      <c r="Q260" s="2525"/>
      <c r="R260" s="2525">
        <v>0</v>
      </c>
      <c r="S260" s="2525"/>
      <c r="T260" s="2525">
        <v>0</v>
      </c>
      <c r="U260" s="2525"/>
      <c r="V260" s="1961">
        <v>0</v>
      </c>
      <c r="W260" s="1962" t="s">
        <v>2453</v>
      </c>
    </row>
    <row r="261" spans="1:23" ht="11.25" customHeight="1" x14ac:dyDescent="0.2">
      <c r="A261" s="2526" t="s">
        <v>2531</v>
      </c>
      <c r="B261" s="2526"/>
      <c r="C261" s="2526"/>
      <c r="D261" s="2526"/>
      <c r="E261" s="2526"/>
      <c r="F261" s="1960" t="s">
        <v>2112</v>
      </c>
      <c r="G261" s="2526" t="s">
        <v>2532</v>
      </c>
      <c r="H261" s="2526"/>
      <c r="I261" s="2526"/>
      <c r="J261" s="2526"/>
      <c r="L261" s="2525">
        <v>0</v>
      </c>
      <c r="M261" s="2525"/>
      <c r="N261" s="2525">
        <v>0</v>
      </c>
      <c r="O261" s="2525"/>
      <c r="P261" s="2525">
        <v>0</v>
      </c>
      <c r="Q261" s="2525"/>
      <c r="R261" s="2525">
        <v>0</v>
      </c>
      <c r="S261" s="2525"/>
      <c r="T261" s="2525">
        <v>0</v>
      </c>
      <c r="U261" s="2525"/>
      <c r="V261" s="1961">
        <v>0</v>
      </c>
      <c r="W261" s="1962" t="s">
        <v>2453</v>
      </c>
    </row>
    <row r="262" spans="1:23" ht="11.25" customHeight="1" x14ac:dyDescent="0.2">
      <c r="A262" s="2526" t="s">
        <v>2533</v>
      </c>
      <c r="B262" s="2526"/>
      <c r="C262" s="2526"/>
      <c r="D262" s="2526"/>
      <c r="E262" s="2526"/>
      <c r="F262" s="1960" t="s">
        <v>2112</v>
      </c>
      <c r="G262" s="2526" t="s">
        <v>2534</v>
      </c>
      <c r="H262" s="2526"/>
      <c r="I262" s="2526"/>
      <c r="J262" s="2526"/>
      <c r="L262" s="2525">
        <v>0</v>
      </c>
      <c r="M262" s="2525"/>
      <c r="N262" s="2525">
        <v>0</v>
      </c>
      <c r="O262" s="2525"/>
      <c r="P262" s="2525">
        <v>0</v>
      </c>
      <c r="Q262" s="2525"/>
      <c r="R262" s="2525">
        <v>0</v>
      </c>
      <c r="S262" s="2525"/>
      <c r="T262" s="2525">
        <v>0</v>
      </c>
      <c r="U262" s="2525"/>
      <c r="V262" s="1961">
        <v>0</v>
      </c>
      <c r="W262" s="1962" t="s">
        <v>2453</v>
      </c>
    </row>
    <row r="263" spans="1:23" ht="11.25" customHeight="1" x14ac:dyDescent="0.2">
      <c r="A263" s="2526" t="s">
        <v>2535</v>
      </c>
      <c r="B263" s="2526"/>
      <c r="C263" s="2526"/>
      <c r="D263" s="2526"/>
      <c r="E263" s="2526"/>
      <c r="F263" s="1960" t="s">
        <v>2112</v>
      </c>
      <c r="G263" s="2526" t="s">
        <v>2536</v>
      </c>
      <c r="H263" s="2526"/>
      <c r="I263" s="2526"/>
      <c r="J263" s="2526"/>
      <c r="L263" s="2525">
        <v>0</v>
      </c>
      <c r="M263" s="2525"/>
      <c r="N263" s="2525">
        <v>0</v>
      </c>
      <c r="O263" s="2525"/>
      <c r="P263" s="2525">
        <v>4720.75</v>
      </c>
      <c r="Q263" s="2525"/>
      <c r="R263" s="2525">
        <v>4720.75</v>
      </c>
      <c r="S263" s="2525"/>
      <c r="T263" s="2525">
        <v>4680</v>
      </c>
      <c r="U263" s="2525"/>
      <c r="V263" s="1961">
        <v>100.8707264957265</v>
      </c>
      <c r="W263" s="1962" t="s">
        <v>2453</v>
      </c>
    </row>
    <row r="264" spans="1:23" ht="11.25" customHeight="1" x14ac:dyDescent="0.2">
      <c r="A264" s="2526" t="s">
        <v>2535</v>
      </c>
      <c r="B264" s="2526"/>
      <c r="C264" s="2526"/>
      <c r="D264" s="2526"/>
      <c r="E264" s="2526"/>
      <c r="F264" s="1960" t="s">
        <v>2212</v>
      </c>
      <c r="G264" s="2526" t="s">
        <v>2537</v>
      </c>
      <c r="H264" s="2526"/>
      <c r="I264" s="2526"/>
      <c r="J264" s="2526"/>
      <c r="L264" s="2525">
        <v>0</v>
      </c>
      <c r="M264" s="2525"/>
      <c r="N264" s="2525">
        <v>0</v>
      </c>
      <c r="O264" s="2525"/>
      <c r="P264" s="2525">
        <v>0</v>
      </c>
      <c r="Q264" s="2525"/>
      <c r="R264" s="2525">
        <v>0</v>
      </c>
      <c r="S264" s="2525"/>
      <c r="T264" s="2525">
        <v>0</v>
      </c>
      <c r="U264" s="2525"/>
      <c r="V264" s="1961">
        <v>0</v>
      </c>
      <c r="W264" s="1962" t="s">
        <v>2453</v>
      </c>
    </row>
    <row r="265" spans="1:23" ht="11.25" customHeight="1" x14ac:dyDescent="0.2">
      <c r="A265" s="2526" t="s">
        <v>2535</v>
      </c>
      <c r="B265" s="2526"/>
      <c r="C265" s="2526"/>
      <c r="D265" s="2526"/>
      <c r="E265" s="2526"/>
      <c r="F265" s="1960" t="s">
        <v>2204</v>
      </c>
      <c r="G265" s="2526" t="s">
        <v>2538</v>
      </c>
      <c r="H265" s="2526"/>
      <c r="I265" s="2526"/>
      <c r="J265" s="2526"/>
      <c r="L265" s="2525">
        <v>0</v>
      </c>
      <c r="M265" s="2525"/>
      <c r="N265" s="2525">
        <v>0</v>
      </c>
      <c r="O265" s="2525"/>
      <c r="P265" s="2525">
        <v>0</v>
      </c>
      <c r="Q265" s="2525"/>
      <c r="R265" s="2525">
        <v>0</v>
      </c>
      <c r="S265" s="2525"/>
      <c r="T265" s="2525">
        <v>0</v>
      </c>
      <c r="U265" s="2525"/>
      <c r="V265" s="1961">
        <v>0</v>
      </c>
      <c r="W265" s="1962" t="s">
        <v>2453</v>
      </c>
    </row>
    <row r="266" spans="1:23" ht="11.25" customHeight="1" x14ac:dyDescent="0.2">
      <c r="A266" s="2526" t="s">
        <v>2535</v>
      </c>
      <c r="B266" s="2526"/>
      <c r="C266" s="2526"/>
      <c r="D266" s="2526"/>
      <c r="E266" s="2526"/>
      <c r="F266" s="1960" t="s">
        <v>1442</v>
      </c>
      <c r="G266" s="2526" t="s">
        <v>2539</v>
      </c>
      <c r="H266" s="2526"/>
      <c r="I266" s="2526"/>
      <c r="J266" s="2526"/>
      <c r="L266" s="2525">
        <v>0</v>
      </c>
      <c r="M266" s="2525"/>
      <c r="N266" s="2525">
        <v>0</v>
      </c>
      <c r="O266" s="2525"/>
      <c r="P266" s="2525">
        <v>0</v>
      </c>
      <c r="Q266" s="2525"/>
      <c r="R266" s="2525">
        <v>0</v>
      </c>
      <c r="S266" s="2525"/>
      <c r="T266" s="2525">
        <v>0</v>
      </c>
      <c r="U266" s="2525"/>
      <c r="V266" s="1961">
        <v>0</v>
      </c>
      <c r="W266" s="1962" t="s">
        <v>2453</v>
      </c>
    </row>
    <row r="267" spans="1:23" ht="11.25" customHeight="1" x14ac:dyDescent="0.2">
      <c r="A267" s="2526" t="s">
        <v>2535</v>
      </c>
      <c r="B267" s="2526"/>
      <c r="C267" s="2526"/>
      <c r="D267" s="2526"/>
      <c r="E267" s="2526"/>
      <c r="F267" s="1960" t="s">
        <v>53</v>
      </c>
      <c r="G267" s="2526" t="s">
        <v>2540</v>
      </c>
      <c r="H267" s="2526"/>
      <c r="I267" s="2526"/>
      <c r="J267" s="2526"/>
      <c r="L267" s="2525">
        <v>0</v>
      </c>
      <c r="M267" s="2525"/>
      <c r="N267" s="2525">
        <v>0</v>
      </c>
      <c r="O267" s="2525"/>
      <c r="P267" s="2525">
        <v>0</v>
      </c>
      <c r="Q267" s="2525"/>
      <c r="R267" s="2525">
        <v>0</v>
      </c>
      <c r="S267" s="2525"/>
      <c r="T267" s="2525">
        <v>0</v>
      </c>
      <c r="U267" s="2525"/>
      <c r="V267" s="1961">
        <v>0</v>
      </c>
      <c r="W267" s="1962" t="s">
        <v>2453</v>
      </c>
    </row>
    <row r="268" spans="1:23" ht="11.25" customHeight="1" x14ac:dyDescent="0.2">
      <c r="A268" s="2526" t="s">
        <v>2535</v>
      </c>
      <c r="B268" s="2526"/>
      <c r="C268" s="2526"/>
      <c r="D268" s="2526"/>
      <c r="E268" s="2526"/>
      <c r="F268" s="1960" t="s">
        <v>2236</v>
      </c>
      <c r="G268" s="2526" t="s">
        <v>2541</v>
      </c>
      <c r="H268" s="2526"/>
      <c r="I268" s="2526"/>
      <c r="J268" s="2526"/>
      <c r="L268" s="2525">
        <v>0</v>
      </c>
      <c r="M268" s="2525"/>
      <c r="N268" s="2525">
        <v>0</v>
      </c>
      <c r="O268" s="2525"/>
      <c r="P268" s="2525">
        <v>0</v>
      </c>
      <c r="Q268" s="2525"/>
      <c r="R268" s="2525">
        <v>0</v>
      </c>
      <c r="S268" s="2525"/>
      <c r="T268" s="2525">
        <v>110</v>
      </c>
      <c r="U268" s="2525"/>
      <c r="V268" s="1961">
        <v>0</v>
      </c>
      <c r="W268" s="1962" t="s">
        <v>2453</v>
      </c>
    </row>
    <row r="269" spans="1:23" ht="11.25" customHeight="1" x14ac:dyDescent="0.2">
      <c r="A269" s="2526" t="s">
        <v>2542</v>
      </c>
      <c r="B269" s="2526"/>
      <c r="C269" s="2526"/>
      <c r="D269" s="2526"/>
      <c r="E269" s="2526"/>
      <c r="F269" s="1960" t="s">
        <v>2112</v>
      </c>
      <c r="G269" s="2526" t="s">
        <v>2543</v>
      </c>
      <c r="H269" s="2526"/>
      <c r="I269" s="2526"/>
      <c r="J269" s="2526"/>
      <c r="L269" s="2525">
        <v>0</v>
      </c>
      <c r="M269" s="2525"/>
      <c r="N269" s="2525">
        <v>0</v>
      </c>
      <c r="O269" s="2525"/>
      <c r="P269" s="2525">
        <v>12904.33</v>
      </c>
      <c r="Q269" s="2525"/>
      <c r="R269" s="2525">
        <v>12904.33</v>
      </c>
      <c r="S269" s="2525"/>
      <c r="T269" s="2525">
        <v>12000</v>
      </c>
      <c r="U269" s="2525"/>
      <c r="V269" s="1961">
        <v>107.53608333333334</v>
      </c>
      <c r="W269" s="1962" t="s">
        <v>2453</v>
      </c>
    </row>
    <row r="270" spans="1:23" ht="11.25" customHeight="1" x14ac:dyDescent="0.2">
      <c r="A270" s="2526" t="s">
        <v>2542</v>
      </c>
      <c r="B270" s="2526"/>
      <c r="C270" s="2526"/>
      <c r="D270" s="2526"/>
      <c r="E270" s="2526"/>
      <c r="F270" s="1960" t="s">
        <v>2236</v>
      </c>
      <c r="G270" s="2526" t="s">
        <v>2544</v>
      </c>
      <c r="H270" s="2526"/>
      <c r="I270" s="2526"/>
      <c r="J270" s="2526"/>
      <c r="L270" s="2525">
        <v>0</v>
      </c>
      <c r="M270" s="2525"/>
      <c r="N270" s="2525">
        <v>0</v>
      </c>
      <c r="O270" s="2525"/>
      <c r="P270" s="2525">
        <v>1090</v>
      </c>
      <c r="Q270" s="2525"/>
      <c r="R270" s="2525">
        <v>1090</v>
      </c>
      <c r="S270" s="2525"/>
      <c r="T270" s="2525">
        <v>0</v>
      </c>
      <c r="U270" s="2525"/>
      <c r="V270" s="1961">
        <v>0</v>
      </c>
      <c r="W270" s="1962" t="s">
        <v>2453</v>
      </c>
    </row>
    <row r="271" spans="1:23" ht="11.25" customHeight="1" x14ac:dyDescent="0.2">
      <c r="A271" s="2526" t="s">
        <v>2545</v>
      </c>
      <c r="B271" s="2526"/>
      <c r="C271" s="2526"/>
      <c r="D271" s="2526"/>
      <c r="E271" s="2526"/>
      <c r="F271" s="1960" t="s">
        <v>2112</v>
      </c>
      <c r="G271" s="2526" t="s">
        <v>2546</v>
      </c>
      <c r="H271" s="2526"/>
      <c r="I271" s="2526"/>
      <c r="J271" s="2526"/>
      <c r="L271" s="2525">
        <v>0</v>
      </c>
      <c r="M271" s="2525"/>
      <c r="N271" s="2525">
        <v>0</v>
      </c>
      <c r="O271" s="2525"/>
      <c r="P271" s="2525">
        <v>0</v>
      </c>
      <c r="Q271" s="2525"/>
      <c r="R271" s="2525">
        <v>0</v>
      </c>
      <c r="S271" s="2525"/>
      <c r="T271" s="2525">
        <v>0</v>
      </c>
      <c r="U271" s="2525"/>
      <c r="V271" s="1961">
        <v>0</v>
      </c>
      <c r="W271" s="1962" t="s">
        <v>2453</v>
      </c>
    </row>
    <row r="272" spans="1:23" ht="11.25" customHeight="1" x14ac:dyDescent="0.2">
      <c r="A272" s="2526" t="s">
        <v>2547</v>
      </c>
      <c r="B272" s="2526"/>
      <c r="C272" s="2526"/>
      <c r="D272" s="2526"/>
      <c r="E272" s="2526"/>
      <c r="F272" s="1960" t="s">
        <v>2112</v>
      </c>
      <c r="G272" s="2526" t="s">
        <v>2548</v>
      </c>
      <c r="H272" s="2526"/>
      <c r="I272" s="2526"/>
      <c r="J272" s="2526"/>
      <c r="L272" s="2525">
        <v>0</v>
      </c>
      <c r="M272" s="2525"/>
      <c r="N272" s="2525">
        <v>0</v>
      </c>
      <c r="O272" s="2525"/>
      <c r="P272" s="2525">
        <v>13944.77</v>
      </c>
      <c r="Q272" s="2525"/>
      <c r="R272" s="2525">
        <v>13944.77</v>
      </c>
      <c r="S272" s="2525"/>
      <c r="T272" s="2525">
        <v>15000</v>
      </c>
      <c r="U272" s="2525"/>
      <c r="V272" s="1961">
        <v>92.965133333333327</v>
      </c>
      <c r="W272" s="1962" t="s">
        <v>2453</v>
      </c>
    </row>
    <row r="273" spans="1:23" ht="11.25" customHeight="1" x14ac:dyDescent="0.2">
      <c r="A273" s="2526" t="s">
        <v>2547</v>
      </c>
      <c r="B273" s="2526"/>
      <c r="C273" s="2526"/>
      <c r="D273" s="2526"/>
      <c r="E273" s="2526"/>
      <c r="F273" s="1960" t="s">
        <v>2221</v>
      </c>
      <c r="G273" s="2526" t="s">
        <v>2549</v>
      </c>
      <c r="H273" s="2526"/>
      <c r="I273" s="2526"/>
      <c r="J273" s="2526"/>
      <c r="L273" s="2525">
        <v>0</v>
      </c>
      <c r="M273" s="2525"/>
      <c r="N273" s="2525">
        <v>0</v>
      </c>
      <c r="O273" s="2525"/>
      <c r="P273" s="2525">
        <v>0</v>
      </c>
      <c r="Q273" s="2525"/>
      <c r="R273" s="2525">
        <v>0</v>
      </c>
      <c r="S273" s="2525"/>
      <c r="T273" s="2525">
        <v>0</v>
      </c>
      <c r="U273" s="2525"/>
      <c r="V273" s="1961">
        <v>0</v>
      </c>
      <c r="W273" s="1962" t="s">
        <v>2453</v>
      </c>
    </row>
    <row r="274" spans="1:23" ht="11.25" customHeight="1" x14ac:dyDescent="0.2">
      <c r="A274" s="2526" t="s">
        <v>2547</v>
      </c>
      <c r="B274" s="2526"/>
      <c r="C274" s="2526"/>
      <c r="D274" s="2526"/>
      <c r="E274" s="2526"/>
      <c r="F274" s="1960" t="s">
        <v>1442</v>
      </c>
      <c r="G274" s="2526" t="s">
        <v>2550</v>
      </c>
      <c r="H274" s="2526"/>
      <c r="I274" s="2526"/>
      <c r="J274" s="2526"/>
      <c r="L274" s="2525">
        <v>0</v>
      </c>
      <c r="M274" s="2525"/>
      <c r="N274" s="2525">
        <v>0</v>
      </c>
      <c r="O274" s="2525"/>
      <c r="P274" s="2525">
        <v>0</v>
      </c>
      <c r="Q274" s="2525"/>
      <c r="R274" s="2525">
        <v>0</v>
      </c>
      <c r="S274" s="2525"/>
      <c r="T274" s="2525">
        <v>0</v>
      </c>
      <c r="U274" s="2525"/>
      <c r="V274" s="1961">
        <v>0</v>
      </c>
      <c r="W274" s="1962" t="s">
        <v>2453</v>
      </c>
    </row>
    <row r="275" spans="1:23" ht="11.25" customHeight="1" x14ac:dyDescent="0.2">
      <c r="A275" s="2526" t="s">
        <v>2547</v>
      </c>
      <c r="B275" s="2526"/>
      <c r="C275" s="2526"/>
      <c r="D275" s="2526"/>
      <c r="E275" s="2526"/>
      <c r="F275" s="1960" t="s">
        <v>2261</v>
      </c>
      <c r="G275" s="2526" t="s">
        <v>2551</v>
      </c>
      <c r="H275" s="2526"/>
      <c r="I275" s="2526"/>
      <c r="J275" s="2526"/>
      <c r="L275" s="2525">
        <v>0</v>
      </c>
      <c r="M275" s="2525"/>
      <c r="N275" s="2525">
        <v>0</v>
      </c>
      <c r="O275" s="2525"/>
      <c r="P275" s="2525">
        <v>0</v>
      </c>
      <c r="Q275" s="2525"/>
      <c r="R275" s="2525">
        <v>0</v>
      </c>
      <c r="S275" s="2525"/>
      <c r="T275" s="2525">
        <v>0</v>
      </c>
      <c r="U275" s="2525"/>
      <c r="V275" s="1961">
        <v>0</v>
      </c>
      <c r="W275" s="1962" t="s">
        <v>2453</v>
      </c>
    </row>
    <row r="276" spans="1:23" ht="11.25" customHeight="1" x14ac:dyDescent="0.2">
      <c r="A276" s="2526" t="s">
        <v>2547</v>
      </c>
      <c r="B276" s="2526"/>
      <c r="C276" s="2526"/>
      <c r="D276" s="2526"/>
      <c r="E276" s="2526"/>
      <c r="F276" s="1960" t="s">
        <v>2212</v>
      </c>
      <c r="G276" s="2526" t="s">
        <v>2552</v>
      </c>
      <c r="H276" s="2526"/>
      <c r="I276" s="2526"/>
      <c r="J276" s="2526"/>
      <c r="L276" s="2525">
        <v>0</v>
      </c>
      <c r="M276" s="2525"/>
      <c r="N276" s="2525">
        <v>0</v>
      </c>
      <c r="O276" s="2525"/>
      <c r="P276" s="2525">
        <v>0</v>
      </c>
      <c r="Q276" s="2525"/>
      <c r="R276" s="2525">
        <v>0</v>
      </c>
      <c r="S276" s="2525"/>
      <c r="T276" s="2525">
        <v>0</v>
      </c>
      <c r="U276" s="2525"/>
      <c r="V276" s="1961">
        <v>0</v>
      </c>
      <c r="W276" s="1962" t="s">
        <v>2453</v>
      </c>
    </row>
    <row r="277" spans="1:23" ht="11.25" customHeight="1" x14ac:dyDescent="0.2">
      <c r="A277" s="2526" t="s">
        <v>2547</v>
      </c>
      <c r="B277" s="2526"/>
      <c r="C277" s="2526"/>
      <c r="D277" s="2526"/>
      <c r="E277" s="2526"/>
      <c r="F277" s="1960" t="s">
        <v>2287</v>
      </c>
      <c r="G277" s="2526" t="s">
        <v>2553</v>
      </c>
      <c r="H277" s="2526"/>
      <c r="I277" s="2526"/>
      <c r="J277" s="2526"/>
      <c r="L277" s="2525">
        <v>0</v>
      </c>
      <c r="M277" s="2525"/>
      <c r="N277" s="2525">
        <v>0</v>
      </c>
      <c r="O277" s="2525"/>
      <c r="P277" s="2525">
        <v>0</v>
      </c>
      <c r="Q277" s="2525"/>
      <c r="R277" s="2525">
        <v>0</v>
      </c>
      <c r="S277" s="2525"/>
      <c r="T277" s="2525">
        <v>0</v>
      </c>
      <c r="U277" s="2525"/>
      <c r="V277" s="1961">
        <v>0</v>
      </c>
      <c r="W277" s="1962" t="s">
        <v>2453</v>
      </c>
    </row>
    <row r="278" spans="1:23" ht="11.25" customHeight="1" x14ac:dyDescent="0.2">
      <c r="A278" s="2526" t="s">
        <v>2547</v>
      </c>
      <c r="B278" s="2526"/>
      <c r="C278" s="2526"/>
      <c r="D278" s="2526"/>
      <c r="E278" s="2526"/>
      <c r="F278" s="1960" t="s">
        <v>2224</v>
      </c>
      <c r="G278" s="2526" t="s">
        <v>2554</v>
      </c>
      <c r="H278" s="2526"/>
      <c r="I278" s="2526"/>
      <c r="J278" s="2526"/>
      <c r="L278" s="2525">
        <v>0</v>
      </c>
      <c r="M278" s="2525"/>
      <c r="N278" s="2525">
        <v>0</v>
      </c>
      <c r="O278" s="2525"/>
      <c r="P278" s="2525">
        <v>0</v>
      </c>
      <c r="Q278" s="2525"/>
      <c r="R278" s="2525">
        <v>0</v>
      </c>
      <c r="S278" s="2525"/>
      <c r="T278" s="2525">
        <v>0</v>
      </c>
      <c r="U278" s="2525"/>
      <c r="V278" s="1961">
        <v>0</v>
      </c>
      <c r="W278" s="1962" t="s">
        <v>2453</v>
      </c>
    </row>
    <row r="279" spans="1:23" ht="11.25" customHeight="1" x14ac:dyDescent="0.2">
      <c r="A279" s="2526" t="s">
        <v>2555</v>
      </c>
      <c r="B279" s="2526"/>
      <c r="C279" s="2526"/>
      <c r="D279" s="2526"/>
      <c r="E279" s="2526"/>
      <c r="F279" s="1960" t="s">
        <v>53</v>
      </c>
      <c r="G279" s="2526" t="s">
        <v>2556</v>
      </c>
      <c r="H279" s="2526"/>
      <c r="I279" s="2526"/>
      <c r="J279" s="2526"/>
      <c r="L279" s="2525">
        <v>0</v>
      </c>
      <c r="M279" s="2525"/>
      <c r="N279" s="2525">
        <v>0</v>
      </c>
      <c r="O279" s="2525"/>
      <c r="P279" s="2525">
        <v>0</v>
      </c>
      <c r="Q279" s="2525"/>
      <c r="R279" s="2525">
        <v>0</v>
      </c>
      <c r="S279" s="2525"/>
      <c r="T279" s="2525">
        <v>0</v>
      </c>
      <c r="U279" s="2525"/>
      <c r="V279" s="1961">
        <v>0</v>
      </c>
      <c r="W279" s="1962" t="s">
        <v>2453</v>
      </c>
    </row>
    <row r="280" spans="1:23" ht="11.25" customHeight="1" x14ac:dyDescent="0.2">
      <c r="A280" s="2526" t="s">
        <v>2557</v>
      </c>
      <c r="B280" s="2526"/>
      <c r="C280" s="2526"/>
      <c r="D280" s="2526"/>
      <c r="E280" s="2526"/>
      <c r="F280" s="1960" t="s">
        <v>2112</v>
      </c>
      <c r="G280" s="2526" t="s">
        <v>2558</v>
      </c>
      <c r="H280" s="2526"/>
      <c r="I280" s="2526"/>
      <c r="J280" s="2526"/>
      <c r="L280" s="2525">
        <v>0</v>
      </c>
      <c r="M280" s="2525"/>
      <c r="N280" s="2525">
        <v>0</v>
      </c>
      <c r="O280" s="2525"/>
      <c r="P280" s="2525">
        <v>0</v>
      </c>
      <c r="Q280" s="2525"/>
      <c r="R280" s="2525">
        <v>0</v>
      </c>
      <c r="S280" s="2525"/>
      <c r="T280" s="2525">
        <v>0</v>
      </c>
      <c r="U280" s="2525"/>
      <c r="V280" s="1961">
        <v>0</v>
      </c>
      <c r="W280" s="1962" t="s">
        <v>2453</v>
      </c>
    </row>
    <row r="281" spans="1:23" ht="11.25" customHeight="1" x14ac:dyDescent="0.2">
      <c r="A281" s="2526" t="s">
        <v>2559</v>
      </c>
      <c r="B281" s="2526"/>
      <c r="C281" s="2526"/>
      <c r="D281" s="2526"/>
      <c r="E281" s="2526"/>
      <c r="F281" s="1960" t="s">
        <v>2112</v>
      </c>
      <c r="G281" s="2526" t="s">
        <v>2560</v>
      </c>
      <c r="H281" s="2526"/>
      <c r="I281" s="2526"/>
      <c r="J281" s="2526"/>
      <c r="L281" s="2525">
        <v>0</v>
      </c>
      <c r="M281" s="2525"/>
      <c r="N281" s="2525">
        <v>0</v>
      </c>
      <c r="O281" s="2525"/>
      <c r="P281" s="2525">
        <v>0</v>
      </c>
      <c r="Q281" s="2525"/>
      <c r="R281" s="2525">
        <v>0</v>
      </c>
      <c r="S281" s="2525"/>
      <c r="T281" s="2525">
        <v>1000</v>
      </c>
      <c r="U281" s="2525"/>
      <c r="V281" s="1961">
        <v>0</v>
      </c>
      <c r="W281" s="1962" t="s">
        <v>2453</v>
      </c>
    </row>
    <row r="282" spans="1:23" ht="11.25" customHeight="1" x14ac:dyDescent="0.2">
      <c r="A282" s="2526" t="s">
        <v>2561</v>
      </c>
      <c r="B282" s="2526"/>
      <c r="C282" s="2526"/>
      <c r="D282" s="2526"/>
      <c r="E282" s="2526"/>
      <c r="F282" s="1960" t="s">
        <v>2112</v>
      </c>
      <c r="G282" s="2526" t="s">
        <v>1124</v>
      </c>
      <c r="H282" s="2526"/>
      <c r="I282" s="2526"/>
      <c r="J282" s="2526"/>
      <c r="L282" s="2525">
        <v>0</v>
      </c>
      <c r="M282" s="2525"/>
      <c r="N282" s="2525">
        <v>0</v>
      </c>
      <c r="O282" s="2525"/>
      <c r="P282" s="2525">
        <v>7581.8600000000006</v>
      </c>
      <c r="Q282" s="2525"/>
      <c r="R282" s="2525">
        <v>7581.8600000000006</v>
      </c>
      <c r="S282" s="2525"/>
      <c r="T282" s="2525">
        <v>6300</v>
      </c>
      <c r="U282" s="2525"/>
      <c r="V282" s="1961">
        <v>120.34698412698414</v>
      </c>
      <c r="W282" s="1962" t="s">
        <v>2453</v>
      </c>
    </row>
    <row r="283" spans="1:23" ht="11.25" customHeight="1" x14ac:dyDescent="0.2">
      <c r="A283" s="2526" t="s">
        <v>2562</v>
      </c>
      <c r="B283" s="2526"/>
      <c r="C283" s="2526"/>
      <c r="D283" s="2526"/>
      <c r="E283" s="2526"/>
      <c r="F283" s="1960" t="s">
        <v>2112</v>
      </c>
      <c r="G283" s="2526" t="s">
        <v>2563</v>
      </c>
      <c r="H283" s="2526"/>
      <c r="I283" s="2526"/>
      <c r="J283" s="2526"/>
      <c r="L283" s="2525">
        <v>0</v>
      </c>
      <c r="M283" s="2525"/>
      <c r="N283" s="2525">
        <v>0</v>
      </c>
      <c r="O283" s="2525"/>
      <c r="P283" s="2525">
        <v>808.11</v>
      </c>
      <c r="Q283" s="2525"/>
      <c r="R283" s="2525">
        <v>808.11</v>
      </c>
      <c r="S283" s="2525"/>
      <c r="T283" s="2525">
        <v>500</v>
      </c>
      <c r="U283" s="2525"/>
      <c r="V283" s="1961">
        <v>161.62200000000001</v>
      </c>
      <c r="W283" s="1962" t="s">
        <v>2453</v>
      </c>
    </row>
    <row r="284" spans="1:23" ht="11.25" customHeight="1" x14ac:dyDescent="0.2">
      <c r="A284" s="2526" t="s">
        <v>2562</v>
      </c>
      <c r="B284" s="2526"/>
      <c r="C284" s="2526"/>
      <c r="D284" s="2526"/>
      <c r="E284" s="2526"/>
      <c r="F284" s="1960" t="s">
        <v>2212</v>
      </c>
      <c r="G284" s="2526" t="s">
        <v>2564</v>
      </c>
      <c r="H284" s="2526"/>
      <c r="I284" s="2526"/>
      <c r="J284" s="2526"/>
      <c r="L284" s="2525">
        <v>0</v>
      </c>
      <c r="M284" s="2525"/>
      <c r="N284" s="2525">
        <v>0</v>
      </c>
      <c r="O284" s="2525"/>
      <c r="P284" s="2525">
        <v>0</v>
      </c>
      <c r="Q284" s="2525"/>
      <c r="R284" s="2525">
        <v>0</v>
      </c>
      <c r="S284" s="2525"/>
      <c r="T284" s="2525">
        <v>0</v>
      </c>
      <c r="U284" s="2525"/>
      <c r="V284" s="1961">
        <v>0</v>
      </c>
      <c r="W284" s="1962" t="s">
        <v>2453</v>
      </c>
    </row>
    <row r="285" spans="1:23" ht="11.25" customHeight="1" x14ac:dyDescent="0.2">
      <c r="A285" s="2526" t="s">
        <v>2562</v>
      </c>
      <c r="B285" s="2526"/>
      <c r="C285" s="2526"/>
      <c r="D285" s="2526"/>
      <c r="E285" s="2526"/>
      <c r="F285" s="1960" t="s">
        <v>1442</v>
      </c>
      <c r="G285" s="2526" t="s">
        <v>2565</v>
      </c>
      <c r="H285" s="2526"/>
      <c r="I285" s="2526"/>
      <c r="J285" s="2526"/>
      <c r="L285" s="2525">
        <v>0</v>
      </c>
      <c r="M285" s="2525"/>
      <c r="N285" s="2525">
        <v>0</v>
      </c>
      <c r="O285" s="2525"/>
      <c r="P285" s="2525">
        <v>0</v>
      </c>
      <c r="Q285" s="2525"/>
      <c r="R285" s="2525">
        <v>0</v>
      </c>
      <c r="S285" s="2525"/>
      <c r="T285" s="2525">
        <v>0</v>
      </c>
      <c r="U285" s="2525"/>
      <c r="V285" s="1961">
        <v>0</v>
      </c>
      <c r="W285" s="1962" t="s">
        <v>2453</v>
      </c>
    </row>
    <row r="286" spans="1:23" ht="11.25" customHeight="1" x14ac:dyDescent="0.2">
      <c r="A286" s="2526" t="s">
        <v>2562</v>
      </c>
      <c r="B286" s="2526"/>
      <c r="C286" s="2526"/>
      <c r="D286" s="2526"/>
      <c r="E286" s="2526"/>
      <c r="F286" s="1960" t="s">
        <v>2236</v>
      </c>
      <c r="G286" s="2526" t="s">
        <v>2566</v>
      </c>
      <c r="H286" s="2526"/>
      <c r="I286" s="2526"/>
      <c r="J286" s="2526"/>
      <c r="L286" s="2525">
        <v>0</v>
      </c>
      <c r="M286" s="2525"/>
      <c r="N286" s="2525">
        <v>0</v>
      </c>
      <c r="O286" s="2525"/>
      <c r="P286" s="2525">
        <v>0</v>
      </c>
      <c r="Q286" s="2525"/>
      <c r="R286" s="2525">
        <v>0</v>
      </c>
      <c r="S286" s="2525"/>
      <c r="T286" s="2525">
        <v>0</v>
      </c>
      <c r="U286" s="2525"/>
      <c r="V286" s="1961">
        <v>0</v>
      </c>
      <c r="W286" s="1962" t="s">
        <v>2453</v>
      </c>
    </row>
    <row r="287" spans="1:23" ht="11.25" customHeight="1" x14ac:dyDescent="0.2">
      <c r="A287" s="2526" t="s">
        <v>2567</v>
      </c>
      <c r="B287" s="2526"/>
      <c r="C287" s="2526"/>
      <c r="D287" s="2526"/>
      <c r="E287" s="2526"/>
      <c r="F287" s="1960" t="s">
        <v>53</v>
      </c>
      <c r="G287" s="2526" t="s">
        <v>2568</v>
      </c>
      <c r="H287" s="2526"/>
      <c r="I287" s="2526"/>
      <c r="J287" s="2526"/>
      <c r="L287" s="2525">
        <v>0</v>
      </c>
      <c r="M287" s="2525"/>
      <c r="N287" s="2525">
        <v>0</v>
      </c>
      <c r="O287" s="2525"/>
      <c r="P287" s="2525">
        <v>0</v>
      </c>
      <c r="Q287" s="2525"/>
      <c r="R287" s="2525">
        <v>0</v>
      </c>
      <c r="S287" s="2525"/>
      <c r="T287" s="2525">
        <v>0</v>
      </c>
      <c r="U287" s="2525"/>
      <c r="V287" s="1961">
        <v>0</v>
      </c>
      <c r="W287" s="1962" t="s">
        <v>2453</v>
      </c>
    </row>
    <row r="288" spans="1:23" ht="11.25" customHeight="1" x14ac:dyDescent="0.2">
      <c r="A288" s="2526" t="s">
        <v>2569</v>
      </c>
      <c r="B288" s="2526"/>
      <c r="C288" s="2526"/>
      <c r="D288" s="2526"/>
      <c r="E288" s="2526"/>
      <c r="F288" s="1960" t="s">
        <v>2112</v>
      </c>
      <c r="G288" s="2526" t="s">
        <v>2570</v>
      </c>
      <c r="H288" s="2526"/>
      <c r="I288" s="2526"/>
      <c r="J288" s="2526"/>
      <c r="L288" s="2525">
        <v>0</v>
      </c>
      <c r="M288" s="2525"/>
      <c r="N288" s="2525">
        <v>0</v>
      </c>
      <c r="O288" s="2525"/>
      <c r="P288" s="2525">
        <v>0</v>
      </c>
      <c r="Q288" s="2525"/>
      <c r="R288" s="2525">
        <v>0</v>
      </c>
      <c r="S288" s="2525"/>
      <c r="T288" s="2525">
        <v>0</v>
      </c>
      <c r="U288" s="2525"/>
      <c r="V288" s="1961">
        <v>0</v>
      </c>
      <c r="W288" s="1962" t="s">
        <v>2453</v>
      </c>
    </row>
    <row r="289" spans="1:23" ht="11.25" customHeight="1" x14ac:dyDescent="0.2">
      <c r="A289" s="2526" t="s">
        <v>2571</v>
      </c>
      <c r="B289" s="2526"/>
      <c r="C289" s="2526"/>
      <c r="D289" s="2526"/>
      <c r="E289" s="2526"/>
      <c r="F289" s="1960" t="s">
        <v>2112</v>
      </c>
      <c r="G289" s="2526" t="s">
        <v>2572</v>
      </c>
      <c r="H289" s="2526"/>
      <c r="I289" s="2526"/>
      <c r="J289" s="2526"/>
      <c r="L289" s="2525">
        <v>0</v>
      </c>
      <c r="M289" s="2525"/>
      <c r="N289" s="2525">
        <v>0</v>
      </c>
      <c r="O289" s="2525"/>
      <c r="P289" s="2525">
        <v>35883.550000000003</v>
      </c>
      <c r="Q289" s="2525"/>
      <c r="R289" s="2525">
        <v>35883.550000000003</v>
      </c>
      <c r="S289" s="2525"/>
      <c r="T289" s="2525">
        <v>18000</v>
      </c>
      <c r="U289" s="2525"/>
      <c r="V289" s="1961">
        <v>199.35305555555556</v>
      </c>
      <c r="W289" s="1962" t="s">
        <v>2453</v>
      </c>
    </row>
    <row r="290" spans="1:23" ht="11.25" customHeight="1" x14ac:dyDescent="0.2">
      <c r="A290" s="2526" t="s">
        <v>2571</v>
      </c>
      <c r="B290" s="2526"/>
      <c r="C290" s="2526"/>
      <c r="D290" s="2526"/>
      <c r="E290" s="2526"/>
      <c r="F290" s="1960" t="s">
        <v>1442</v>
      </c>
      <c r="G290" s="2526" t="s">
        <v>2573</v>
      </c>
      <c r="H290" s="2526"/>
      <c r="I290" s="2526"/>
      <c r="J290" s="2526"/>
      <c r="L290" s="2525">
        <v>0</v>
      </c>
      <c r="M290" s="2525"/>
      <c r="N290" s="2525">
        <v>0</v>
      </c>
      <c r="O290" s="2525"/>
      <c r="P290" s="2525">
        <v>0</v>
      </c>
      <c r="Q290" s="2525"/>
      <c r="R290" s="2525">
        <v>0</v>
      </c>
      <c r="S290" s="2525"/>
      <c r="T290" s="2525">
        <v>0</v>
      </c>
      <c r="U290" s="2525"/>
      <c r="V290" s="1961">
        <v>0</v>
      </c>
      <c r="W290" s="1962" t="s">
        <v>2453</v>
      </c>
    </row>
    <row r="291" spans="1:23" ht="11.25" customHeight="1" x14ac:dyDescent="0.2">
      <c r="A291" s="2526" t="s">
        <v>2571</v>
      </c>
      <c r="B291" s="2526"/>
      <c r="C291" s="2526"/>
      <c r="D291" s="2526"/>
      <c r="E291" s="2526"/>
      <c r="F291" s="1960" t="s">
        <v>704</v>
      </c>
      <c r="G291" s="2526" t="s">
        <v>2574</v>
      </c>
      <c r="H291" s="2526"/>
      <c r="I291" s="2526"/>
      <c r="J291" s="2526"/>
      <c r="L291" s="2525">
        <v>0</v>
      </c>
      <c r="M291" s="2525"/>
      <c r="N291" s="2525">
        <v>0</v>
      </c>
      <c r="O291" s="2525"/>
      <c r="P291" s="2525">
        <v>0</v>
      </c>
      <c r="Q291" s="2525"/>
      <c r="R291" s="2525">
        <v>0</v>
      </c>
      <c r="S291" s="2525"/>
      <c r="T291" s="2525">
        <v>0</v>
      </c>
      <c r="U291" s="2525"/>
      <c r="V291" s="1961">
        <v>0</v>
      </c>
      <c r="W291" s="1962" t="s">
        <v>2453</v>
      </c>
    </row>
    <row r="292" spans="1:23" ht="11.25" customHeight="1" x14ac:dyDescent="0.2">
      <c r="A292" s="2526" t="s">
        <v>2571</v>
      </c>
      <c r="B292" s="2526"/>
      <c r="C292" s="2526"/>
      <c r="D292" s="2526"/>
      <c r="E292" s="2526"/>
      <c r="F292" s="1960" t="s">
        <v>2224</v>
      </c>
      <c r="G292" s="2526" t="s">
        <v>2554</v>
      </c>
      <c r="H292" s="2526"/>
      <c r="I292" s="2526"/>
      <c r="J292" s="2526"/>
      <c r="L292" s="2525">
        <v>0</v>
      </c>
      <c r="M292" s="2525"/>
      <c r="N292" s="2525">
        <v>0</v>
      </c>
      <c r="O292" s="2525"/>
      <c r="P292" s="2525">
        <v>0</v>
      </c>
      <c r="Q292" s="2525"/>
      <c r="R292" s="2525">
        <v>0</v>
      </c>
      <c r="S292" s="2525"/>
      <c r="T292" s="2525">
        <v>0</v>
      </c>
      <c r="U292" s="2525"/>
      <c r="V292" s="1961">
        <v>0</v>
      </c>
      <c r="W292" s="1962" t="s">
        <v>2453</v>
      </c>
    </row>
    <row r="293" spans="1:23" ht="11.25" customHeight="1" x14ac:dyDescent="0.2">
      <c r="A293" s="2526" t="s">
        <v>2571</v>
      </c>
      <c r="B293" s="2526"/>
      <c r="C293" s="2526"/>
      <c r="D293" s="2526"/>
      <c r="E293" s="2526"/>
      <c r="F293" s="1960" t="s">
        <v>2287</v>
      </c>
      <c r="G293" s="2526" t="s">
        <v>2575</v>
      </c>
      <c r="H293" s="2526"/>
      <c r="I293" s="2526"/>
      <c r="J293" s="2526"/>
      <c r="L293" s="2525">
        <v>0</v>
      </c>
      <c r="M293" s="2525"/>
      <c r="N293" s="2525">
        <v>0</v>
      </c>
      <c r="O293" s="2525"/>
      <c r="P293" s="2525">
        <v>0</v>
      </c>
      <c r="Q293" s="2525"/>
      <c r="R293" s="2525">
        <v>0</v>
      </c>
      <c r="S293" s="2525"/>
      <c r="T293" s="2525">
        <v>0</v>
      </c>
      <c r="U293" s="2525"/>
      <c r="V293" s="1961">
        <v>0</v>
      </c>
      <c r="W293" s="1962" t="s">
        <v>2453</v>
      </c>
    </row>
    <row r="294" spans="1:23" ht="11.25" customHeight="1" x14ac:dyDescent="0.2">
      <c r="A294" s="2526" t="s">
        <v>2576</v>
      </c>
      <c r="B294" s="2526"/>
      <c r="C294" s="2526"/>
      <c r="D294" s="2526"/>
      <c r="E294" s="2526"/>
      <c r="F294" s="1960" t="s">
        <v>2212</v>
      </c>
      <c r="G294" s="2526" t="s">
        <v>2577</v>
      </c>
      <c r="H294" s="2526"/>
      <c r="I294" s="2526"/>
      <c r="J294" s="2526"/>
      <c r="L294" s="2525">
        <v>0</v>
      </c>
      <c r="M294" s="2525"/>
      <c r="N294" s="2525">
        <v>0</v>
      </c>
      <c r="O294" s="2525"/>
      <c r="P294" s="2525">
        <v>0</v>
      </c>
      <c r="Q294" s="2525"/>
      <c r="R294" s="2525">
        <v>0</v>
      </c>
      <c r="S294" s="2525"/>
      <c r="T294" s="2525">
        <v>0</v>
      </c>
      <c r="U294" s="2525"/>
      <c r="V294" s="1961">
        <v>0</v>
      </c>
      <c r="W294" s="1962" t="s">
        <v>2453</v>
      </c>
    </row>
    <row r="295" spans="1:23" ht="11.25" customHeight="1" x14ac:dyDescent="0.2">
      <c r="A295" s="2526" t="s">
        <v>2576</v>
      </c>
      <c r="B295" s="2526"/>
      <c r="C295" s="2526"/>
      <c r="D295" s="2526"/>
      <c r="E295" s="2526"/>
      <c r="F295" s="1960" t="s">
        <v>2112</v>
      </c>
      <c r="G295" s="2526" t="s">
        <v>2578</v>
      </c>
      <c r="H295" s="2526"/>
      <c r="I295" s="2526"/>
      <c r="J295" s="2526"/>
      <c r="L295" s="2525">
        <v>0</v>
      </c>
      <c r="M295" s="2525"/>
      <c r="N295" s="2525">
        <v>0</v>
      </c>
      <c r="O295" s="2525"/>
      <c r="P295" s="2525">
        <v>0</v>
      </c>
      <c r="Q295" s="2525"/>
      <c r="R295" s="2525">
        <v>0</v>
      </c>
      <c r="S295" s="2525"/>
      <c r="T295" s="2525">
        <v>0</v>
      </c>
      <c r="U295" s="2525"/>
      <c r="V295" s="1961">
        <v>0</v>
      </c>
      <c r="W295" s="1962" t="s">
        <v>2453</v>
      </c>
    </row>
    <row r="296" spans="1:23" ht="11.25" customHeight="1" x14ac:dyDescent="0.2">
      <c r="A296" s="2526" t="s">
        <v>2579</v>
      </c>
      <c r="B296" s="2526"/>
      <c r="C296" s="2526"/>
      <c r="D296" s="2526"/>
      <c r="E296" s="2526"/>
      <c r="F296" s="1960" t="s">
        <v>2112</v>
      </c>
      <c r="G296" s="2526" t="s">
        <v>2580</v>
      </c>
      <c r="H296" s="2526"/>
      <c r="I296" s="2526"/>
      <c r="J296" s="2526"/>
      <c r="L296" s="2525">
        <v>0</v>
      </c>
      <c r="M296" s="2525"/>
      <c r="N296" s="2525">
        <v>0</v>
      </c>
      <c r="O296" s="2525"/>
      <c r="P296" s="2525">
        <v>3236.11</v>
      </c>
      <c r="Q296" s="2525"/>
      <c r="R296" s="2525">
        <v>3236.11</v>
      </c>
      <c r="S296" s="2525"/>
      <c r="T296" s="2525">
        <v>1200</v>
      </c>
      <c r="U296" s="2525"/>
      <c r="V296" s="1961">
        <v>269.67583333333334</v>
      </c>
      <c r="W296" s="1962" t="s">
        <v>2453</v>
      </c>
    </row>
    <row r="297" spans="1:23" ht="11.25" customHeight="1" x14ac:dyDescent="0.2">
      <c r="A297" s="2526" t="s">
        <v>2581</v>
      </c>
      <c r="B297" s="2526"/>
      <c r="C297" s="2526"/>
      <c r="D297" s="2526"/>
      <c r="E297" s="2526"/>
      <c r="F297" s="1960" t="s">
        <v>2112</v>
      </c>
      <c r="G297" s="2526" t="s">
        <v>2582</v>
      </c>
      <c r="H297" s="2526"/>
      <c r="I297" s="2526"/>
      <c r="J297" s="2526"/>
      <c r="L297" s="2525">
        <v>0</v>
      </c>
      <c r="M297" s="2525"/>
      <c r="N297" s="2525">
        <v>0</v>
      </c>
      <c r="O297" s="2525"/>
      <c r="P297" s="2525">
        <v>0</v>
      </c>
      <c r="Q297" s="2525"/>
      <c r="R297" s="2525">
        <v>0</v>
      </c>
      <c r="S297" s="2525"/>
      <c r="T297" s="2525">
        <v>0</v>
      </c>
      <c r="U297" s="2525"/>
      <c r="V297" s="1961">
        <v>0</v>
      </c>
      <c r="W297" s="1962" t="s">
        <v>2453</v>
      </c>
    </row>
    <row r="298" spans="1:23" ht="11.25" customHeight="1" x14ac:dyDescent="0.2">
      <c r="A298" s="2526" t="s">
        <v>2583</v>
      </c>
      <c r="B298" s="2526"/>
      <c r="C298" s="2526"/>
      <c r="D298" s="2526"/>
      <c r="E298" s="2526"/>
      <c r="F298" s="1960" t="s">
        <v>704</v>
      </c>
      <c r="G298" s="2526" t="s">
        <v>2584</v>
      </c>
      <c r="H298" s="2526"/>
      <c r="I298" s="2526"/>
      <c r="J298" s="2526"/>
      <c r="L298" s="2525">
        <v>0</v>
      </c>
      <c r="M298" s="2525"/>
      <c r="N298" s="2525">
        <v>0</v>
      </c>
      <c r="O298" s="2525"/>
      <c r="P298" s="2525">
        <v>0</v>
      </c>
      <c r="Q298" s="2525"/>
      <c r="R298" s="2525">
        <v>0</v>
      </c>
      <c r="S298" s="2525"/>
      <c r="T298" s="2525">
        <v>0</v>
      </c>
      <c r="U298" s="2525"/>
      <c r="V298" s="1961">
        <v>0</v>
      </c>
      <c r="W298" s="1962" t="s">
        <v>2453</v>
      </c>
    </row>
    <row r="299" spans="1:23" ht="11.25" customHeight="1" x14ac:dyDescent="0.2">
      <c r="A299" s="2526" t="s">
        <v>2585</v>
      </c>
      <c r="B299" s="2526"/>
      <c r="C299" s="2526"/>
      <c r="D299" s="2526"/>
      <c r="E299" s="2526"/>
      <c r="F299" s="1960" t="s">
        <v>2261</v>
      </c>
      <c r="G299" s="2526" t="s">
        <v>2586</v>
      </c>
      <c r="H299" s="2526"/>
      <c r="I299" s="2526"/>
      <c r="J299" s="2526"/>
      <c r="L299" s="2525">
        <v>0</v>
      </c>
      <c r="M299" s="2525"/>
      <c r="N299" s="2525">
        <v>0</v>
      </c>
      <c r="O299" s="2525"/>
      <c r="P299" s="2525">
        <v>10826.52</v>
      </c>
      <c r="Q299" s="2525"/>
      <c r="R299" s="2525">
        <v>10826.52</v>
      </c>
      <c r="S299" s="2525"/>
      <c r="T299" s="2525">
        <v>10000</v>
      </c>
      <c r="U299" s="2525"/>
      <c r="V299" s="1961">
        <v>108.26519999999999</v>
      </c>
      <c r="W299" s="1962" t="s">
        <v>2453</v>
      </c>
    </row>
    <row r="300" spans="1:23" ht="11.25" customHeight="1" x14ac:dyDescent="0.2">
      <c r="A300" s="2526" t="s">
        <v>2585</v>
      </c>
      <c r="B300" s="2526"/>
      <c r="C300" s="2526"/>
      <c r="D300" s="2526"/>
      <c r="E300" s="2526"/>
      <c r="F300" s="1960" t="s">
        <v>2112</v>
      </c>
      <c r="G300" s="2526" t="s">
        <v>2587</v>
      </c>
      <c r="H300" s="2526"/>
      <c r="I300" s="2526"/>
      <c r="J300" s="2526"/>
      <c r="L300" s="2525">
        <v>0</v>
      </c>
      <c r="M300" s="2525"/>
      <c r="N300" s="2525">
        <v>0</v>
      </c>
      <c r="O300" s="2525"/>
      <c r="P300" s="2525">
        <v>2105.67</v>
      </c>
      <c r="Q300" s="2525"/>
      <c r="R300" s="2525">
        <v>2105.67</v>
      </c>
      <c r="S300" s="2525"/>
      <c r="T300" s="2525">
        <v>2000</v>
      </c>
      <c r="U300" s="2525"/>
      <c r="V300" s="1961">
        <v>105.2835</v>
      </c>
      <c r="W300" s="1962" t="s">
        <v>2453</v>
      </c>
    </row>
    <row r="301" spans="1:23" ht="11.25" customHeight="1" x14ac:dyDescent="0.2">
      <c r="A301" s="2526" t="s">
        <v>2585</v>
      </c>
      <c r="B301" s="2526"/>
      <c r="C301" s="2526"/>
      <c r="D301" s="2526"/>
      <c r="E301" s="2526"/>
      <c r="F301" s="1960" t="s">
        <v>2233</v>
      </c>
      <c r="G301" s="2526" t="s">
        <v>2588</v>
      </c>
      <c r="H301" s="2526"/>
      <c r="I301" s="2526"/>
      <c r="J301" s="2526"/>
      <c r="L301" s="2525">
        <v>0</v>
      </c>
      <c r="M301" s="2525"/>
      <c r="N301" s="2525">
        <v>0</v>
      </c>
      <c r="O301" s="2525"/>
      <c r="P301" s="2525">
        <v>0</v>
      </c>
      <c r="Q301" s="2525"/>
      <c r="R301" s="2525">
        <v>0</v>
      </c>
      <c r="S301" s="2525"/>
      <c r="T301" s="2525">
        <v>0</v>
      </c>
      <c r="U301" s="2525"/>
      <c r="V301" s="1961">
        <v>0</v>
      </c>
      <c r="W301" s="1962" t="s">
        <v>2453</v>
      </c>
    </row>
    <row r="302" spans="1:23" ht="11.25" customHeight="1" x14ac:dyDescent="0.2">
      <c r="A302" s="2526" t="s">
        <v>2589</v>
      </c>
      <c r="B302" s="2526"/>
      <c r="C302" s="2526"/>
      <c r="D302" s="2526"/>
      <c r="E302" s="2526"/>
      <c r="F302" s="1960" t="s">
        <v>53</v>
      </c>
      <c r="G302" s="2526" t="s">
        <v>2590</v>
      </c>
      <c r="H302" s="2526"/>
      <c r="I302" s="2526"/>
      <c r="J302" s="2526"/>
      <c r="L302" s="2525">
        <v>0</v>
      </c>
      <c r="M302" s="2525"/>
      <c r="N302" s="2525">
        <v>0</v>
      </c>
      <c r="O302" s="2525"/>
      <c r="P302" s="2525">
        <v>0</v>
      </c>
      <c r="Q302" s="2525"/>
      <c r="R302" s="2525">
        <v>0</v>
      </c>
      <c r="S302" s="2525"/>
      <c r="T302" s="2525">
        <v>0</v>
      </c>
      <c r="U302" s="2525"/>
      <c r="V302" s="1961">
        <v>0</v>
      </c>
      <c r="W302" s="1962" t="s">
        <v>2453</v>
      </c>
    </row>
    <row r="303" spans="1:23" ht="11.25" customHeight="1" x14ac:dyDescent="0.2">
      <c r="A303" s="2526" t="s">
        <v>2591</v>
      </c>
      <c r="B303" s="2526"/>
      <c r="C303" s="2526"/>
      <c r="D303" s="2526"/>
      <c r="E303" s="2526"/>
      <c r="F303" s="1960" t="s">
        <v>2236</v>
      </c>
      <c r="G303" s="2526" t="s">
        <v>2592</v>
      </c>
      <c r="H303" s="2526"/>
      <c r="I303" s="2526"/>
      <c r="J303" s="2526"/>
      <c r="L303" s="2525">
        <v>0</v>
      </c>
      <c r="M303" s="2525"/>
      <c r="N303" s="2525">
        <v>0</v>
      </c>
      <c r="O303" s="2525"/>
      <c r="P303" s="2525">
        <v>0</v>
      </c>
      <c r="Q303" s="2525"/>
      <c r="R303" s="2525">
        <v>0</v>
      </c>
      <c r="S303" s="2525"/>
      <c r="T303" s="2525">
        <v>0</v>
      </c>
      <c r="U303" s="2525"/>
      <c r="V303" s="1961">
        <v>0</v>
      </c>
      <c r="W303" s="1962" t="s">
        <v>2453</v>
      </c>
    </row>
    <row r="304" spans="1:23" ht="11.25" customHeight="1" x14ac:dyDescent="0.2">
      <c r="A304" s="2526" t="s">
        <v>2593</v>
      </c>
      <c r="B304" s="2526"/>
      <c r="C304" s="2526"/>
      <c r="D304" s="2526"/>
      <c r="E304" s="2526"/>
      <c r="F304" s="1960" t="s">
        <v>2204</v>
      </c>
      <c r="G304" s="2526" t="s">
        <v>2594</v>
      </c>
      <c r="H304" s="2526"/>
      <c r="I304" s="2526"/>
      <c r="J304" s="2526"/>
      <c r="L304" s="2525">
        <v>0</v>
      </c>
      <c r="M304" s="2525"/>
      <c r="N304" s="2525">
        <v>0</v>
      </c>
      <c r="O304" s="2525"/>
      <c r="P304" s="2525">
        <v>0</v>
      </c>
      <c r="Q304" s="2525"/>
      <c r="R304" s="2525">
        <v>0</v>
      </c>
      <c r="S304" s="2525"/>
      <c r="T304" s="2525">
        <v>0</v>
      </c>
      <c r="U304" s="2525"/>
      <c r="V304" s="1961">
        <v>0</v>
      </c>
      <c r="W304" s="1962" t="s">
        <v>2453</v>
      </c>
    </row>
    <row r="305" spans="1:23" ht="11.25" customHeight="1" x14ac:dyDescent="0.2">
      <c r="A305" s="2526" t="s">
        <v>2595</v>
      </c>
      <c r="B305" s="2526"/>
      <c r="C305" s="2526"/>
      <c r="D305" s="2526"/>
      <c r="E305" s="2526"/>
      <c r="F305" s="1960" t="s">
        <v>53</v>
      </c>
      <c r="G305" s="2526" t="s">
        <v>2596</v>
      </c>
      <c r="H305" s="2526"/>
      <c r="I305" s="2526"/>
      <c r="J305" s="2526"/>
      <c r="L305" s="2525">
        <v>0</v>
      </c>
      <c r="M305" s="2525"/>
      <c r="N305" s="2525">
        <v>0</v>
      </c>
      <c r="O305" s="2525"/>
      <c r="P305" s="2525">
        <v>0</v>
      </c>
      <c r="Q305" s="2525"/>
      <c r="R305" s="2525">
        <v>0</v>
      </c>
      <c r="S305" s="2525"/>
      <c r="T305" s="2525">
        <v>0</v>
      </c>
      <c r="U305" s="2525"/>
      <c r="V305" s="1961">
        <v>0</v>
      </c>
      <c r="W305" s="1962" t="s">
        <v>2453</v>
      </c>
    </row>
    <row r="306" spans="1:23" ht="11.25" customHeight="1" x14ac:dyDescent="0.2">
      <c r="A306" s="2526" t="s">
        <v>2597</v>
      </c>
      <c r="B306" s="2526"/>
      <c r="C306" s="2526"/>
      <c r="D306" s="2526"/>
      <c r="E306" s="2526"/>
      <c r="F306" s="1960" t="s">
        <v>2112</v>
      </c>
      <c r="G306" s="2526" t="s">
        <v>2598</v>
      </c>
      <c r="H306" s="2526"/>
      <c r="I306" s="2526"/>
      <c r="J306" s="2526"/>
      <c r="L306" s="2525">
        <v>0</v>
      </c>
      <c r="M306" s="2525"/>
      <c r="N306" s="2525">
        <v>0</v>
      </c>
      <c r="O306" s="2525"/>
      <c r="P306" s="2525">
        <v>0</v>
      </c>
      <c r="Q306" s="2525"/>
      <c r="R306" s="2525">
        <v>0</v>
      </c>
      <c r="S306" s="2525"/>
      <c r="T306" s="2525">
        <v>0</v>
      </c>
      <c r="U306" s="2525"/>
      <c r="V306" s="1961">
        <v>0</v>
      </c>
      <c r="W306" s="1962" t="s">
        <v>2453</v>
      </c>
    </row>
    <row r="307" spans="1:23" ht="11.25" customHeight="1" x14ac:dyDescent="0.2">
      <c r="A307" s="2526" t="s">
        <v>2599</v>
      </c>
      <c r="B307" s="2526"/>
      <c r="C307" s="2526"/>
      <c r="D307" s="2526"/>
      <c r="E307" s="2526"/>
      <c r="F307" s="1960" t="s">
        <v>2112</v>
      </c>
      <c r="G307" s="2526" t="s">
        <v>2600</v>
      </c>
      <c r="H307" s="2526"/>
      <c r="I307" s="2526"/>
      <c r="J307" s="2526"/>
      <c r="L307" s="2525">
        <v>0</v>
      </c>
      <c r="M307" s="2525"/>
      <c r="N307" s="2525">
        <v>0</v>
      </c>
      <c r="O307" s="2525"/>
      <c r="P307" s="2525">
        <v>41615.89</v>
      </c>
      <c r="Q307" s="2525"/>
      <c r="R307" s="2525">
        <v>41615.89</v>
      </c>
      <c r="S307" s="2525"/>
      <c r="T307" s="2525">
        <v>40000</v>
      </c>
      <c r="U307" s="2525"/>
      <c r="V307" s="1961">
        <v>104.039725</v>
      </c>
      <c r="W307" s="1962" t="s">
        <v>2453</v>
      </c>
    </row>
    <row r="308" spans="1:23" ht="11.25" customHeight="1" x14ac:dyDescent="0.2">
      <c r="A308" s="2526" t="s">
        <v>2601</v>
      </c>
      <c r="B308" s="2526"/>
      <c r="C308" s="2526"/>
      <c r="D308" s="2526"/>
      <c r="E308" s="2526"/>
      <c r="F308" s="1960" t="s">
        <v>2112</v>
      </c>
      <c r="G308" s="2526" t="s">
        <v>2602</v>
      </c>
      <c r="H308" s="2526"/>
      <c r="I308" s="2526"/>
      <c r="J308" s="2526"/>
      <c r="L308" s="2525">
        <v>0</v>
      </c>
      <c r="M308" s="2525"/>
      <c r="N308" s="2525">
        <v>0</v>
      </c>
      <c r="O308" s="2525"/>
      <c r="P308" s="2525">
        <v>0</v>
      </c>
      <c r="Q308" s="2525"/>
      <c r="R308" s="2525">
        <v>0</v>
      </c>
      <c r="S308" s="2525"/>
      <c r="T308" s="2525">
        <v>0</v>
      </c>
      <c r="U308" s="2525"/>
      <c r="V308" s="1961">
        <v>0</v>
      </c>
      <c r="W308" s="1962" t="s">
        <v>2453</v>
      </c>
    </row>
    <row r="309" spans="1:23" ht="11.25" customHeight="1" x14ac:dyDescent="0.2">
      <c r="A309" s="2526" t="s">
        <v>2603</v>
      </c>
      <c r="B309" s="2526"/>
      <c r="C309" s="2526"/>
      <c r="D309" s="2526"/>
      <c r="E309" s="2526"/>
      <c r="F309" s="1960" t="s">
        <v>2224</v>
      </c>
      <c r="G309" s="2526" t="s">
        <v>2604</v>
      </c>
      <c r="H309" s="2526"/>
      <c r="I309" s="2526"/>
      <c r="J309" s="2526"/>
      <c r="L309" s="2525">
        <v>0</v>
      </c>
      <c r="M309" s="2525"/>
      <c r="N309" s="2525">
        <v>0</v>
      </c>
      <c r="O309" s="2525"/>
      <c r="P309" s="2525">
        <v>0</v>
      </c>
      <c r="Q309" s="2525"/>
      <c r="R309" s="2525">
        <v>0</v>
      </c>
      <c r="S309" s="2525"/>
      <c r="T309" s="2525">
        <v>0</v>
      </c>
      <c r="U309" s="2525"/>
      <c r="V309" s="1961">
        <v>0</v>
      </c>
      <c r="W309" s="1962" t="s">
        <v>2453</v>
      </c>
    </row>
    <row r="310" spans="1:23" ht="11.25" customHeight="1" x14ac:dyDescent="0.2">
      <c r="A310" s="2526" t="s">
        <v>2605</v>
      </c>
      <c r="B310" s="2526"/>
      <c r="C310" s="2526"/>
      <c r="D310" s="2526"/>
      <c r="E310" s="2526"/>
      <c r="F310" s="1960" t="s">
        <v>2112</v>
      </c>
      <c r="G310" s="2526" t="s">
        <v>2606</v>
      </c>
      <c r="H310" s="2526"/>
      <c r="I310" s="2526"/>
      <c r="J310" s="2526"/>
      <c r="L310" s="2525">
        <v>0</v>
      </c>
      <c r="M310" s="2525"/>
      <c r="N310" s="2525">
        <v>0</v>
      </c>
      <c r="O310" s="2525"/>
      <c r="P310" s="2525">
        <v>0</v>
      </c>
      <c r="Q310" s="2525"/>
      <c r="R310" s="2525">
        <v>0</v>
      </c>
      <c r="S310" s="2525"/>
      <c r="T310" s="2525">
        <v>0</v>
      </c>
      <c r="U310" s="2525"/>
      <c r="V310" s="1961">
        <v>0</v>
      </c>
      <c r="W310" s="1962" t="s">
        <v>2453</v>
      </c>
    </row>
    <row r="311" spans="1:23" ht="11.25" customHeight="1" x14ac:dyDescent="0.2">
      <c r="A311" s="2526" t="s">
        <v>2607</v>
      </c>
      <c r="B311" s="2526"/>
      <c r="C311" s="2526"/>
      <c r="D311" s="2526"/>
      <c r="E311" s="2526"/>
      <c r="F311" s="1960" t="s">
        <v>2112</v>
      </c>
      <c r="G311" s="2526" t="s">
        <v>2608</v>
      </c>
      <c r="H311" s="2526"/>
      <c r="I311" s="2526"/>
      <c r="J311" s="2526"/>
      <c r="L311" s="2525">
        <v>0</v>
      </c>
      <c r="M311" s="2525"/>
      <c r="N311" s="2525">
        <v>0</v>
      </c>
      <c r="O311" s="2525"/>
      <c r="P311" s="2525">
        <v>12423.41</v>
      </c>
      <c r="Q311" s="2525"/>
      <c r="R311" s="2525">
        <v>12423.41</v>
      </c>
      <c r="S311" s="2525"/>
      <c r="T311" s="2525">
        <v>0</v>
      </c>
      <c r="U311" s="2525"/>
      <c r="V311" s="1961">
        <v>0</v>
      </c>
      <c r="W311" s="1962" t="s">
        <v>2453</v>
      </c>
    </row>
    <row r="312" spans="1:23" ht="11.25" customHeight="1" x14ac:dyDescent="0.2">
      <c r="A312" s="2526" t="s">
        <v>2609</v>
      </c>
      <c r="B312" s="2526"/>
      <c r="C312" s="2526"/>
      <c r="D312" s="2526"/>
      <c r="E312" s="2526"/>
      <c r="F312" s="1960" t="s">
        <v>2112</v>
      </c>
      <c r="G312" s="2526" t="s">
        <v>1123</v>
      </c>
      <c r="H312" s="2526"/>
      <c r="I312" s="2526"/>
      <c r="J312" s="2526"/>
      <c r="L312" s="2525">
        <v>0</v>
      </c>
      <c r="M312" s="2525"/>
      <c r="N312" s="2525">
        <v>0</v>
      </c>
      <c r="O312" s="2525"/>
      <c r="P312" s="2525">
        <v>1258.8399999999999</v>
      </c>
      <c r="Q312" s="2525"/>
      <c r="R312" s="2525">
        <v>1258.8399999999999</v>
      </c>
      <c r="S312" s="2525"/>
      <c r="T312" s="2525">
        <v>2500</v>
      </c>
      <c r="U312" s="2525"/>
      <c r="V312" s="1961">
        <v>50.3536</v>
      </c>
      <c r="W312" s="1962" t="s">
        <v>2453</v>
      </c>
    </row>
    <row r="313" spans="1:23" ht="11.25" customHeight="1" x14ac:dyDescent="0.2">
      <c r="A313" s="2526" t="s">
        <v>2610</v>
      </c>
      <c r="B313" s="2526"/>
      <c r="C313" s="2526"/>
      <c r="D313" s="2526"/>
      <c r="E313" s="2526"/>
      <c r="F313" s="1960" t="s">
        <v>2112</v>
      </c>
      <c r="G313" s="2526" t="s">
        <v>2611</v>
      </c>
      <c r="H313" s="2526"/>
      <c r="I313" s="2526"/>
      <c r="J313" s="2526"/>
      <c r="L313" s="2525">
        <v>0</v>
      </c>
      <c r="M313" s="2525"/>
      <c r="N313" s="2525">
        <v>0</v>
      </c>
      <c r="O313" s="2525"/>
      <c r="P313" s="2525">
        <v>4232.24</v>
      </c>
      <c r="Q313" s="2525"/>
      <c r="R313" s="2525">
        <v>4232.24</v>
      </c>
      <c r="S313" s="2525"/>
      <c r="T313" s="2525">
        <v>15000</v>
      </c>
      <c r="U313" s="2525"/>
      <c r="V313" s="1961">
        <v>28.214933333333335</v>
      </c>
      <c r="W313" s="1962" t="s">
        <v>2453</v>
      </c>
    </row>
    <row r="314" spans="1:23" ht="11.25" customHeight="1" x14ac:dyDescent="0.2">
      <c r="A314" s="2526" t="s">
        <v>2610</v>
      </c>
      <c r="B314" s="2526"/>
      <c r="C314" s="2526"/>
      <c r="D314" s="2526"/>
      <c r="E314" s="2526"/>
      <c r="F314" s="1960" t="s">
        <v>53</v>
      </c>
      <c r="G314" s="2526" t="s">
        <v>2612</v>
      </c>
      <c r="H314" s="2526"/>
      <c r="I314" s="2526"/>
      <c r="J314" s="2526"/>
      <c r="L314" s="2525">
        <v>0</v>
      </c>
      <c r="M314" s="2525"/>
      <c r="N314" s="2525">
        <v>0</v>
      </c>
      <c r="O314" s="2525"/>
      <c r="P314" s="2525">
        <v>0</v>
      </c>
      <c r="Q314" s="2525"/>
      <c r="R314" s="2525">
        <v>0</v>
      </c>
      <c r="S314" s="2525"/>
      <c r="T314" s="2525">
        <v>0</v>
      </c>
      <c r="U314" s="2525"/>
      <c r="V314" s="1961">
        <v>0</v>
      </c>
      <c r="W314" s="1962" t="s">
        <v>2453</v>
      </c>
    </row>
    <row r="315" spans="1:23" ht="11.25" customHeight="1" x14ac:dyDescent="0.2">
      <c r="A315" s="2526" t="s">
        <v>2610</v>
      </c>
      <c r="B315" s="2526"/>
      <c r="C315" s="2526"/>
      <c r="D315" s="2526"/>
      <c r="E315" s="2526"/>
      <c r="F315" s="1960" t="s">
        <v>1442</v>
      </c>
      <c r="G315" s="2526" t="s">
        <v>2613</v>
      </c>
      <c r="H315" s="2526"/>
      <c r="I315" s="2526"/>
      <c r="J315" s="2526"/>
      <c r="L315" s="2525">
        <v>0</v>
      </c>
      <c r="M315" s="2525"/>
      <c r="N315" s="2525">
        <v>0</v>
      </c>
      <c r="O315" s="2525"/>
      <c r="P315" s="2525">
        <v>0</v>
      </c>
      <c r="Q315" s="2525"/>
      <c r="R315" s="2525">
        <v>0</v>
      </c>
      <c r="S315" s="2525"/>
      <c r="T315" s="2525">
        <v>0</v>
      </c>
      <c r="U315" s="2525"/>
      <c r="V315" s="1961">
        <v>0</v>
      </c>
      <c r="W315" s="1962" t="s">
        <v>2453</v>
      </c>
    </row>
    <row r="316" spans="1:23" ht="11.25" customHeight="1" x14ac:dyDescent="0.2">
      <c r="A316" s="2526" t="s">
        <v>2610</v>
      </c>
      <c r="B316" s="2526"/>
      <c r="C316" s="2526"/>
      <c r="D316" s="2526"/>
      <c r="E316" s="2526"/>
      <c r="F316" s="1960" t="s">
        <v>2231</v>
      </c>
      <c r="G316" s="2526" t="s">
        <v>2614</v>
      </c>
      <c r="H316" s="2526"/>
      <c r="I316" s="2526"/>
      <c r="J316" s="2526"/>
      <c r="L316" s="2525">
        <v>0</v>
      </c>
      <c r="M316" s="2525"/>
      <c r="N316" s="2525">
        <v>0</v>
      </c>
      <c r="O316" s="2525"/>
      <c r="P316" s="2525">
        <v>0</v>
      </c>
      <c r="Q316" s="2525"/>
      <c r="R316" s="2525">
        <v>0</v>
      </c>
      <c r="S316" s="2525"/>
      <c r="T316" s="2525">
        <v>0</v>
      </c>
      <c r="U316" s="2525"/>
      <c r="V316" s="1961">
        <v>0</v>
      </c>
      <c r="W316" s="1962" t="s">
        <v>2453</v>
      </c>
    </row>
    <row r="317" spans="1:23" ht="11.25" customHeight="1" x14ac:dyDescent="0.2">
      <c r="A317" s="2526" t="s">
        <v>2610</v>
      </c>
      <c r="B317" s="2526"/>
      <c r="C317" s="2526"/>
      <c r="D317" s="2526"/>
      <c r="E317" s="2526"/>
      <c r="F317" s="1960" t="s">
        <v>704</v>
      </c>
      <c r="G317" s="2526" t="s">
        <v>2615</v>
      </c>
      <c r="H317" s="2526"/>
      <c r="I317" s="2526"/>
      <c r="J317" s="2526"/>
      <c r="L317" s="2525">
        <v>0</v>
      </c>
      <c r="M317" s="2525"/>
      <c r="N317" s="2525">
        <v>0</v>
      </c>
      <c r="O317" s="2525"/>
      <c r="P317" s="2525">
        <v>0</v>
      </c>
      <c r="Q317" s="2525"/>
      <c r="R317" s="2525">
        <v>0</v>
      </c>
      <c r="S317" s="2525"/>
      <c r="T317" s="2525">
        <v>0</v>
      </c>
      <c r="U317" s="2525"/>
      <c r="V317" s="1961">
        <v>0</v>
      </c>
      <c r="W317" s="1962" t="s">
        <v>2453</v>
      </c>
    </row>
    <row r="318" spans="1:23" ht="11.25" customHeight="1" x14ac:dyDescent="0.2">
      <c r="A318" s="2526" t="s">
        <v>2616</v>
      </c>
      <c r="B318" s="2526"/>
      <c r="C318" s="2526"/>
      <c r="D318" s="2526"/>
      <c r="E318" s="2526"/>
      <c r="F318" s="1960" t="s">
        <v>2212</v>
      </c>
      <c r="G318" s="2526" t="s">
        <v>2617</v>
      </c>
      <c r="H318" s="2526"/>
      <c r="I318" s="2526"/>
      <c r="J318" s="2526"/>
      <c r="L318" s="2525">
        <v>0</v>
      </c>
      <c r="M318" s="2525"/>
      <c r="N318" s="2525">
        <v>0</v>
      </c>
      <c r="O318" s="2525"/>
      <c r="P318" s="2525">
        <v>0</v>
      </c>
      <c r="Q318" s="2525"/>
      <c r="R318" s="2525">
        <v>0</v>
      </c>
      <c r="S318" s="2525"/>
      <c r="T318" s="2525">
        <v>0</v>
      </c>
      <c r="U318" s="2525"/>
      <c r="V318" s="1961">
        <v>0</v>
      </c>
      <c r="W318" s="1962" t="s">
        <v>2453</v>
      </c>
    </row>
    <row r="319" spans="1:23" ht="11.25" customHeight="1" x14ac:dyDescent="0.2">
      <c r="A319" s="2526" t="s">
        <v>2616</v>
      </c>
      <c r="B319" s="2526"/>
      <c r="C319" s="2526"/>
      <c r="D319" s="2526"/>
      <c r="E319" s="2526"/>
      <c r="F319" s="1960" t="s">
        <v>2112</v>
      </c>
      <c r="G319" s="2526" t="s">
        <v>2618</v>
      </c>
      <c r="H319" s="2526"/>
      <c r="I319" s="2526"/>
      <c r="J319" s="2526"/>
      <c r="L319" s="2525">
        <v>0</v>
      </c>
      <c r="M319" s="2525"/>
      <c r="N319" s="2525">
        <v>0</v>
      </c>
      <c r="O319" s="2525"/>
      <c r="P319" s="2525">
        <v>0</v>
      </c>
      <c r="Q319" s="2525"/>
      <c r="R319" s="2525">
        <v>0</v>
      </c>
      <c r="S319" s="2525"/>
      <c r="T319" s="2525">
        <v>0</v>
      </c>
      <c r="U319" s="2525"/>
      <c r="V319" s="1961">
        <v>0</v>
      </c>
      <c r="W319" s="1962" t="s">
        <v>2453</v>
      </c>
    </row>
    <row r="320" spans="1:23" ht="11.25" customHeight="1" x14ac:dyDescent="0.2">
      <c r="A320" s="2526" t="s">
        <v>2619</v>
      </c>
      <c r="B320" s="2526"/>
      <c r="C320" s="2526"/>
      <c r="D320" s="2526"/>
      <c r="E320" s="2526"/>
      <c r="F320" s="1960" t="s">
        <v>2112</v>
      </c>
      <c r="G320" s="2526" t="s">
        <v>2620</v>
      </c>
      <c r="H320" s="2526"/>
      <c r="I320" s="2526"/>
      <c r="J320" s="2526"/>
      <c r="L320" s="2525">
        <v>0</v>
      </c>
      <c r="M320" s="2525"/>
      <c r="N320" s="2525">
        <v>0</v>
      </c>
      <c r="O320" s="2525"/>
      <c r="P320" s="2525">
        <v>25378.5</v>
      </c>
      <c r="Q320" s="2525"/>
      <c r="R320" s="2525">
        <v>25378.5</v>
      </c>
      <c r="S320" s="2525"/>
      <c r="T320" s="2525">
        <v>24000</v>
      </c>
      <c r="U320" s="2525"/>
      <c r="V320" s="1961">
        <v>105.74375000000001</v>
      </c>
      <c r="W320" s="1962" t="s">
        <v>2453</v>
      </c>
    </row>
    <row r="321" spans="1:23" ht="11.25" customHeight="1" x14ac:dyDescent="0.2">
      <c r="A321" s="2526" t="s">
        <v>2621</v>
      </c>
      <c r="B321" s="2526"/>
      <c r="C321" s="2526"/>
      <c r="D321" s="2526"/>
      <c r="E321" s="2526"/>
      <c r="F321" s="1960" t="s">
        <v>2224</v>
      </c>
      <c r="G321" s="2526" t="s">
        <v>2622</v>
      </c>
      <c r="H321" s="2526"/>
      <c r="I321" s="2526"/>
      <c r="J321" s="2526"/>
      <c r="L321" s="2525">
        <v>0</v>
      </c>
      <c r="M321" s="2525"/>
      <c r="N321" s="2525">
        <v>0</v>
      </c>
      <c r="O321" s="2525"/>
      <c r="P321" s="2525">
        <v>0</v>
      </c>
      <c r="Q321" s="2525"/>
      <c r="R321" s="2525">
        <v>0</v>
      </c>
      <c r="S321" s="2525"/>
      <c r="T321" s="2525">
        <v>0</v>
      </c>
      <c r="U321" s="2525"/>
      <c r="V321" s="1961">
        <v>0</v>
      </c>
      <c r="W321" s="1962" t="s">
        <v>2453</v>
      </c>
    </row>
    <row r="322" spans="1:23" ht="11.25" customHeight="1" x14ac:dyDescent="0.2">
      <c r="A322" s="2526" t="s">
        <v>2623</v>
      </c>
      <c r="B322" s="2526"/>
      <c r="C322" s="2526"/>
      <c r="D322" s="2526"/>
      <c r="E322" s="2526"/>
      <c r="F322" s="1960" t="s">
        <v>2112</v>
      </c>
      <c r="G322" s="2526" t="s">
        <v>2624</v>
      </c>
      <c r="H322" s="2526"/>
      <c r="I322" s="2526"/>
      <c r="J322" s="2526"/>
      <c r="L322" s="2525">
        <v>0</v>
      </c>
      <c r="M322" s="2525"/>
      <c r="N322" s="2525">
        <v>0</v>
      </c>
      <c r="O322" s="2525"/>
      <c r="P322" s="2525">
        <v>6406.51</v>
      </c>
      <c r="Q322" s="2525"/>
      <c r="R322" s="2525">
        <v>6406.51</v>
      </c>
      <c r="S322" s="2525"/>
      <c r="T322" s="2525">
        <v>10000</v>
      </c>
      <c r="U322" s="2525"/>
      <c r="V322" s="1961">
        <v>64.065100000000001</v>
      </c>
      <c r="W322" s="1962" t="s">
        <v>2453</v>
      </c>
    </row>
    <row r="323" spans="1:23" ht="11.25" customHeight="1" x14ac:dyDescent="0.2">
      <c r="A323" s="2526" t="s">
        <v>2623</v>
      </c>
      <c r="B323" s="2526"/>
      <c r="C323" s="2526"/>
      <c r="D323" s="2526"/>
      <c r="E323" s="2526"/>
      <c r="F323" s="1960" t="s">
        <v>1442</v>
      </c>
      <c r="G323" s="2526" t="s">
        <v>2625</v>
      </c>
      <c r="H323" s="2526"/>
      <c r="I323" s="2526"/>
      <c r="J323" s="2526"/>
      <c r="L323" s="2525">
        <v>0</v>
      </c>
      <c r="M323" s="2525"/>
      <c r="N323" s="2525">
        <v>0</v>
      </c>
      <c r="O323" s="2525"/>
      <c r="P323" s="2525">
        <v>0</v>
      </c>
      <c r="Q323" s="2525"/>
      <c r="R323" s="2525">
        <v>0</v>
      </c>
      <c r="S323" s="2525"/>
      <c r="T323" s="2525">
        <v>0</v>
      </c>
      <c r="U323" s="2525"/>
      <c r="V323" s="1961">
        <v>0</v>
      </c>
      <c r="W323" s="1962" t="s">
        <v>2453</v>
      </c>
    </row>
    <row r="324" spans="1:23" ht="11.25" customHeight="1" x14ac:dyDescent="0.2">
      <c r="A324" s="2526" t="s">
        <v>2623</v>
      </c>
      <c r="B324" s="2526"/>
      <c r="C324" s="2526"/>
      <c r="D324" s="2526"/>
      <c r="E324" s="2526"/>
      <c r="F324" s="1960" t="s">
        <v>1017</v>
      </c>
      <c r="G324" s="2526" t="s">
        <v>2626</v>
      </c>
      <c r="H324" s="2526"/>
      <c r="I324" s="2526"/>
      <c r="J324" s="2526"/>
      <c r="L324" s="2525">
        <v>0</v>
      </c>
      <c r="M324" s="2525"/>
      <c r="N324" s="2525">
        <v>0</v>
      </c>
      <c r="O324" s="2525"/>
      <c r="P324" s="2525">
        <v>0</v>
      </c>
      <c r="Q324" s="2525"/>
      <c r="R324" s="2525">
        <v>0</v>
      </c>
      <c r="S324" s="2525"/>
      <c r="T324" s="2525">
        <v>0</v>
      </c>
      <c r="U324" s="2525"/>
      <c r="V324" s="1961">
        <v>0</v>
      </c>
      <c r="W324" s="1962" t="s">
        <v>2453</v>
      </c>
    </row>
    <row r="325" spans="1:23" ht="11.25" customHeight="1" x14ac:dyDescent="0.2">
      <c r="A325" s="2526" t="s">
        <v>2623</v>
      </c>
      <c r="B325" s="2526"/>
      <c r="C325" s="2526"/>
      <c r="D325" s="2526"/>
      <c r="E325" s="2526"/>
      <c r="F325" s="1960" t="s">
        <v>53</v>
      </c>
      <c r="G325" s="2526" t="s">
        <v>2627</v>
      </c>
      <c r="H325" s="2526"/>
      <c r="I325" s="2526"/>
      <c r="J325" s="2526"/>
      <c r="L325" s="2525">
        <v>0</v>
      </c>
      <c r="M325" s="2525"/>
      <c r="N325" s="2525">
        <v>0</v>
      </c>
      <c r="O325" s="2525"/>
      <c r="P325" s="2525">
        <v>0</v>
      </c>
      <c r="Q325" s="2525"/>
      <c r="R325" s="2525">
        <v>0</v>
      </c>
      <c r="S325" s="2525"/>
      <c r="T325" s="2525">
        <v>0</v>
      </c>
      <c r="U325" s="2525"/>
      <c r="V325" s="1961">
        <v>0</v>
      </c>
      <c r="W325" s="1962" t="s">
        <v>2453</v>
      </c>
    </row>
    <row r="326" spans="1:23" ht="11.25" customHeight="1" x14ac:dyDescent="0.2">
      <c r="A326" s="2526" t="s">
        <v>2623</v>
      </c>
      <c r="B326" s="2526"/>
      <c r="C326" s="2526"/>
      <c r="D326" s="2526"/>
      <c r="E326" s="2526"/>
      <c r="F326" s="1960" t="s">
        <v>2628</v>
      </c>
      <c r="G326" s="2526" t="s">
        <v>2629</v>
      </c>
      <c r="H326" s="2526"/>
      <c r="I326" s="2526"/>
      <c r="J326" s="2526"/>
      <c r="L326" s="2525">
        <v>0</v>
      </c>
      <c r="M326" s="2525"/>
      <c r="N326" s="2525">
        <v>0</v>
      </c>
      <c r="O326" s="2525"/>
      <c r="P326" s="2525">
        <v>0</v>
      </c>
      <c r="Q326" s="2525"/>
      <c r="R326" s="2525">
        <v>0</v>
      </c>
      <c r="S326" s="2525"/>
      <c r="T326" s="2525">
        <v>0</v>
      </c>
      <c r="U326" s="2525"/>
      <c r="V326" s="1961">
        <v>0</v>
      </c>
      <c r="W326" s="1962" t="s">
        <v>2453</v>
      </c>
    </row>
    <row r="327" spans="1:23" ht="11.25" customHeight="1" x14ac:dyDescent="0.2">
      <c r="A327" s="2526" t="s">
        <v>2623</v>
      </c>
      <c r="B327" s="2526"/>
      <c r="C327" s="2526"/>
      <c r="D327" s="2526"/>
      <c r="E327" s="2526"/>
      <c r="F327" s="1960" t="s">
        <v>2224</v>
      </c>
      <c r="G327" s="2526" t="s">
        <v>2630</v>
      </c>
      <c r="H327" s="2526"/>
      <c r="I327" s="2526"/>
      <c r="J327" s="2526"/>
      <c r="L327" s="2525">
        <v>0</v>
      </c>
      <c r="M327" s="2525"/>
      <c r="N327" s="2525">
        <v>0</v>
      </c>
      <c r="O327" s="2525"/>
      <c r="P327" s="2525">
        <v>0</v>
      </c>
      <c r="Q327" s="2525"/>
      <c r="R327" s="2525">
        <v>0</v>
      </c>
      <c r="S327" s="2525"/>
      <c r="T327" s="2525">
        <v>0</v>
      </c>
      <c r="U327" s="2525"/>
      <c r="V327" s="1961">
        <v>0</v>
      </c>
      <c r="W327" s="1962" t="s">
        <v>2453</v>
      </c>
    </row>
    <row r="328" spans="1:23" ht="11.25" customHeight="1" x14ac:dyDescent="0.2">
      <c r="A328" s="2526" t="s">
        <v>2623</v>
      </c>
      <c r="B328" s="2526"/>
      <c r="C328" s="2526"/>
      <c r="D328" s="2526"/>
      <c r="E328" s="2526"/>
      <c r="F328" s="1960" t="s">
        <v>2236</v>
      </c>
      <c r="G328" s="2526" t="s">
        <v>2631</v>
      </c>
      <c r="H328" s="2526"/>
      <c r="I328" s="2526"/>
      <c r="J328" s="2526"/>
      <c r="L328" s="2525">
        <v>0</v>
      </c>
      <c r="M328" s="2525"/>
      <c r="N328" s="2525">
        <v>0</v>
      </c>
      <c r="O328" s="2525"/>
      <c r="P328" s="2525">
        <v>0</v>
      </c>
      <c r="Q328" s="2525"/>
      <c r="R328" s="2525">
        <v>0</v>
      </c>
      <c r="S328" s="2525"/>
      <c r="T328" s="2525">
        <v>0</v>
      </c>
      <c r="U328" s="2525"/>
      <c r="V328" s="1961">
        <v>0</v>
      </c>
      <c r="W328" s="1962" t="s">
        <v>2453</v>
      </c>
    </row>
    <row r="329" spans="1:23" ht="11.25" customHeight="1" x14ac:dyDescent="0.2">
      <c r="A329" s="2526" t="s">
        <v>2632</v>
      </c>
      <c r="B329" s="2526"/>
      <c r="C329" s="2526"/>
      <c r="D329" s="2526"/>
      <c r="E329" s="2526"/>
      <c r="F329" s="1960" t="s">
        <v>2112</v>
      </c>
      <c r="G329" s="2526" t="s">
        <v>2633</v>
      </c>
      <c r="H329" s="2526"/>
      <c r="I329" s="2526"/>
      <c r="J329" s="2526"/>
      <c r="L329" s="2525">
        <v>0</v>
      </c>
      <c r="M329" s="2525"/>
      <c r="N329" s="2525">
        <v>0</v>
      </c>
      <c r="O329" s="2525"/>
      <c r="P329" s="2525">
        <v>0</v>
      </c>
      <c r="Q329" s="2525"/>
      <c r="R329" s="2525">
        <v>0</v>
      </c>
      <c r="S329" s="2525"/>
      <c r="T329" s="2525">
        <v>0</v>
      </c>
      <c r="U329" s="2525"/>
      <c r="V329" s="1961">
        <v>0</v>
      </c>
      <c r="W329" s="1962" t="s">
        <v>2453</v>
      </c>
    </row>
    <row r="330" spans="1:23" ht="11.25" customHeight="1" x14ac:dyDescent="0.2">
      <c r="A330" s="2526" t="s">
        <v>2634</v>
      </c>
      <c r="B330" s="2526"/>
      <c r="C330" s="2526"/>
      <c r="D330" s="2526"/>
      <c r="E330" s="2526"/>
      <c r="F330" s="1960" t="s">
        <v>53</v>
      </c>
      <c r="G330" s="2526" t="s">
        <v>2635</v>
      </c>
      <c r="H330" s="2526"/>
      <c r="I330" s="2526"/>
      <c r="J330" s="2526"/>
      <c r="L330" s="2525">
        <v>0</v>
      </c>
      <c r="M330" s="2525"/>
      <c r="N330" s="2525">
        <v>0</v>
      </c>
      <c r="O330" s="2525"/>
      <c r="P330" s="2525">
        <v>0</v>
      </c>
      <c r="Q330" s="2525"/>
      <c r="R330" s="2525">
        <v>0</v>
      </c>
      <c r="S330" s="2525"/>
      <c r="T330" s="2525">
        <v>0</v>
      </c>
      <c r="U330" s="2525"/>
      <c r="V330" s="1961">
        <v>0</v>
      </c>
      <c r="W330" s="1962" t="s">
        <v>2453</v>
      </c>
    </row>
    <row r="331" spans="1:23" ht="11.25" customHeight="1" x14ac:dyDescent="0.2">
      <c r="A331" s="2526" t="s">
        <v>2636</v>
      </c>
      <c r="B331" s="2526"/>
      <c r="C331" s="2526"/>
      <c r="D331" s="2526"/>
      <c r="E331" s="2526"/>
      <c r="F331" s="1960" t="s">
        <v>2112</v>
      </c>
      <c r="G331" s="2526" t="s">
        <v>2637</v>
      </c>
      <c r="H331" s="2526"/>
      <c r="I331" s="2526"/>
      <c r="J331" s="2526"/>
      <c r="L331" s="2525">
        <v>0</v>
      </c>
      <c r="M331" s="2525"/>
      <c r="N331" s="2525">
        <v>0</v>
      </c>
      <c r="O331" s="2525"/>
      <c r="P331" s="2525">
        <v>1350</v>
      </c>
      <c r="Q331" s="2525"/>
      <c r="R331" s="2525">
        <v>1350</v>
      </c>
      <c r="S331" s="2525"/>
      <c r="T331" s="2525">
        <v>0</v>
      </c>
      <c r="U331" s="2525"/>
      <c r="V331" s="1961">
        <v>0</v>
      </c>
      <c r="W331" s="1962" t="s">
        <v>2453</v>
      </c>
    </row>
    <row r="332" spans="1:23" ht="11.25" customHeight="1" x14ac:dyDescent="0.2">
      <c r="A332" s="2526" t="s">
        <v>2638</v>
      </c>
      <c r="B332" s="2526"/>
      <c r="C332" s="2526"/>
      <c r="D332" s="2526"/>
      <c r="E332" s="2526"/>
      <c r="F332" s="1960" t="s">
        <v>2212</v>
      </c>
      <c r="G332" s="2526" t="s">
        <v>2639</v>
      </c>
      <c r="H332" s="2526"/>
      <c r="I332" s="2526"/>
      <c r="J332" s="2526"/>
      <c r="L332" s="2525">
        <v>0</v>
      </c>
      <c r="M332" s="2525"/>
      <c r="N332" s="2525">
        <v>0</v>
      </c>
      <c r="O332" s="2525"/>
      <c r="P332" s="2525">
        <v>0</v>
      </c>
      <c r="Q332" s="2525"/>
      <c r="R332" s="2525">
        <v>0</v>
      </c>
      <c r="S332" s="2525"/>
      <c r="T332" s="2525">
        <v>0</v>
      </c>
      <c r="U332" s="2525"/>
      <c r="V332" s="1961">
        <v>0</v>
      </c>
      <c r="W332" s="1962" t="s">
        <v>2453</v>
      </c>
    </row>
    <row r="333" spans="1:23" ht="11.25" customHeight="1" x14ac:dyDescent="0.2">
      <c r="A333" s="2526" t="s">
        <v>2640</v>
      </c>
      <c r="B333" s="2526"/>
      <c r="C333" s="2526"/>
      <c r="D333" s="2526"/>
      <c r="E333" s="2526"/>
      <c r="F333" s="1960" t="s">
        <v>2212</v>
      </c>
      <c r="G333" s="2526" t="s">
        <v>2465</v>
      </c>
      <c r="H333" s="2526"/>
      <c r="I333" s="2526"/>
      <c r="J333" s="2526"/>
      <c r="L333" s="2525">
        <v>0</v>
      </c>
      <c r="M333" s="2525"/>
      <c r="N333" s="2525">
        <v>0</v>
      </c>
      <c r="O333" s="2525"/>
      <c r="P333" s="2525">
        <v>9000</v>
      </c>
      <c r="Q333" s="2525"/>
      <c r="R333" s="2525">
        <v>9000</v>
      </c>
      <c r="S333" s="2525"/>
      <c r="T333" s="2525">
        <v>9000</v>
      </c>
      <c r="U333" s="2525"/>
      <c r="V333" s="1961">
        <v>100</v>
      </c>
      <c r="W333" s="1962" t="s">
        <v>2453</v>
      </c>
    </row>
    <row r="334" spans="1:23" ht="11.25" customHeight="1" x14ac:dyDescent="0.2">
      <c r="A334" s="2526" t="s">
        <v>2641</v>
      </c>
      <c r="B334" s="2526"/>
      <c r="C334" s="2526"/>
      <c r="D334" s="2526"/>
      <c r="E334" s="2526"/>
      <c r="F334" s="1960" t="s">
        <v>2212</v>
      </c>
      <c r="G334" s="2526" t="s">
        <v>2642</v>
      </c>
      <c r="H334" s="2526"/>
      <c r="I334" s="2526"/>
      <c r="J334" s="2526"/>
      <c r="L334" s="2525">
        <v>0</v>
      </c>
      <c r="M334" s="2525"/>
      <c r="N334" s="2525">
        <v>0</v>
      </c>
      <c r="O334" s="2525"/>
      <c r="P334" s="2525">
        <v>0</v>
      </c>
      <c r="Q334" s="2525"/>
      <c r="R334" s="2525">
        <v>0</v>
      </c>
      <c r="S334" s="2525"/>
      <c r="T334" s="2525">
        <v>0</v>
      </c>
      <c r="U334" s="2525"/>
      <c r="V334" s="1961">
        <v>0</v>
      </c>
      <c r="W334" s="1962" t="s">
        <v>2453</v>
      </c>
    </row>
    <row r="335" spans="1:23" ht="11.25" customHeight="1" x14ac:dyDescent="0.2">
      <c r="A335" s="2526" t="s">
        <v>2643</v>
      </c>
      <c r="B335" s="2526"/>
      <c r="C335" s="2526"/>
      <c r="D335" s="2526"/>
      <c r="E335" s="2526"/>
      <c r="F335" s="1960" t="s">
        <v>2212</v>
      </c>
      <c r="G335" s="2526" t="s">
        <v>2475</v>
      </c>
      <c r="H335" s="2526"/>
      <c r="I335" s="2526"/>
      <c r="J335" s="2526"/>
      <c r="L335" s="2525">
        <v>0</v>
      </c>
      <c r="M335" s="2525"/>
      <c r="N335" s="2525">
        <v>0</v>
      </c>
      <c r="O335" s="2525"/>
      <c r="P335" s="2525">
        <v>24324.54</v>
      </c>
      <c r="Q335" s="2525"/>
      <c r="R335" s="2525">
        <v>24324.54</v>
      </c>
      <c r="S335" s="2525"/>
      <c r="T335" s="2525">
        <v>24488</v>
      </c>
      <c r="U335" s="2525"/>
      <c r="V335" s="1961">
        <v>99.332489382554726</v>
      </c>
      <c r="W335" s="1962" t="s">
        <v>2453</v>
      </c>
    </row>
    <row r="336" spans="1:23" ht="11.25" customHeight="1" x14ac:dyDescent="0.2">
      <c r="A336" s="2526" t="s">
        <v>2644</v>
      </c>
      <c r="B336" s="2526"/>
      <c r="C336" s="2526"/>
      <c r="D336" s="2526"/>
      <c r="E336" s="2526"/>
      <c r="F336" s="1960" t="s">
        <v>2212</v>
      </c>
      <c r="G336" s="2526" t="s">
        <v>2488</v>
      </c>
      <c r="H336" s="2526"/>
      <c r="I336" s="2526"/>
      <c r="J336" s="2526"/>
      <c r="L336" s="2525">
        <v>0</v>
      </c>
      <c r="M336" s="2525"/>
      <c r="N336" s="2525">
        <v>0</v>
      </c>
      <c r="O336" s="2525"/>
      <c r="P336" s="2525">
        <v>0</v>
      </c>
      <c r="Q336" s="2525"/>
      <c r="R336" s="2525">
        <v>0</v>
      </c>
      <c r="S336" s="2525"/>
      <c r="T336" s="2525">
        <v>0</v>
      </c>
      <c r="U336" s="2525"/>
      <c r="V336" s="1961">
        <v>0</v>
      </c>
      <c r="W336" s="1962" t="s">
        <v>2453</v>
      </c>
    </row>
    <row r="337" spans="1:23" ht="11.25" customHeight="1" x14ac:dyDescent="0.2">
      <c r="A337" s="2526" t="s">
        <v>2645</v>
      </c>
      <c r="B337" s="2526"/>
      <c r="C337" s="2526"/>
      <c r="D337" s="2526"/>
      <c r="E337" s="2526"/>
      <c r="F337" s="1960" t="s">
        <v>2212</v>
      </c>
      <c r="G337" s="2526" t="s">
        <v>2512</v>
      </c>
      <c r="H337" s="2526"/>
      <c r="I337" s="2526"/>
      <c r="J337" s="2526"/>
      <c r="L337" s="2525">
        <v>0</v>
      </c>
      <c r="M337" s="2525"/>
      <c r="N337" s="2525">
        <v>0</v>
      </c>
      <c r="O337" s="2525"/>
      <c r="P337" s="2525">
        <v>0</v>
      </c>
      <c r="Q337" s="2525"/>
      <c r="R337" s="2525">
        <v>0</v>
      </c>
      <c r="S337" s="2525"/>
      <c r="T337" s="2525">
        <v>0</v>
      </c>
      <c r="U337" s="2525"/>
      <c r="V337" s="1961">
        <v>0</v>
      </c>
      <c r="W337" s="1962" t="s">
        <v>2453</v>
      </c>
    </row>
    <row r="338" spans="1:23" ht="11.25" customHeight="1" x14ac:dyDescent="0.2">
      <c r="A338" s="2526" t="s">
        <v>2646</v>
      </c>
      <c r="B338" s="2526"/>
      <c r="C338" s="2526"/>
      <c r="D338" s="2526"/>
      <c r="E338" s="2526"/>
      <c r="F338" s="1960" t="s">
        <v>2212</v>
      </c>
      <c r="G338" s="2526" t="s">
        <v>2647</v>
      </c>
      <c r="H338" s="2526"/>
      <c r="I338" s="2526"/>
      <c r="J338" s="2526"/>
      <c r="L338" s="2525">
        <v>0</v>
      </c>
      <c r="M338" s="2525"/>
      <c r="N338" s="2525">
        <v>0</v>
      </c>
      <c r="O338" s="2525"/>
      <c r="P338" s="2525">
        <v>142</v>
      </c>
      <c r="Q338" s="2525"/>
      <c r="R338" s="2525">
        <v>142</v>
      </c>
      <c r="S338" s="2525"/>
      <c r="T338" s="2525">
        <v>143</v>
      </c>
      <c r="U338" s="2525"/>
      <c r="V338" s="1961">
        <v>99.300699300699307</v>
      </c>
      <c r="W338" s="1962" t="s">
        <v>2453</v>
      </c>
    </row>
    <row r="339" spans="1:23" ht="11.25" customHeight="1" x14ac:dyDescent="0.2">
      <c r="A339" s="2526" t="s">
        <v>2648</v>
      </c>
      <c r="B339" s="2526"/>
      <c r="C339" s="2526"/>
      <c r="D339" s="2526"/>
      <c r="E339" s="2526"/>
      <c r="F339" s="1960" t="s">
        <v>2212</v>
      </c>
      <c r="G339" s="2526" t="s">
        <v>2649</v>
      </c>
      <c r="H339" s="2526"/>
      <c r="I339" s="2526"/>
      <c r="J339" s="2526"/>
      <c r="L339" s="2525">
        <v>0</v>
      </c>
      <c r="M339" s="2525"/>
      <c r="N339" s="2525">
        <v>0</v>
      </c>
      <c r="O339" s="2525"/>
      <c r="P339" s="2525">
        <v>28</v>
      </c>
      <c r="Q339" s="2525"/>
      <c r="R339" s="2525">
        <v>28</v>
      </c>
      <c r="S339" s="2525"/>
      <c r="T339" s="2525">
        <v>84</v>
      </c>
      <c r="U339" s="2525"/>
      <c r="V339" s="1961">
        <v>33.333333333333336</v>
      </c>
      <c r="W339" s="1962" t="s">
        <v>2453</v>
      </c>
    </row>
    <row r="340" spans="1:23" ht="11.25" customHeight="1" x14ac:dyDescent="0.2">
      <c r="A340" s="2526" t="s">
        <v>2650</v>
      </c>
      <c r="B340" s="2526"/>
      <c r="C340" s="2526"/>
      <c r="D340" s="2526"/>
      <c r="E340" s="2526"/>
      <c r="F340" s="1960" t="s">
        <v>2212</v>
      </c>
      <c r="G340" s="2526" t="s">
        <v>2651</v>
      </c>
      <c r="H340" s="2526"/>
      <c r="I340" s="2526"/>
      <c r="J340" s="2526"/>
      <c r="L340" s="2525">
        <v>0</v>
      </c>
      <c r="M340" s="2525"/>
      <c r="N340" s="2525">
        <v>0</v>
      </c>
      <c r="O340" s="2525"/>
      <c r="P340" s="2525">
        <v>3437.5</v>
      </c>
      <c r="Q340" s="2525"/>
      <c r="R340" s="2525">
        <v>3437.5</v>
      </c>
      <c r="S340" s="2525"/>
      <c r="T340" s="2525">
        <v>3300</v>
      </c>
      <c r="U340" s="2525"/>
      <c r="V340" s="1961">
        <v>104.16666666666669</v>
      </c>
      <c r="W340" s="1962" t="s">
        <v>2453</v>
      </c>
    </row>
    <row r="341" spans="1:23" ht="11.25" customHeight="1" x14ac:dyDescent="0.2">
      <c r="A341" s="2526" t="s">
        <v>2652</v>
      </c>
      <c r="B341" s="2526"/>
      <c r="C341" s="2526"/>
      <c r="D341" s="2526"/>
      <c r="E341" s="2526"/>
      <c r="F341" s="1960" t="s">
        <v>2212</v>
      </c>
      <c r="G341" s="2526" t="s">
        <v>2653</v>
      </c>
      <c r="H341" s="2526"/>
      <c r="I341" s="2526"/>
      <c r="J341" s="2526"/>
      <c r="L341" s="2525">
        <v>0</v>
      </c>
      <c r="M341" s="2525"/>
      <c r="N341" s="2525">
        <v>0</v>
      </c>
      <c r="O341" s="2525"/>
      <c r="P341" s="2525">
        <v>215.5</v>
      </c>
      <c r="Q341" s="2525"/>
      <c r="R341" s="2525">
        <v>215.5</v>
      </c>
      <c r="S341" s="2525"/>
      <c r="T341" s="2525">
        <v>216</v>
      </c>
      <c r="U341" s="2525"/>
      <c r="V341" s="1961">
        <v>99.768518518518519</v>
      </c>
      <c r="W341" s="1962" t="s">
        <v>2453</v>
      </c>
    </row>
    <row r="342" spans="1:23" ht="11.25" customHeight="1" x14ac:dyDescent="0.2">
      <c r="A342" s="2526" t="s">
        <v>2654</v>
      </c>
      <c r="B342" s="2526"/>
      <c r="C342" s="2526"/>
      <c r="D342" s="2526"/>
      <c r="E342" s="2526"/>
      <c r="F342" s="1960" t="s">
        <v>2212</v>
      </c>
      <c r="G342" s="2526" t="s">
        <v>2655</v>
      </c>
      <c r="H342" s="2526"/>
      <c r="I342" s="2526"/>
      <c r="J342" s="2526"/>
      <c r="L342" s="2525">
        <v>0</v>
      </c>
      <c r="M342" s="2525"/>
      <c r="N342" s="2525">
        <v>0</v>
      </c>
      <c r="O342" s="2525"/>
      <c r="P342" s="2525">
        <v>0</v>
      </c>
      <c r="Q342" s="2525"/>
      <c r="R342" s="2525">
        <v>0</v>
      </c>
      <c r="S342" s="2525"/>
      <c r="T342" s="2525">
        <v>0</v>
      </c>
      <c r="U342" s="2525"/>
      <c r="V342" s="1961">
        <v>0</v>
      </c>
      <c r="W342" s="1962" t="s">
        <v>2453</v>
      </c>
    </row>
    <row r="343" spans="1:23" ht="11.25" customHeight="1" x14ac:dyDescent="0.2">
      <c r="A343" s="2526" t="s">
        <v>2656</v>
      </c>
      <c r="B343" s="2526"/>
      <c r="C343" s="2526"/>
      <c r="D343" s="2526"/>
      <c r="E343" s="2526"/>
      <c r="F343" s="1960" t="s">
        <v>2212</v>
      </c>
      <c r="G343" s="2526" t="s">
        <v>2657</v>
      </c>
      <c r="H343" s="2526"/>
      <c r="I343" s="2526"/>
      <c r="J343" s="2526"/>
      <c r="L343" s="2525">
        <v>0</v>
      </c>
      <c r="M343" s="2525"/>
      <c r="N343" s="2525">
        <v>0</v>
      </c>
      <c r="O343" s="2525"/>
      <c r="P343" s="2525">
        <v>0</v>
      </c>
      <c r="Q343" s="2525"/>
      <c r="R343" s="2525">
        <v>0</v>
      </c>
      <c r="S343" s="2525"/>
      <c r="T343" s="2525">
        <v>0</v>
      </c>
      <c r="U343" s="2525"/>
      <c r="V343" s="1961">
        <v>0</v>
      </c>
      <c r="W343" s="1962" t="s">
        <v>2453</v>
      </c>
    </row>
    <row r="344" spans="1:23" ht="11.25" customHeight="1" x14ac:dyDescent="0.2">
      <c r="A344" s="2526" t="s">
        <v>2658</v>
      </c>
      <c r="B344" s="2526"/>
      <c r="C344" s="2526"/>
      <c r="D344" s="2526"/>
      <c r="E344" s="2526"/>
      <c r="F344" s="1960" t="s">
        <v>2212</v>
      </c>
      <c r="G344" s="2526" t="s">
        <v>2659</v>
      </c>
      <c r="H344" s="2526"/>
      <c r="I344" s="2526"/>
      <c r="J344" s="2526"/>
      <c r="L344" s="2525">
        <v>0</v>
      </c>
      <c r="M344" s="2525"/>
      <c r="N344" s="2525">
        <v>0</v>
      </c>
      <c r="O344" s="2525"/>
      <c r="P344" s="2525">
        <v>2262.9700000000003</v>
      </c>
      <c r="Q344" s="2525"/>
      <c r="R344" s="2525">
        <v>2262.9700000000003</v>
      </c>
      <c r="S344" s="2525"/>
      <c r="T344" s="2525">
        <v>3500</v>
      </c>
      <c r="U344" s="2525"/>
      <c r="V344" s="1961">
        <v>64.656285714285715</v>
      </c>
      <c r="W344" s="1962" t="s">
        <v>2453</v>
      </c>
    </row>
    <row r="345" spans="1:23" ht="11.25" customHeight="1" x14ac:dyDescent="0.2">
      <c r="A345" s="2526" t="s">
        <v>2660</v>
      </c>
      <c r="B345" s="2526"/>
      <c r="C345" s="2526"/>
      <c r="D345" s="2526"/>
      <c r="E345" s="2526"/>
      <c r="F345" s="1960" t="s">
        <v>2212</v>
      </c>
      <c r="G345" s="2526" t="s">
        <v>2661</v>
      </c>
      <c r="H345" s="2526"/>
      <c r="I345" s="2526"/>
      <c r="J345" s="2526"/>
      <c r="L345" s="2525">
        <v>0</v>
      </c>
      <c r="M345" s="2525"/>
      <c r="N345" s="2525">
        <v>0</v>
      </c>
      <c r="O345" s="2525"/>
      <c r="P345" s="2525">
        <v>462.46000000000004</v>
      </c>
      <c r="Q345" s="2525"/>
      <c r="R345" s="2525">
        <v>462.46000000000004</v>
      </c>
      <c r="S345" s="2525"/>
      <c r="T345" s="2525">
        <v>0</v>
      </c>
      <c r="U345" s="2525"/>
      <c r="V345" s="1961">
        <v>0</v>
      </c>
      <c r="W345" s="1962" t="s">
        <v>2453</v>
      </c>
    </row>
    <row r="346" spans="1:23" ht="11.25" customHeight="1" x14ac:dyDescent="0.2">
      <c r="A346" s="2526" t="s">
        <v>2662</v>
      </c>
      <c r="B346" s="2526"/>
      <c r="C346" s="2526"/>
      <c r="D346" s="2526"/>
      <c r="E346" s="2526"/>
      <c r="F346" s="1960" t="s">
        <v>2212</v>
      </c>
      <c r="G346" s="2526" t="s">
        <v>2663</v>
      </c>
      <c r="H346" s="2526"/>
      <c r="I346" s="2526"/>
      <c r="J346" s="2526"/>
      <c r="L346" s="2525">
        <v>0</v>
      </c>
      <c r="M346" s="2525"/>
      <c r="N346" s="2525">
        <v>0</v>
      </c>
      <c r="O346" s="2525"/>
      <c r="P346" s="2525">
        <v>0</v>
      </c>
      <c r="Q346" s="2525"/>
      <c r="R346" s="2525">
        <v>0</v>
      </c>
      <c r="S346" s="2525"/>
      <c r="T346" s="2525">
        <v>0</v>
      </c>
      <c r="U346" s="2525"/>
      <c r="V346" s="1961">
        <v>0</v>
      </c>
      <c r="W346" s="1962" t="s">
        <v>2453</v>
      </c>
    </row>
    <row r="347" spans="1:23" ht="11.25" customHeight="1" x14ac:dyDescent="0.2">
      <c r="A347" s="2526" t="s">
        <v>2664</v>
      </c>
      <c r="B347" s="2526"/>
      <c r="C347" s="2526"/>
      <c r="D347" s="2526"/>
      <c r="E347" s="2526"/>
      <c r="F347" s="1960" t="s">
        <v>2112</v>
      </c>
      <c r="G347" s="2526" t="s">
        <v>2665</v>
      </c>
      <c r="H347" s="2526"/>
      <c r="I347" s="2526"/>
      <c r="J347" s="2526"/>
      <c r="L347" s="2525">
        <v>0</v>
      </c>
      <c r="M347" s="2525"/>
      <c r="N347" s="2525">
        <v>0</v>
      </c>
      <c r="O347" s="2525"/>
      <c r="P347" s="2525">
        <v>40204.58</v>
      </c>
      <c r="Q347" s="2525"/>
      <c r="R347" s="2525">
        <v>40204.58</v>
      </c>
      <c r="S347" s="2525"/>
      <c r="T347" s="2525">
        <v>40491</v>
      </c>
      <c r="U347" s="2525"/>
      <c r="V347" s="1961">
        <v>99.292632930774744</v>
      </c>
      <c r="W347" s="1962" t="s">
        <v>2453</v>
      </c>
    </row>
    <row r="348" spans="1:23" ht="11.25" customHeight="1" x14ac:dyDescent="0.2">
      <c r="A348" s="2526" t="s">
        <v>2666</v>
      </c>
      <c r="B348" s="2526"/>
      <c r="C348" s="2526"/>
      <c r="D348" s="2526"/>
      <c r="E348" s="2526"/>
      <c r="F348" s="1960" t="s">
        <v>2112</v>
      </c>
      <c r="G348" s="2526" t="s">
        <v>2667</v>
      </c>
      <c r="H348" s="2526"/>
      <c r="I348" s="2526"/>
      <c r="J348" s="2526"/>
      <c r="L348" s="2525">
        <v>0</v>
      </c>
      <c r="M348" s="2525"/>
      <c r="N348" s="2525">
        <v>0</v>
      </c>
      <c r="O348" s="2525"/>
      <c r="P348" s="2525">
        <v>42245</v>
      </c>
      <c r="Q348" s="2525"/>
      <c r="R348" s="2525">
        <v>42245</v>
      </c>
      <c r="S348" s="2525"/>
      <c r="T348" s="2525">
        <v>36000</v>
      </c>
      <c r="U348" s="2525"/>
      <c r="V348" s="1961">
        <v>117.34722222222223</v>
      </c>
      <c r="W348" s="1962" t="s">
        <v>2453</v>
      </c>
    </row>
    <row r="349" spans="1:23" ht="11.25" customHeight="1" x14ac:dyDescent="0.2">
      <c r="A349" s="2526" t="s">
        <v>2668</v>
      </c>
      <c r="B349" s="2526"/>
      <c r="C349" s="2526"/>
      <c r="D349" s="2526"/>
      <c r="E349" s="2526"/>
      <c r="F349" s="1960" t="s">
        <v>2112</v>
      </c>
      <c r="G349" s="2526" t="s">
        <v>2669</v>
      </c>
      <c r="H349" s="2526"/>
      <c r="I349" s="2526"/>
      <c r="J349" s="2526"/>
      <c r="L349" s="2525">
        <v>0</v>
      </c>
      <c r="M349" s="2525"/>
      <c r="N349" s="2525">
        <v>0</v>
      </c>
      <c r="O349" s="2525"/>
      <c r="P349" s="2525">
        <v>0</v>
      </c>
      <c r="Q349" s="2525"/>
      <c r="R349" s="2525">
        <v>0</v>
      </c>
      <c r="S349" s="2525"/>
      <c r="T349" s="2525">
        <v>0</v>
      </c>
      <c r="U349" s="2525"/>
      <c r="V349" s="1961">
        <v>0</v>
      </c>
      <c r="W349" s="1962" t="s">
        <v>2453</v>
      </c>
    </row>
    <row r="350" spans="1:23" ht="11.25" customHeight="1" x14ac:dyDescent="0.2">
      <c r="A350" s="2526" t="s">
        <v>2670</v>
      </c>
      <c r="B350" s="2526"/>
      <c r="C350" s="2526"/>
      <c r="D350" s="2526"/>
      <c r="E350" s="2526"/>
      <c r="F350" s="1960" t="s">
        <v>2112</v>
      </c>
      <c r="G350" s="2526" t="s">
        <v>2671</v>
      </c>
      <c r="H350" s="2526"/>
      <c r="I350" s="2526"/>
      <c r="J350" s="2526"/>
      <c r="L350" s="2525">
        <v>0</v>
      </c>
      <c r="M350" s="2525"/>
      <c r="N350" s="2525">
        <v>0</v>
      </c>
      <c r="O350" s="2525"/>
      <c r="P350" s="2525">
        <v>0</v>
      </c>
      <c r="Q350" s="2525"/>
      <c r="R350" s="2525">
        <v>0</v>
      </c>
      <c r="S350" s="2525"/>
      <c r="T350" s="2525">
        <v>0</v>
      </c>
      <c r="U350" s="2525"/>
      <c r="V350" s="1961">
        <v>0</v>
      </c>
      <c r="W350" s="1962" t="s">
        <v>2453</v>
      </c>
    </row>
    <row r="351" spans="1:23" ht="11.25" customHeight="1" x14ac:dyDescent="0.2">
      <c r="A351" s="2526" t="s">
        <v>2672</v>
      </c>
      <c r="B351" s="2526"/>
      <c r="C351" s="2526"/>
      <c r="D351" s="2526"/>
      <c r="E351" s="2526"/>
      <c r="F351" s="1960" t="s">
        <v>2112</v>
      </c>
      <c r="G351" s="2526" t="s">
        <v>2673</v>
      </c>
      <c r="H351" s="2526"/>
      <c r="I351" s="2526"/>
      <c r="J351" s="2526"/>
      <c r="L351" s="2525">
        <v>0</v>
      </c>
      <c r="M351" s="2525"/>
      <c r="N351" s="2525">
        <v>0</v>
      </c>
      <c r="O351" s="2525"/>
      <c r="P351" s="2525">
        <v>0</v>
      </c>
      <c r="Q351" s="2525"/>
      <c r="R351" s="2525">
        <v>0</v>
      </c>
      <c r="S351" s="2525"/>
      <c r="T351" s="2525">
        <v>0</v>
      </c>
      <c r="U351" s="2525"/>
      <c r="V351" s="1961">
        <v>0</v>
      </c>
      <c r="W351" s="1962" t="s">
        <v>2453</v>
      </c>
    </row>
    <row r="352" spans="1:23" ht="11.25" customHeight="1" x14ac:dyDescent="0.2">
      <c r="A352" s="2526" t="s">
        <v>2674</v>
      </c>
      <c r="B352" s="2526"/>
      <c r="C352" s="2526"/>
      <c r="D352" s="2526"/>
      <c r="E352" s="2526"/>
      <c r="F352" s="1960" t="s">
        <v>2112</v>
      </c>
      <c r="G352" s="2526" t="s">
        <v>2675</v>
      </c>
      <c r="H352" s="2526"/>
      <c r="I352" s="2526"/>
      <c r="J352" s="2526"/>
      <c r="L352" s="2525">
        <v>0</v>
      </c>
      <c r="M352" s="2525"/>
      <c r="N352" s="2525">
        <v>0</v>
      </c>
      <c r="O352" s="2525"/>
      <c r="P352" s="2525">
        <v>234.8</v>
      </c>
      <c r="Q352" s="2525"/>
      <c r="R352" s="2525">
        <v>234.8</v>
      </c>
      <c r="S352" s="2525"/>
      <c r="T352" s="2525">
        <v>235</v>
      </c>
      <c r="U352" s="2525"/>
      <c r="V352" s="1961">
        <v>99.914893617021278</v>
      </c>
      <c r="W352" s="1962" t="s">
        <v>2453</v>
      </c>
    </row>
    <row r="353" spans="1:23" ht="11.25" customHeight="1" x14ac:dyDescent="0.2">
      <c r="A353" s="2526" t="s">
        <v>2676</v>
      </c>
      <c r="B353" s="2526"/>
      <c r="C353" s="2526"/>
      <c r="D353" s="2526"/>
      <c r="E353" s="2526"/>
      <c r="F353" s="1960" t="s">
        <v>2112</v>
      </c>
      <c r="G353" s="2526" t="s">
        <v>2677</v>
      </c>
      <c r="H353" s="2526"/>
      <c r="I353" s="2526"/>
      <c r="J353" s="2526"/>
      <c r="L353" s="2525">
        <v>0</v>
      </c>
      <c r="M353" s="2525"/>
      <c r="N353" s="2525">
        <v>0</v>
      </c>
      <c r="O353" s="2525"/>
      <c r="P353" s="2525">
        <v>76</v>
      </c>
      <c r="Q353" s="2525"/>
      <c r="R353" s="2525">
        <v>76</v>
      </c>
      <c r="S353" s="2525"/>
      <c r="T353" s="2525">
        <v>48</v>
      </c>
      <c r="U353" s="2525"/>
      <c r="V353" s="1961">
        <v>158.33333333333334</v>
      </c>
      <c r="W353" s="1962" t="s">
        <v>2453</v>
      </c>
    </row>
    <row r="354" spans="1:23" ht="11.25" customHeight="1" x14ac:dyDescent="0.2">
      <c r="A354" s="2526" t="s">
        <v>2678</v>
      </c>
      <c r="B354" s="2526"/>
      <c r="C354" s="2526"/>
      <c r="D354" s="2526"/>
      <c r="E354" s="2526"/>
      <c r="F354" s="1960" t="s">
        <v>2112</v>
      </c>
      <c r="G354" s="2526" t="s">
        <v>2679</v>
      </c>
      <c r="H354" s="2526"/>
      <c r="I354" s="2526"/>
      <c r="J354" s="2526"/>
      <c r="L354" s="2525">
        <v>0</v>
      </c>
      <c r="M354" s="2525"/>
      <c r="N354" s="2525">
        <v>0</v>
      </c>
      <c r="O354" s="2525"/>
      <c r="P354" s="2525">
        <v>7125</v>
      </c>
      <c r="Q354" s="2525"/>
      <c r="R354" s="2525">
        <v>7125</v>
      </c>
      <c r="S354" s="2525"/>
      <c r="T354" s="2525">
        <v>19800</v>
      </c>
      <c r="U354" s="2525"/>
      <c r="V354" s="1961">
        <v>35.984848484848484</v>
      </c>
      <c r="W354" s="1962" t="s">
        <v>2453</v>
      </c>
    </row>
    <row r="355" spans="1:23" ht="11.25" customHeight="1" x14ac:dyDescent="0.2">
      <c r="A355" s="2526" t="s">
        <v>2680</v>
      </c>
      <c r="B355" s="2526"/>
      <c r="C355" s="2526"/>
      <c r="D355" s="2526"/>
      <c r="E355" s="2526"/>
      <c r="F355" s="1960" t="s">
        <v>2112</v>
      </c>
      <c r="G355" s="2526" t="s">
        <v>2681</v>
      </c>
      <c r="H355" s="2526"/>
      <c r="I355" s="2526"/>
      <c r="J355" s="2526"/>
      <c r="L355" s="2525">
        <v>0</v>
      </c>
      <c r="M355" s="2525"/>
      <c r="N355" s="2525">
        <v>0</v>
      </c>
      <c r="O355" s="2525"/>
      <c r="P355" s="2525">
        <v>0</v>
      </c>
      <c r="Q355" s="2525"/>
      <c r="R355" s="2525">
        <v>0</v>
      </c>
      <c r="S355" s="2525"/>
      <c r="T355" s="2525">
        <v>0</v>
      </c>
      <c r="U355" s="2525"/>
      <c r="V355" s="1961">
        <v>0</v>
      </c>
      <c r="W355" s="1962" t="s">
        <v>2453</v>
      </c>
    </row>
    <row r="356" spans="1:23" ht="11.25" customHeight="1" x14ac:dyDescent="0.2">
      <c r="A356" s="2526" t="s">
        <v>2682</v>
      </c>
      <c r="B356" s="2526"/>
      <c r="C356" s="2526"/>
      <c r="D356" s="2526"/>
      <c r="E356" s="2526"/>
      <c r="F356" s="1960" t="s">
        <v>2112</v>
      </c>
      <c r="G356" s="2526" t="s">
        <v>2683</v>
      </c>
      <c r="H356" s="2526"/>
      <c r="I356" s="2526"/>
      <c r="J356" s="2526"/>
      <c r="L356" s="2525">
        <v>0</v>
      </c>
      <c r="M356" s="2525"/>
      <c r="N356" s="2525">
        <v>0</v>
      </c>
      <c r="O356" s="2525"/>
      <c r="P356" s="2525">
        <v>356.3</v>
      </c>
      <c r="Q356" s="2525"/>
      <c r="R356" s="2525">
        <v>356.3</v>
      </c>
      <c r="S356" s="2525"/>
      <c r="T356" s="2525">
        <v>357</v>
      </c>
      <c r="U356" s="2525"/>
      <c r="V356" s="1961">
        <v>99.803921568627445</v>
      </c>
      <c r="W356" s="1962" t="s">
        <v>2453</v>
      </c>
    </row>
    <row r="357" spans="1:23" ht="11.25" customHeight="1" x14ac:dyDescent="0.2">
      <c r="A357" s="2526" t="s">
        <v>2684</v>
      </c>
      <c r="B357" s="2526"/>
      <c r="C357" s="2526"/>
      <c r="D357" s="2526"/>
      <c r="E357" s="2526"/>
      <c r="F357" s="1960" t="s">
        <v>971</v>
      </c>
      <c r="G357" s="2526" t="s">
        <v>2685</v>
      </c>
      <c r="H357" s="2526"/>
      <c r="I357" s="2526"/>
      <c r="J357" s="2526"/>
      <c r="L357" s="2525">
        <v>0</v>
      </c>
      <c r="M357" s="2525"/>
      <c r="N357" s="2525">
        <v>0</v>
      </c>
      <c r="O357" s="2525"/>
      <c r="P357" s="2525">
        <v>4928.5</v>
      </c>
      <c r="Q357" s="2525"/>
      <c r="R357" s="2525">
        <v>4928.5</v>
      </c>
      <c r="S357" s="2525"/>
      <c r="T357" s="2525">
        <v>0</v>
      </c>
      <c r="U357" s="2525"/>
      <c r="V357" s="1961">
        <v>0</v>
      </c>
      <c r="W357" s="1962" t="s">
        <v>2453</v>
      </c>
    </row>
    <row r="358" spans="1:23" ht="11.25" customHeight="1" x14ac:dyDescent="0.2">
      <c r="A358" s="2526" t="s">
        <v>2686</v>
      </c>
      <c r="B358" s="2526"/>
      <c r="C358" s="2526"/>
      <c r="D358" s="2526"/>
      <c r="E358" s="2526"/>
      <c r="F358" s="1960" t="s">
        <v>2112</v>
      </c>
      <c r="G358" s="2526" t="s">
        <v>2687</v>
      </c>
      <c r="H358" s="2526"/>
      <c r="I358" s="2526"/>
      <c r="J358" s="2526"/>
      <c r="L358" s="2525">
        <v>0</v>
      </c>
      <c r="M358" s="2525"/>
      <c r="N358" s="2525">
        <v>0</v>
      </c>
      <c r="O358" s="2525"/>
      <c r="P358" s="2525">
        <v>0</v>
      </c>
      <c r="Q358" s="2525"/>
      <c r="R358" s="2525">
        <v>0</v>
      </c>
      <c r="S358" s="2525"/>
      <c r="T358" s="2525">
        <v>0</v>
      </c>
      <c r="U358" s="2525"/>
      <c r="V358" s="1961">
        <v>0</v>
      </c>
      <c r="W358" s="1962" t="s">
        <v>2453</v>
      </c>
    </row>
    <row r="359" spans="1:23" ht="11.25" customHeight="1" x14ac:dyDescent="0.2">
      <c r="A359" s="2526" t="s">
        <v>2686</v>
      </c>
      <c r="B359" s="2526"/>
      <c r="C359" s="2526"/>
      <c r="D359" s="2526"/>
      <c r="E359" s="2526"/>
      <c r="F359" s="1960" t="s">
        <v>2236</v>
      </c>
      <c r="G359" s="2526" t="s">
        <v>2688</v>
      </c>
      <c r="H359" s="2526"/>
      <c r="I359" s="2526"/>
      <c r="J359" s="2526"/>
      <c r="L359" s="2525">
        <v>0</v>
      </c>
      <c r="M359" s="2525"/>
      <c r="N359" s="2525">
        <v>0</v>
      </c>
      <c r="O359" s="2525"/>
      <c r="P359" s="2525">
        <v>0</v>
      </c>
      <c r="Q359" s="2525"/>
      <c r="R359" s="2525">
        <v>0</v>
      </c>
      <c r="S359" s="2525"/>
      <c r="T359" s="2525">
        <v>0</v>
      </c>
      <c r="U359" s="2525"/>
      <c r="V359" s="1961">
        <v>0</v>
      </c>
      <c r="W359" s="1962" t="s">
        <v>2453</v>
      </c>
    </row>
    <row r="360" spans="1:23" ht="11.25" customHeight="1" x14ac:dyDescent="0.2">
      <c r="A360" s="2526" t="s">
        <v>2689</v>
      </c>
      <c r="B360" s="2526"/>
      <c r="C360" s="2526"/>
      <c r="D360" s="2526"/>
      <c r="E360" s="2526"/>
      <c r="F360" s="1960" t="s">
        <v>2112</v>
      </c>
      <c r="G360" s="2526" t="s">
        <v>2690</v>
      </c>
      <c r="H360" s="2526"/>
      <c r="I360" s="2526"/>
      <c r="J360" s="2526"/>
      <c r="L360" s="2525">
        <v>0</v>
      </c>
      <c r="M360" s="2525"/>
      <c r="N360" s="2525">
        <v>0</v>
      </c>
      <c r="O360" s="2525"/>
      <c r="P360" s="2525">
        <v>0</v>
      </c>
      <c r="Q360" s="2525"/>
      <c r="R360" s="2525">
        <v>0</v>
      </c>
      <c r="S360" s="2525"/>
      <c r="T360" s="2525">
        <v>0</v>
      </c>
      <c r="U360" s="2525"/>
      <c r="V360" s="1961">
        <v>0</v>
      </c>
      <c r="W360" s="1962" t="s">
        <v>2453</v>
      </c>
    </row>
    <row r="361" spans="1:23" ht="11.25" customHeight="1" x14ac:dyDescent="0.2">
      <c r="A361" s="2526" t="s">
        <v>2691</v>
      </c>
      <c r="B361" s="2526"/>
      <c r="C361" s="2526"/>
      <c r="D361" s="2526"/>
      <c r="E361" s="2526"/>
      <c r="F361" s="1960" t="s">
        <v>2112</v>
      </c>
      <c r="G361" s="2526" t="s">
        <v>2692</v>
      </c>
      <c r="H361" s="2526"/>
      <c r="I361" s="2526"/>
      <c r="J361" s="2526"/>
      <c r="L361" s="2525">
        <v>0</v>
      </c>
      <c r="M361" s="2525"/>
      <c r="N361" s="2525">
        <v>0</v>
      </c>
      <c r="O361" s="2525"/>
      <c r="P361" s="2525">
        <v>0</v>
      </c>
      <c r="Q361" s="2525"/>
      <c r="R361" s="2525">
        <v>0</v>
      </c>
      <c r="S361" s="2525"/>
      <c r="T361" s="2525">
        <v>3000</v>
      </c>
      <c r="U361" s="2525"/>
      <c r="V361" s="1961">
        <v>0</v>
      </c>
      <c r="W361" s="1962" t="s">
        <v>2453</v>
      </c>
    </row>
    <row r="362" spans="1:23" ht="11.25" customHeight="1" x14ac:dyDescent="0.2">
      <c r="A362" s="2526" t="s">
        <v>2693</v>
      </c>
      <c r="B362" s="2526"/>
      <c r="C362" s="2526"/>
      <c r="D362" s="2526"/>
      <c r="E362" s="2526"/>
      <c r="F362" s="1960" t="s">
        <v>2112</v>
      </c>
      <c r="G362" s="2526" t="s">
        <v>2694</v>
      </c>
      <c r="H362" s="2526"/>
      <c r="I362" s="2526"/>
      <c r="J362" s="2526"/>
      <c r="L362" s="2525">
        <v>0</v>
      </c>
      <c r="M362" s="2525"/>
      <c r="N362" s="2525">
        <v>0</v>
      </c>
      <c r="O362" s="2525"/>
      <c r="P362" s="2525">
        <v>0</v>
      </c>
      <c r="Q362" s="2525"/>
      <c r="R362" s="2525">
        <v>0</v>
      </c>
      <c r="S362" s="2525"/>
      <c r="T362" s="2525">
        <v>0</v>
      </c>
      <c r="U362" s="2525"/>
      <c r="V362" s="1961">
        <v>0</v>
      </c>
      <c r="W362" s="1962" t="s">
        <v>2453</v>
      </c>
    </row>
    <row r="363" spans="1:23" ht="11.25" customHeight="1" x14ac:dyDescent="0.2">
      <c r="A363" s="2526" t="s">
        <v>2695</v>
      </c>
      <c r="B363" s="2526"/>
      <c r="C363" s="2526"/>
      <c r="D363" s="2526"/>
      <c r="E363" s="2526"/>
      <c r="F363" s="1960" t="s">
        <v>2112</v>
      </c>
      <c r="G363" s="2526" t="s">
        <v>2696</v>
      </c>
      <c r="H363" s="2526"/>
      <c r="I363" s="2526"/>
      <c r="J363" s="2526"/>
      <c r="L363" s="2525">
        <v>0</v>
      </c>
      <c r="M363" s="2525"/>
      <c r="N363" s="2525">
        <v>0</v>
      </c>
      <c r="O363" s="2525"/>
      <c r="P363" s="2525">
        <v>0</v>
      </c>
      <c r="Q363" s="2525"/>
      <c r="R363" s="2525">
        <v>0</v>
      </c>
      <c r="S363" s="2525"/>
      <c r="T363" s="2525">
        <v>0</v>
      </c>
      <c r="U363" s="2525"/>
      <c r="V363" s="1961">
        <v>0</v>
      </c>
      <c r="W363" s="1962" t="s">
        <v>2453</v>
      </c>
    </row>
    <row r="364" spans="1:23" ht="11.25" customHeight="1" x14ac:dyDescent="0.2">
      <c r="A364" s="2526" t="s">
        <v>2697</v>
      </c>
      <c r="B364" s="2526"/>
      <c r="C364" s="2526"/>
      <c r="D364" s="2526"/>
      <c r="E364" s="2526"/>
      <c r="F364" s="1960" t="s">
        <v>2256</v>
      </c>
      <c r="G364" s="2526" t="s">
        <v>2698</v>
      </c>
      <c r="H364" s="2526"/>
      <c r="I364" s="2526"/>
      <c r="J364" s="2526"/>
      <c r="L364" s="2525">
        <v>0</v>
      </c>
      <c r="M364" s="2525"/>
      <c r="N364" s="2525">
        <v>0</v>
      </c>
      <c r="O364" s="2525"/>
      <c r="P364" s="2525">
        <v>7359.31</v>
      </c>
      <c r="Q364" s="2525"/>
      <c r="R364" s="2525">
        <v>7359.31</v>
      </c>
      <c r="S364" s="2525"/>
      <c r="T364" s="2525">
        <v>27000</v>
      </c>
      <c r="U364" s="2525"/>
      <c r="V364" s="1961">
        <v>27.256703703703703</v>
      </c>
      <c r="W364" s="1962" t="s">
        <v>2453</v>
      </c>
    </row>
    <row r="365" spans="1:23" ht="11.25" customHeight="1" x14ac:dyDescent="0.2">
      <c r="A365" s="2526" t="s">
        <v>2699</v>
      </c>
      <c r="B365" s="2526"/>
      <c r="C365" s="2526"/>
      <c r="D365" s="2526"/>
      <c r="E365" s="2526"/>
      <c r="F365" s="1960" t="s">
        <v>2112</v>
      </c>
      <c r="G365" s="2526" t="s">
        <v>2700</v>
      </c>
      <c r="H365" s="2526"/>
      <c r="I365" s="2526"/>
      <c r="J365" s="2526"/>
      <c r="L365" s="2525">
        <v>0</v>
      </c>
      <c r="M365" s="2525"/>
      <c r="N365" s="2525">
        <v>0</v>
      </c>
      <c r="O365" s="2525"/>
      <c r="P365" s="2525">
        <v>0</v>
      </c>
      <c r="Q365" s="2525"/>
      <c r="R365" s="2525">
        <v>0</v>
      </c>
      <c r="S365" s="2525"/>
      <c r="T365" s="2525">
        <v>0</v>
      </c>
      <c r="U365" s="2525"/>
      <c r="V365" s="1961">
        <v>0</v>
      </c>
      <c r="W365" s="1962" t="s">
        <v>2453</v>
      </c>
    </row>
    <row r="366" spans="1:23" ht="11.25" customHeight="1" x14ac:dyDescent="0.2">
      <c r="A366" s="2526" t="s">
        <v>2701</v>
      </c>
      <c r="B366" s="2526"/>
      <c r="C366" s="2526"/>
      <c r="D366" s="2526"/>
      <c r="E366" s="2526"/>
      <c r="F366" s="1960" t="s">
        <v>2256</v>
      </c>
      <c r="G366" s="2526" t="s">
        <v>2702</v>
      </c>
      <c r="H366" s="2526"/>
      <c r="I366" s="2526"/>
      <c r="J366" s="2526"/>
      <c r="L366" s="2525">
        <v>0</v>
      </c>
      <c r="M366" s="2525"/>
      <c r="N366" s="2525">
        <v>0</v>
      </c>
      <c r="O366" s="2525"/>
      <c r="P366" s="2525">
        <v>21600</v>
      </c>
      <c r="Q366" s="2525"/>
      <c r="R366" s="2525">
        <v>21600</v>
      </c>
      <c r="S366" s="2525"/>
      <c r="T366" s="2525">
        <v>0</v>
      </c>
      <c r="U366" s="2525"/>
      <c r="V366" s="1961">
        <v>0</v>
      </c>
      <c r="W366" s="1962" t="s">
        <v>2453</v>
      </c>
    </row>
    <row r="367" spans="1:23" ht="11.25" customHeight="1" x14ac:dyDescent="0.2">
      <c r="A367" s="2526" t="s">
        <v>2703</v>
      </c>
      <c r="B367" s="2526"/>
      <c r="C367" s="2526"/>
      <c r="D367" s="2526"/>
      <c r="E367" s="2526"/>
      <c r="F367" s="1960" t="s">
        <v>2256</v>
      </c>
      <c r="G367" s="2526" t="s">
        <v>2704</v>
      </c>
      <c r="H367" s="2526"/>
      <c r="I367" s="2526"/>
      <c r="J367" s="2526"/>
      <c r="L367" s="2525">
        <v>0</v>
      </c>
      <c r="M367" s="2525"/>
      <c r="N367" s="2525">
        <v>0</v>
      </c>
      <c r="O367" s="2525"/>
      <c r="P367" s="2525">
        <v>0</v>
      </c>
      <c r="Q367" s="2525"/>
      <c r="R367" s="2525">
        <v>0</v>
      </c>
      <c r="S367" s="2525"/>
      <c r="T367" s="2525">
        <v>0</v>
      </c>
      <c r="U367" s="2525"/>
      <c r="V367" s="1961">
        <v>0</v>
      </c>
      <c r="W367" s="1962" t="s">
        <v>2453</v>
      </c>
    </row>
    <row r="368" spans="1:23" ht="11.25" customHeight="1" x14ac:dyDescent="0.2">
      <c r="A368" s="2526" t="s">
        <v>2705</v>
      </c>
      <c r="B368" s="2526"/>
      <c r="C368" s="2526"/>
      <c r="D368" s="2526"/>
      <c r="E368" s="2526"/>
      <c r="F368" s="1960" t="s">
        <v>2256</v>
      </c>
      <c r="G368" s="2526" t="s">
        <v>2706</v>
      </c>
      <c r="H368" s="2526"/>
      <c r="I368" s="2526"/>
      <c r="J368" s="2526"/>
      <c r="L368" s="2525">
        <v>0</v>
      </c>
      <c r="M368" s="2525"/>
      <c r="N368" s="2525">
        <v>0</v>
      </c>
      <c r="O368" s="2525"/>
      <c r="P368" s="2525">
        <v>0</v>
      </c>
      <c r="Q368" s="2525"/>
      <c r="R368" s="2525">
        <v>0</v>
      </c>
      <c r="S368" s="2525"/>
      <c r="T368" s="2525">
        <v>0</v>
      </c>
      <c r="U368" s="2525"/>
      <c r="V368" s="1961">
        <v>0</v>
      </c>
      <c r="W368" s="1962" t="s">
        <v>2453</v>
      </c>
    </row>
    <row r="369" spans="1:23" ht="11.25" customHeight="1" x14ac:dyDescent="0.2">
      <c r="A369" s="2526" t="s">
        <v>2707</v>
      </c>
      <c r="B369" s="2526"/>
      <c r="C369" s="2526"/>
      <c r="D369" s="2526"/>
      <c r="E369" s="2526"/>
      <c r="F369" s="1960" t="s">
        <v>2256</v>
      </c>
      <c r="G369" s="2526" t="s">
        <v>2708</v>
      </c>
      <c r="H369" s="2526"/>
      <c r="I369" s="2526"/>
      <c r="J369" s="2526"/>
      <c r="L369" s="2525">
        <v>0</v>
      </c>
      <c r="M369" s="2525"/>
      <c r="N369" s="2525">
        <v>0</v>
      </c>
      <c r="O369" s="2525"/>
      <c r="P369" s="2525">
        <v>0</v>
      </c>
      <c r="Q369" s="2525"/>
      <c r="R369" s="2525">
        <v>0</v>
      </c>
      <c r="S369" s="2525"/>
      <c r="T369" s="2525">
        <v>0</v>
      </c>
      <c r="U369" s="2525"/>
      <c r="V369" s="1961">
        <v>0</v>
      </c>
      <c r="W369" s="1962" t="s">
        <v>2453</v>
      </c>
    </row>
    <row r="370" spans="1:23" ht="11.25" customHeight="1" x14ac:dyDescent="0.2">
      <c r="A370" s="2526" t="s">
        <v>2709</v>
      </c>
      <c r="B370" s="2526"/>
      <c r="C370" s="2526"/>
      <c r="D370" s="2526"/>
      <c r="E370" s="2526"/>
      <c r="F370" s="1960" t="s">
        <v>2112</v>
      </c>
      <c r="G370" s="2526" t="s">
        <v>2675</v>
      </c>
      <c r="H370" s="2526"/>
      <c r="I370" s="2526"/>
      <c r="J370" s="2526"/>
      <c r="L370" s="2525">
        <v>0</v>
      </c>
      <c r="M370" s="2525"/>
      <c r="N370" s="2525">
        <v>0</v>
      </c>
      <c r="O370" s="2525"/>
      <c r="P370" s="2525">
        <v>0</v>
      </c>
      <c r="Q370" s="2525"/>
      <c r="R370" s="2525">
        <v>0</v>
      </c>
      <c r="S370" s="2525"/>
      <c r="T370" s="2525">
        <v>0</v>
      </c>
      <c r="U370" s="2525"/>
      <c r="V370" s="1961">
        <v>0</v>
      </c>
      <c r="W370" s="1962" t="s">
        <v>2453</v>
      </c>
    </row>
    <row r="371" spans="1:23" ht="11.25" customHeight="1" x14ac:dyDescent="0.2">
      <c r="A371" s="2526" t="s">
        <v>2709</v>
      </c>
      <c r="B371" s="2526"/>
      <c r="C371" s="2526"/>
      <c r="D371" s="2526"/>
      <c r="E371" s="2526"/>
      <c r="F371" s="1960" t="s">
        <v>2256</v>
      </c>
      <c r="G371" s="2526" t="s">
        <v>2710</v>
      </c>
      <c r="H371" s="2526"/>
      <c r="I371" s="2526"/>
      <c r="J371" s="2526"/>
      <c r="L371" s="2525">
        <v>0</v>
      </c>
      <c r="M371" s="2525"/>
      <c r="N371" s="2525">
        <v>0</v>
      </c>
      <c r="O371" s="2525"/>
      <c r="P371" s="2525">
        <v>0</v>
      </c>
      <c r="Q371" s="2525"/>
      <c r="R371" s="2525">
        <v>0</v>
      </c>
      <c r="S371" s="2525"/>
      <c r="T371" s="2525">
        <v>0</v>
      </c>
      <c r="U371" s="2525"/>
      <c r="V371" s="1961">
        <v>0</v>
      </c>
      <c r="W371" s="1962" t="s">
        <v>2453</v>
      </c>
    </row>
    <row r="372" spans="1:23" ht="11.25" customHeight="1" x14ac:dyDescent="0.2">
      <c r="A372" s="2526" t="s">
        <v>2711</v>
      </c>
      <c r="B372" s="2526"/>
      <c r="C372" s="2526"/>
      <c r="D372" s="2526"/>
      <c r="E372" s="2526"/>
      <c r="F372" s="1960" t="s">
        <v>2112</v>
      </c>
      <c r="G372" s="2526" t="s">
        <v>2712</v>
      </c>
      <c r="H372" s="2526"/>
      <c r="I372" s="2526"/>
      <c r="J372" s="2526"/>
      <c r="L372" s="2525">
        <v>0</v>
      </c>
      <c r="M372" s="2525"/>
      <c r="N372" s="2525">
        <v>0</v>
      </c>
      <c r="O372" s="2525"/>
      <c r="P372" s="2525">
        <v>0</v>
      </c>
      <c r="Q372" s="2525"/>
      <c r="R372" s="2525">
        <v>0</v>
      </c>
      <c r="S372" s="2525"/>
      <c r="T372" s="2525">
        <v>0</v>
      </c>
      <c r="U372" s="2525"/>
      <c r="V372" s="1961">
        <v>0</v>
      </c>
      <c r="W372" s="1962" t="s">
        <v>2453</v>
      </c>
    </row>
    <row r="373" spans="1:23" ht="11.25" customHeight="1" x14ac:dyDescent="0.2">
      <c r="A373" s="2526" t="s">
        <v>2711</v>
      </c>
      <c r="B373" s="2526"/>
      <c r="C373" s="2526"/>
      <c r="D373" s="2526"/>
      <c r="E373" s="2526"/>
      <c r="F373" s="1960" t="s">
        <v>2256</v>
      </c>
      <c r="G373" s="2526" t="s">
        <v>2713</v>
      </c>
      <c r="H373" s="2526"/>
      <c r="I373" s="2526"/>
      <c r="J373" s="2526"/>
      <c r="L373" s="2525">
        <v>0</v>
      </c>
      <c r="M373" s="2525"/>
      <c r="N373" s="2525">
        <v>0</v>
      </c>
      <c r="O373" s="2525"/>
      <c r="P373" s="2525">
        <v>-1</v>
      </c>
      <c r="Q373" s="2525"/>
      <c r="R373" s="2525">
        <v>-1</v>
      </c>
      <c r="S373" s="2525"/>
      <c r="T373" s="2525">
        <v>0</v>
      </c>
      <c r="U373" s="2525"/>
      <c r="V373" s="1961">
        <v>0</v>
      </c>
      <c r="W373" s="1962" t="s">
        <v>2453</v>
      </c>
    </row>
    <row r="374" spans="1:23" ht="11.25" customHeight="1" x14ac:dyDescent="0.2">
      <c r="A374" s="2526" t="s">
        <v>2714</v>
      </c>
      <c r="B374" s="2526"/>
      <c r="C374" s="2526"/>
      <c r="D374" s="2526"/>
      <c r="E374" s="2526"/>
      <c r="F374" s="1960" t="s">
        <v>2256</v>
      </c>
      <c r="G374" s="2526" t="s">
        <v>2715</v>
      </c>
      <c r="H374" s="2526"/>
      <c r="I374" s="2526"/>
      <c r="J374" s="2526"/>
      <c r="L374" s="2525">
        <v>0</v>
      </c>
      <c r="M374" s="2525"/>
      <c r="N374" s="2525">
        <v>0</v>
      </c>
      <c r="O374" s="2525"/>
      <c r="P374" s="2525">
        <v>0</v>
      </c>
      <c r="Q374" s="2525"/>
      <c r="R374" s="2525">
        <v>0</v>
      </c>
      <c r="S374" s="2525"/>
      <c r="T374" s="2525">
        <v>0</v>
      </c>
      <c r="U374" s="2525"/>
      <c r="V374" s="1961">
        <v>0</v>
      </c>
      <c r="W374" s="1962" t="s">
        <v>2453</v>
      </c>
    </row>
    <row r="375" spans="1:23" ht="11.25" customHeight="1" x14ac:dyDescent="0.2">
      <c r="A375" s="2526" t="s">
        <v>2716</v>
      </c>
      <c r="B375" s="2526"/>
      <c r="C375" s="2526"/>
      <c r="D375" s="2526"/>
      <c r="E375" s="2526"/>
      <c r="F375" s="1960" t="s">
        <v>2256</v>
      </c>
      <c r="G375" s="2526" t="s">
        <v>2717</v>
      </c>
      <c r="H375" s="2526"/>
      <c r="I375" s="2526"/>
      <c r="J375" s="2526"/>
      <c r="L375" s="2525">
        <v>0</v>
      </c>
      <c r="M375" s="2525"/>
      <c r="N375" s="2525">
        <v>0</v>
      </c>
      <c r="O375" s="2525"/>
      <c r="P375" s="2525">
        <v>26</v>
      </c>
      <c r="Q375" s="2525"/>
      <c r="R375" s="2525">
        <v>26</v>
      </c>
      <c r="S375" s="2525"/>
      <c r="T375" s="2525">
        <v>0</v>
      </c>
      <c r="U375" s="2525"/>
      <c r="V375" s="1961">
        <v>0</v>
      </c>
      <c r="W375" s="1962" t="s">
        <v>2453</v>
      </c>
    </row>
    <row r="376" spans="1:23" ht="11.25" customHeight="1" x14ac:dyDescent="0.2">
      <c r="A376" s="2526" t="s">
        <v>2716</v>
      </c>
      <c r="B376" s="2526"/>
      <c r="C376" s="2526"/>
      <c r="D376" s="2526"/>
      <c r="E376" s="2526"/>
      <c r="F376" s="1960" t="s">
        <v>2112</v>
      </c>
      <c r="G376" s="2526" t="s">
        <v>2718</v>
      </c>
      <c r="H376" s="2526"/>
      <c r="I376" s="2526"/>
      <c r="J376" s="2526"/>
      <c r="L376" s="2525">
        <v>0</v>
      </c>
      <c r="M376" s="2525"/>
      <c r="N376" s="2525">
        <v>0</v>
      </c>
      <c r="O376" s="2525"/>
      <c r="P376" s="2525">
        <v>0</v>
      </c>
      <c r="Q376" s="2525"/>
      <c r="R376" s="2525">
        <v>0</v>
      </c>
      <c r="S376" s="2525"/>
      <c r="T376" s="2525">
        <v>0</v>
      </c>
      <c r="U376" s="2525"/>
      <c r="V376" s="1961">
        <v>0</v>
      </c>
      <c r="W376" s="1962" t="s">
        <v>2453</v>
      </c>
    </row>
    <row r="377" spans="1:23" ht="11.25" customHeight="1" x14ac:dyDescent="0.2">
      <c r="A377" s="2526" t="s">
        <v>2719</v>
      </c>
      <c r="B377" s="2526"/>
      <c r="C377" s="2526"/>
      <c r="D377" s="2526"/>
      <c r="E377" s="2526"/>
      <c r="F377" s="1960" t="s">
        <v>2256</v>
      </c>
      <c r="G377" s="2526" t="s">
        <v>2720</v>
      </c>
      <c r="H377" s="2526"/>
      <c r="I377" s="2526"/>
      <c r="J377" s="2526"/>
      <c r="L377" s="2525">
        <v>0</v>
      </c>
      <c r="M377" s="2525"/>
      <c r="N377" s="2525">
        <v>0</v>
      </c>
      <c r="O377" s="2525"/>
      <c r="P377" s="2525">
        <v>5762.5</v>
      </c>
      <c r="Q377" s="2525"/>
      <c r="R377" s="2525">
        <v>5762.5</v>
      </c>
      <c r="S377" s="2525"/>
      <c r="T377" s="2525">
        <v>0</v>
      </c>
      <c r="U377" s="2525"/>
      <c r="V377" s="1961">
        <v>0</v>
      </c>
      <c r="W377" s="1962" t="s">
        <v>2453</v>
      </c>
    </row>
    <row r="378" spans="1:23" ht="11.25" customHeight="1" x14ac:dyDescent="0.2">
      <c r="A378" s="2526" t="s">
        <v>2719</v>
      </c>
      <c r="B378" s="2526"/>
      <c r="C378" s="2526"/>
      <c r="D378" s="2526"/>
      <c r="E378" s="2526"/>
      <c r="F378" s="1960" t="s">
        <v>2112</v>
      </c>
      <c r="G378" s="2526" t="s">
        <v>2721</v>
      </c>
      <c r="H378" s="2526"/>
      <c r="I378" s="2526"/>
      <c r="J378" s="2526"/>
      <c r="L378" s="2525">
        <v>0</v>
      </c>
      <c r="M378" s="2525"/>
      <c r="N378" s="2525">
        <v>0</v>
      </c>
      <c r="O378" s="2525"/>
      <c r="P378" s="2525">
        <v>0</v>
      </c>
      <c r="Q378" s="2525"/>
      <c r="R378" s="2525">
        <v>0</v>
      </c>
      <c r="S378" s="2525"/>
      <c r="T378" s="2525">
        <v>0</v>
      </c>
      <c r="U378" s="2525"/>
      <c r="V378" s="1961">
        <v>0</v>
      </c>
      <c r="W378" s="1962" t="s">
        <v>2453</v>
      </c>
    </row>
    <row r="379" spans="1:23" ht="11.25" customHeight="1" x14ac:dyDescent="0.2">
      <c r="A379" s="2526" t="s">
        <v>2722</v>
      </c>
      <c r="B379" s="2526"/>
      <c r="C379" s="2526"/>
      <c r="D379" s="2526"/>
      <c r="E379" s="2526"/>
      <c r="F379" s="1960" t="s">
        <v>2256</v>
      </c>
      <c r="G379" s="2526" t="s">
        <v>2683</v>
      </c>
      <c r="H379" s="2526"/>
      <c r="I379" s="2526"/>
      <c r="J379" s="2526"/>
      <c r="L379" s="2525">
        <v>0</v>
      </c>
      <c r="M379" s="2525"/>
      <c r="N379" s="2525">
        <v>0</v>
      </c>
      <c r="O379" s="2525"/>
      <c r="P379" s="2525">
        <v>0</v>
      </c>
      <c r="Q379" s="2525"/>
      <c r="R379" s="2525">
        <v>0</v>
      </c>
      <c r="S379" s="2525"/>
      <c r="T379" s="2525">
        <v>0</v>
      </c>
      <c r="U379" s="2525"/>
      <c r="V379" s="1961">
        <v>0</v>
      </c>
      <c r="W379" s="1962" t="s">
        <v>2453</v>
      </c>
    </row>
    <row r="380" spans="1:23" ht="11.25" customHeight="1" x14ac:dyDescent="0.2">
      <c r="A380" s="2526" t="s">
        <v>2722</v>
      </c>
      <c r="B380" s="2526"/>
      <c r="C380" s="2526"/>
      <c r="D380" s="2526"/>
      <c r="E380" s="2526"/>
      <c r="F380" s="1960" t="s">
        <v>2112</v>
      </c>
      <c r="G380" s="2526" t="s">
        <v>2723</v>
      </c>
      <c r="H380" s="2526"/>
      <c r="I380" s="2526"/>
      <c r="J380" s="2526"/>
      <c r="L380" s="2525">
        <v>0</v>
      </c>
      <c r="M380" s="2525"/>
      <c r="N380" s="2525">
        <v>0</v>
      </c>
      <c r="O380" s="2525"/>
      <c r="P380" s="2525">
        <v>0</v>
      </c>
      <c r="Q380" s="2525"/>
      <c r="R380" s="2525">
        <v>0</v>
      </c>
      <c r="S380" s="2525"/>
      <c r="T380" s="2525">
        <v>0</v>
      </c>
      <c r="U380" s="2525"/>
      <c r="V380" s="1961">
        <v>0</v>
      </c>
      <c r="W380" s="1962" t="s">
        <v>2453</v>
      </c>
    </row>
    <row r="381" spans="1:23" ht="11.25" customHeight="1" x14ac:dyDescent="0.2">
      <c r="A381" s="2526" t="s">
        <v>2724</v>
      </c>
      <c r="B381" s="2526"/>
      <c r="C381" s="2526"/>
      <c r="D381" s="2526"/>
      <c r="E381" s="2526"/>
      <c r="F381" s="1960" t="s">
        <v>2256</v>
      </c>
      <c r="G381" s="2526" t="s">
        <v>2725</v>
      </c>
      <c r="H381" s="2526"/>
      <c r="I381" s="2526"/>
      <c r="J381" s="2526"/>
      <c r="L381" s="2525">
        <v>0</v>
      </c>
      <c r="M381" s="2525"/>
      <c r="N381" s="2525">
        <v>0</v>
      </c>
      <c r="O381" s="2525"/>
      <c r="P381" s="2525">
        <v>0</v>
      </c>
      <c r="Q381" s="2525"/>
      <c r="R381" s="2525">
        <v>0</v>
      </c>
      <c r="S381" s="2525"/>
      <c r="T381" s="2525">
        <v>0</v>
      </c>
      <c r="U381" s="2525"/>
      <c r="V381" s="1961">
        <v>0</v>
      </c>
      <c r="W381" s="1962" t="s">
        <v>2453</v>
      </c>
    </row>
    <row r="382" spans="1:23" ht="11.25" customHeight="1" x14ac:dyDescent="0.2">
      <c r="A382" s="2526" t="s">
        <v>2726</v>
      </c>
      <c r="B382" s="2526"/>
      <c r="C382" s="2526"/>
      <c r="D382" s="2526"/>
      <c r="E382" s="2526"/>
      <c r="F382" s="1960" t="s">
        <v>2256</v>
      </c>
      <c r="G382" s="2526" t="s">
        <v>2727</v>
      </c>
      <c r="H382" s="2526"/>
      <c r="I382" s="2526"/>
      <c r="J382" s="2526"/>
      <c r="L382" s="2525">
        <v>0</v>
      </c>
      <c r="M382" s="2525"/>
      <c r="N382" s="2525">
        <v>0</v>
      </c>
      <c r="O382" s="2525"/>
      <c r="P382" s="2525">
        <v>0</v>
      </c>
      <c r="Q382" s="2525"/>
      <c r="R382" s="2525">
        <v>0</v>
      </c>
      <c r="S382" s="2525"/>
      <c r="T382" s="2525">
        <v>0</v>
      </c>
      <c r="U382" s="2525"/>
      <c r="V382" s="1961">
        <v>0</v>
      </c>
      <c r="W382" s="1962" t="s">
        <v>2453</v>
      </c>
    </row>
    <row r="383" spans="1:23" ht="11.25" customHeight="1" x14ac:dyDescent="0.2">
      <c r="A383" s="2526" t="s">
        <v>2728</v>
      </c>
      <c r="B383" s="2526"/>
      <c r="C383" s="2526"/>
      <c r="D383" s="2526"/>
      <c r="E383" s="2526"/>
      <c r="F383" s="1960" t="s">
        <v>2256</v>
      </c>
      <c r="G383" s="2526" t="s">
        <v>2729</v>
      </c>
      <c r="H383" s="2526"/>
      <c r="I383" s="2526"/>
      <c r="J383" s="2526"/>
      <c r="L383" s="2525">
        <v>0</v>
      </c>
      <c r="M383" s="2525"/>
      <c r="N383" s="2525">
        <v>0</v>
      </c>
      <c r="O383" s="2525"/>
      <c r="P383" s="2525">
        <v>0</v>
      </c>
      <c r="Q383" s="2525"/>
      <c r="R383" s="2525">
        <v>0</v>
      </c>
      <c r="S383" s="2525"/>
      <c r="T383" s="2525">
        <v>0</v>
      </c>
      <c r="U383" s="2525"/>
      <c r="V383" s="1961">
        <v>0</v>
      </c>
      <c r="W383" s="1962" t="s">
        <v>2453</v>
      </c>
    </row>
    <row r="384" spans="1:23" ht="11.25" customHeight="1" x14ac:dyDescent="0.2">
      <c r="A384" s="2526" t="s">
        <v>2730</v>
      </c>
      <c r="B384" s="2526"/>
      <c r="C384" s="2526"/>
      <c r="D384" s="2526"/>
      <c r="E384" s="2526"/>
      <c r="F384" s="1960" t="s">
        <v>2256</v>
      </c>
      <c r="G384" s="2526" t="s">
        <v>2731</v>
      </c>
      <c r="H384" s="2526"/>
      <c r="I384" s="2526"/>
      <c r="J384" s="2526"/>
      <c r="L384" s="2525">
        <v>0</v>
      </c>
      <c r="M384" s="2525"/>
      <c r="N384" s="2525">
        <v>0</v>
      </c>
      <c r="O384" s="2525"/>
      <c r="P384" s="2525">
        <v>25590.49</v>
      </c>
      <c r="Q384" s="2525"/>
      <c r="R384" s="2525">
        <v>25590.49</v>
      </c>
      <c r="S384" s="2525"/>
      <c r="T384" s="2525">
        <v>5000</v>
      </c>
      <c r="U384" s="2525"/>
      <c r="V384" s="1961">
        <v>511.8098</v>
      </c>
      <c r="W384" s="1962" t="s">
        <v>2453</v>
      </c>
    </row>
    <row r="385" spans="1:23" ht="11.25" customHeight="1" x14ac:dyDescent="0.2">
      <c r="A385" s="2526" t="s">
        <v>2732</v>
      </c>
      <c r="B385" s="2526"/>
      <c r="C385" s="2526"/>
      <c r="D385" s="2526"/>
      <c r="E385" s="2526"/>
      <c r="F385" s="1960" t="s">
        <v>2256</v>
      </c>
      <c r="G385" s="2526" t="s">
        <v>2733</v>
      </c>
      <c r="H385" s="2526"/>
      <c r="I385" s="2526"/>
      <c r="J385" s="2526"/>
      <c r="L385" s="2525">
        <v>0</v>
      </c>
      <c r="M385" s="2525"/>
      <c r="N385" s="2525">
        <v>0</v>
      </c>
      <c r="O385" s="2525"/>
      <c r="P385" s="2525">
        <v>0</v>
      </c>
      <c r="Q385" s="2525"/>
      <c r="R385" s="2525">
        <v>0</v>
      </c>
      <c r="S385" s="2525"/>
      <c r="T385" s="2525">
        <v>0</v>
      </c>
      <c r="U385" s="2525"/>
      <c r="V385" s="1961">
        <v>0</v>
      </c>
      <c r="W385" s="1962" t="s">
        <v>2453</v>
      </c>
    </row>
    <row r="386" spans="1:23" ht="11.25" customHeight="1" x14ac:dyDescent="0.2">
      <c r="A386" s="2526" t="s">
        <v>2734</v>
      </c>
      <c r="B386" s="2526"/>
      <c r="C386" s="2526"/>
      <c r="D386" s="2526"/>
      <c r="E386" s="2526"/>
      <c r="F386" s="1960" t="s">
        <v>2256</v>
      </c>
      <c r="G386" s="2526" t="s">
        <v>2735</v>
      </c>
      <c r="H386" s="2526"/>
      <c r="I386" s="2526"/>
      <c r="J386" s="2526"/>
      <c r="L386" s="2525">
        <v>0</v>
      </c>
      <c r="M386" s="2525"/>
      <c r="N386" s="2525">
        <v>0</v>
      </c>
      <c r="O386" s="2525"/>
      <c r="P386" s="2525">
        <v>0</v>
      </c>
      <c r="Q386" s="2525"/>
      <c r="R386" s="2525">
        <v>0</v>
      </c>
      <c r="S386" s="2525"/>
      <c r="T386" s="2525">
        <v>0</v>
      </c>
      <c r="U386" s="2525"/>
      <c r="V386" s="1961">
        <v>0</v>
      </c>
      <c r="W386" s="1962" t="s">
        <v>2453</v>
      </c>
    </row>
    <row r="387" spans="1:23" ht="11.25" customHeight="1" x14ac:dyDescent="0.2">
      <c r="A387" s="2526" t="s">
        <v>2736</v>
      </c>
      <c r="B387" s="2526"/>
      <c r="C387" s="2526"/>
      <c r="D387" s="2526"/>
      <c r="E387" s="2526"/>
      <c r="F387" s="1960" t="s">
        <v>2112</v>
      </c>
      <c r="G387" s="2526" t="s">
        <v>2737</v>
      </c>
      <c r="H387" s="2526"/>
      <c r="I387" s="2526"/>
      <c r="J387" s="2526"/>
      <c r="L387" s="2525">
        <v>0</v>
      </c>
      <c r="M387" s="2525"/>
      <c r="N387" s="2525">
        <v>0</v>
      </c>
      <c r="O387" s="2525"/>
      <c r="P387" s="2525">
        <v>0</v>
      </c>
      <c r="Q387" s="2525"/>
      <c r="R387" s="2525">
        <v>0</v>
      </c>
      <c r="S387" s="2525"/>
      <c r="T387" s="2525">
        <v>0</v>
      </c>
      <c r="U387" s="2525"/>
      <c r="V387" s="1961">
        <v>0</v>
      </c>
      <c r="W387" s="1962" t="s">
        <v>2453</v>
      </c>
    </row>
    <row r="388" spans="1:23" ht="11.25" customHeight="1" x14ac:dyDescent="0.2">
      <c r="A388" s="2526" t="s">
        <v>2736</v>
      </c>
      <c r="B388" s="2526"/>
      <c r="C388" s="2526"/>
      <c r="D388" s="2526"/>
      <c r="E388" s="2526"/>
      <c r="F388" s="1960" t="s">
        <v>2256</v>
      </c>
      <c r="G388" s="2526" t="s">
        <v>2737</v>
      </c>
      <c r="H388" s="2526"/>
      <c r="I388" s="2526"/>
      <c r="J388" s="2526"/>
      <c r="L388" s="2525">
        <v>0</v>
      </c>
      <c r="M388" s="2525"/>
      <c r="N388" s="2525">
        <v>0</v>
      </c>
      <c r="O388" s="2525"/>
      <c r="P388" s="2525">
        <v>0</v>
      </c>
      <c r="Q388" s="2525"/>
      <c r="R388" s="2525">
        <v>0</v>
      </c>
      <c r="S388" s="2525"/>
      <c r="T388" s="2525">
        <v>5500</v>
      </c>
      <c r="U388" s="2525"/>
      <c r="V388" s="1961">
        <v>0</v>
      </c>
      <c r="W388" s="1962" t="s">
        <v>2453</v>
      </c>
    </row>
    <row r="389" spans="1:23" ht="11.25" customHeight="1" x14ac:dyDescent="0.2">
      <c r="A389" s="2526" t="s">
        <v>2738</v>
      </c>
      <c r="B389" s="2526"/>
      <c r="C389" s="2526"/>
      <c r="D389" s="2526"/>
      <c r="E389" s="2526"/>
      <c r="F389" s="1960" t="s">
        <v>2256</v>
      </c>
      <c r="G389" s="2526" t="s">
        <v>2739</v>
      </c>
      <c r="H389" s="2526"/>
      <c r="I389" s="2526"/>
      <c r="J389" s="2526"/>
      <c r="L389" s="2525">
        <v>0</v>
      </c>
      <c r="M389" s="2525"/>
      <c r="N389" s="2525">
        <v>0</v>
      </c>
      <c r="O389" s="2525"/>
      <c r="P389" s="2525">
        <v>0</v>
      </c>
      <c r="Q389" s="2525"/>
      <c r="R389" s="2525">
        <v>0</v>
      </c>
      <c r="S389" s="2525"/>
      <c r="T389" s="2525">
        <v>0</v>
      </c>
      <c r="U389" s="2525"/>
      <c r="V389" s="1961">
        <v>0</v>
      </c>
      <c r="W389" s="1962" t="s">
        <v>2453</v>
      </c>
    </row>
    <row r="390" spans="1:23" ht="11.25" customHeight="1" x14ac:dyDescent="0.2">
      <c r="A390" s="2526" t="s">
        <v>2740</v>
      </c>
      <c r="B390" s="2526"/>
      <c r="C390" s="2526"/>
      <c r="D390" s="2526"/>
      <c r="E390" s="2526"/>
      <c r="F390" s="1960" t="s">
        <v>2256</v>
      </c>
      <c r="G390" s="2526" t="s">
        <v>2741</v>
      </c>
      <c r="H390" s="2526"/>
      <c r="I390" s="2526"/>
      <c r="J390" s="2526"/>
      <c r="L390" s="2525">
        <v>0</v>
      </c>
      <c r="M390" s="2525"/>
      <c r="N390" s="2525">
        <v>0</v>
      </c>
      <c r="O390" s="2525"/>
      <c r="P390" s="2525">
        <v>0</v>
      </c>
      <c r="Q390" s="2525"/>
      <c r="R390" s="2525">
        <v>0</v>
      </c>
      <c r="S390" s="2525"/>
      <c r="T390" s="2525">
        <v>0</v>
      </c>
      <c r="U390" s="2525"/>
      <c r="V390" s="1961">
        <v>0</v>
      </c>
      <c r="W390" s="1962" t="s">
        <v>2453</v>
      </c>
    </row>
    <row r="391" spans="1:23" ht="11.25" customHeight="1" x14ac:dyDescent="0.2">
      <c r="A391" s="2526" t="s">
        <v>2740</v>
      </c>
      <c r="B391" s="2526"/>
      <c r="C391" s="2526"/>
      <c r="D391" s="2526"/>
      <c r="E391" s="2526"/>
      <c r="F391" s="1960" t="s">
        <v>2233</v>
      </c>
      <c r="G391" s="2526" t="s">
        <v>2269</v>
      </c>
      <c r="H391" s="2526"/>
      <c r="I391" s="2526"/>
      <c r="J391" s="2526"/>
      <c r="L391" s="2525">
        <v>0</v>
      </c>
      <c r="M391" s="2525"/>
      <c r="N391" s="2525">
        <v>0</v>
      </c>
      <c r="O391" s="2525"/>
      <c r="P391" s="2525">
        <v>0</v>
      </c>
      <c r="Q391" s="2525"/>
      <c r="R391" s="2525">
        <v>0</v>
      </c>
      <c r="S391" s="2525"/>
      <c r="T391" s="2525">
        <v>0</v>
      </c>
      <c r="U391" s="2525"/>
      <c r="V391" s="1961">
        <v>0</v>
      </c>
      <c r="W391" s="1962" t="s">
        <v>2453</v>
      </c>
    </row>
    <row r="392" spans="1:23" ht="11.25" customHeight="1" x14ac:dyDescent="0.2">
      <c r="A392" s="2526" t="s">
        <v>2742</v>
      </c>
      <c r="B392" s="2526"/>
      <c r="C392" s="2526"/>
      <c r="D392" s="2526"/>
      <c r="E392" s="2526"/>
      <c r="F392" s="1960" t="s">
        <v>2112</v>
      </c>
      <c r="G392" s="2526" t="s">
        <v>2743</v>
      </c>
      <c r="H392" s="2526"/>
      <c r="I392" s="2526"/>
      <c r="J392" s="2526"/>
      <c r="L392" s="2525">
        <v>0</v>
      </c>
      <c r="M392" s="2525"/>
      <c r="N392" s="2525">
        <v>0</v>
      </c>
      <c r="O392" s="2525"/>
      <c r="P392" s="2525">
        <v>0</v>
      </c>
      <c r="Q392" s="2525"/>
      <c r="R392" s="2525">
        <v>0</v>
      </c>
      <c r="S392" s="2525"/>
      <c r="T392" s="2525">
        <v>0</v>
      </c>
      <c r="U392" s="2525"/>
      <c r="V392" s="1961">
        <v>0</v>
      </c>
      <c r="W392" s="1962" t="s">
        <v>2453</v>
      </c>
    </row>
    <row r="393" spans="1:23" ht="11.25" customHeight="1" x14ac:dyDescent="0.2">
      <c r="A393" s="2526" t="s">
        <v>2744</v>
      </c>
      <c r="B393" s="2526"/>
      <c r="C393" s="2526"/>
      <c r="D393" s="2526"/>
      <c r="E393" s="2526"/>
      <c r="F393" s="1960" t="s">
        <v>1017</v>
      </c>
      <c r="G393" s="2526" t="s">
        <v>2745</v>
      </c>
      <c r="H393" s="2526"/>
      <c r="I393" s="2526"/>
      <c r="J393" s="2526"/>
      <c r="L393" s="2525">
        <v>0</v>
      </c>
      <c r="M393" s="2525"/>
      <c r="N393" s="2525">
        <v>0</v>
      </c>
      <c r="O393" s="2525"/>
      <c r="P393" s="2525">
        <v>0</v>
      </c>
      <c r="Q393" s="2525"/>
      <c r="R393" s="2525">
        <v>0</v>
      </c>
      <c r="S393" s="2525"/>
      <c r="T393" s="2525">
        <v>0</v>
      </c>
      <c r="U393" s="2525"/>
      <c r="V393" s="1961">
        <v>0</v>
      </c>
      <c r="W393" s="1962" t="s">
        <v>2453</v>
      </c>
    </row>
    <row r="394" spans="1:23" ht="11.25" customHeight="1" x14ac:dyDescent="0.2">
      <c r="A394" s="2526" t="s">
        <v>2746</v>
      </c>
      <c r="B394" s="2526"/>
      <c r="C394" s="2526"/>
      <c r="D394" s="2526"/>
      <c r="E394" s="2526"/>
      <c r="F394" s="1960" t="s">
        <v>1017</v>
      </c>
      <c r="G394" s="2526" t="s">
        <v>2747</v>
      </c>
      <c r="H394" s="2526"/>
      <c r="I394" s="2526"/>
      <c r="J394" s="2526"/>
      <c r="L394" s="2525">
        <v>0</v>
      </c>
      <c r="M394" s="2525"/>
      <c r="N394" s="2525">
        <v>0</v>
      </c>
      <c r="O394" s="2525"/>
      <c r="P394" s="2525">
        <v>0</v>
      </c>
      <c r="Q394" s="2525"/>
      <c r="R394" s="2525">
        <v>0</v>
      </c>
      <c r="S394" s="2525"/>
      <c r="T394" s="2525">
        <v>0</v>
      </c>
      <c r="U394" s="2525"/>
      <c r="V394" s="1961">
        <v>0</v>
      </c>
      <c r="W394" s="1962" t="s">
        <v>2453</v>
      </c>
    </row>
    <row r="395" spans="1:23" ht="11.25" customHeight="1" x14ac:dyDescent="0.2">
      <c r="A395" s="2526" t="s">
        <v>2748</v>
      </c>
      <c r="B395" s="2526"/>
      <c r="C395" s="2526"/>
      <c r="D395" s="2526"/>
      <c r="E395" s="2526"/>
      <c r="F395" s="1960" t="s">
        <v>1017</v>
      </c>
      <c r="G395" s="2526" t="s">
        <v>2749</v>
      </c>
      <c r="H395" s="2526"/>
      <c r="I395" s="2526"/>
      <c r="J395" s="2526"/>
      <c r="L395" s="2525">
        <v>0</v>
      </c>
      <c r="M395" s="2525"/>
      <c r="N395" s="2525">
        <v>0</v>
      </c>
      <c r="O395" s="2525"/>
      <c r="P395" s="2525">
        <v>0</v>
      </c>
      <c r="Q395" s="2525"/>
      <c r="R395" s="2525">
        <v>0</v>
      </c>
      <c r="S395" s="2525"/>
      <c r="T395" s="2525">
        <v>0</v>
      </c>
      <c r="U395" s="2525"/>
      <c r="V395" s="1961">
        <v>0</v>
      </c>
      <c r="W395" s="1962" t="s">
        <v>2453</v>
      </c>
    </row>
    <row r="396" spans="1:23" ht="11.25" customHeight="1" x14ac:dyDescent="0.2">
      <c r="A396" s="2526" t="s">
        <v>2750</v>
      </c>
      <c r="B396" s="2526"/>
      <c r="C396" s="2526"/>
      <c r="D396" s="2526"/>
      <c r="E396" s="2526"/>
      <c r="F396" s="1960" t="s">
        <v>2112</v>
      </c>
      <c r="G396" s="2526" t="s">
        <v>2751</v>
      </c>
      <c r="H396" s="2526"/>
      <c r="I396" s="2526"/>
      <c r="J396" s="2526"/>
      <c r="L396" s="2525">
        <v>0</v>
      </c>
      <c r="M396" s="2525"/>
      <c r="N396" s="2525">
        <v>0</v>
      </c>
      <c r="O396" s="2525"/>
      <c r="P396" s="2525">
        <v>0</v>
      </c>
      <c r="Q396" s="2525"/>
      <c r="R396" s="2525">
        <v>0</v>
      </c>
      <c r="S396" s="2525"/>
      <c r="T396" s="2525">
        <v>0</v>
      </c>
      <c r="U396" s="2525"/>
      <c r="V396" s="1961">
        <v>0</v>
      </c>
      <c r="W396" s="1962" t="s">
        <v>2453</v>
      </c>
    </row>
    <row r="397" spans="1:23" ht="11.25" customHeight="1" x14ac:dyDescent="0.2">
      <c r="A397" s="2526" t="s">
        <v>2752</v>
      </c>
      <c r="B397" s="2526"/>
      <c r="C397" s="2526"/>
      <c r="D397" s="2526"/>
      <c r="E397" s="2526"/>
      <c r="F397" s="1960" t="s">
        <v>1017</v>
      </c>
      <c r="G397" s="2526" t="s">
        <v>2753</v>
      </c>
      <c r="H397" s="2526"/>
      <c r="I397" s="2526"/>
      <c r="J397" s="2526"/>
      <c r="L397" s="2525">
        <v>0</v>
      </c>
      <c r="M397" s="2525"/>
      <c r="N397" s="2525">
        <v>0</v>
      </c>
      <c r="O397" s="2525"/>
      <c r="P397" s="2525">
        <v>0</v>
      </c>
      <c r="Q397" s="2525"/>
      <c r="R397" s="2525">
        <v>0</v>
      </c>
      <c r="S397" s="2525"/>
      <c r="T397" s="2525">
        <v>0</v>
      </c>
      <c r="U397" s="2525"/>
      <c r="V397" s="1961">
        <v>0</v>
      </c>
      <c r="W397" s="1962" t="s">
        <v>2453</v>
      </c>
    </row>
    <row r="398" spans="1:23" ht="11.25" customHeight="1" x14ac:dyDescent="0.2">
      <c r="A398" s="2526" t="s">
        <v>2754</v>
      </c>
      <c r="B398" s="2526"/>
      <c r="C398" s="2526"/>
      <c r="D398" s="2526"/>
      <c r="E398" s="2526"/>
      <c r="F398" s="1960" t="s">
        <v>1017</v>
      </c>
      <c r="G398" s="2526" t="s">
        <v>2755</v>
      </c>
      <c r="H398" s="2526"/>
      <c r="I398" s="2526"/>
      <c r="J398" s="2526"/>
      <c r="L398" s="2525">
        <v>0</v>
      </c>
      <c r="M398" s="2525"/>
      <c r="N398" s="2525">
        <v>0</v>
      </c>
      <c r="O398" s="2525"/>
      <c r="P398" s="2525">
        <v>0</v>
      </c>
      <c r="Q398" s="2525"/>
      <c r="R398" s="2525">
        <v>0</v>
      </c>
      <c r="S398" s="2525"/>
      <c r="T398" s="2525">
        <v>0</v>
      </c>
      <c r="U398" s="2525"/>
      <c r="V398" s="1961">
        <v>0</v>
      </c>
      <c r="W398" s="1962" t="s">
        <v>2453</v>
      </c>
    </row>
    <row r="399" spans="1:23" ht="11.25" customHeight="1" x14ac:dyDescent="0.2">
      <c r="A399" s="2526" t="s">
        <v>2756</v>
      </c>
      <c r="B399" s="2526"/>
      <c r="C399" s="2526"/>
      <c r="D399" s="2526"/>
      <c r="E399" s="2526"/>
      <c r="F399" s="1960" t="s">
        <v>1017</v>
      </c>
      <c r="G399" s="2526" t="s">
        <v>2757</v>
      </c>
      <c r="H399" s="2526"/>
      <c r="I399" s="2526"/>
      <c r="J399" s="2526"/>
      <c r="L399" s="2525">
        <v>0</v>
      </c>
      <c r="M399" s="2525"/>
      <c r="N399" s="2525">
        <v>0</v>
      </c>
      <c r="O399" s="2525"/>
      <c r="P399" s="2525">
        <v>0</v>
      </c>
      <c r="Q399" s="2525"/>
      <c r="R399" s="2525">
        <v>0</v>
      </c>
      <c r="S399" s="2525"/>
      <c r="T399" s="2525">
        <v>0</v>
      </c>
      <c r="U399" s="2525"/>
      <c r="V399" s="1961">
        <v>0</v>
      </c>
      <c r="W399" s="1962" t="s">
        <v>2453</v>
      </c>
    </row>
    <row r="400" spans="1:23" ht="11.25" customHeight="1" x14ac:dyDescent="0.2">
      <c r="A400" s="2526" t="s">
        <v>2758</v>
      </c>
      <c r="B400" s="2526"/>
      <c r="C400" s="2526"/>
      <c r="D400" s="2526"/>
      <c r="E400" s="2526"/>
      <c r="F400" s="1960" t="s">
        <v>1017</v>
      </c>
      <c r="G400" s="2526" t="s">
        <v>2759</v>
      </c>
      <c r="H400" s="2526"/>
      <c r="I400" s="2526"/>
      <c r="J400" s="2526"/>
      <c r="L400" s="2525">
        <v>0</v>
      </c>
      <c r="M400" s="2525"/>
      <c r="N400" s="2525">
        <v>0</v>
      </c>
      <c r="O400" s="2525"/>
      <c r="P400" s="2525">
        <v>0</v>
      </c>
      <c r="Q400" s="2525"/>
      <c r="R400" s="2525">
        <v>0</v>
      </c>
      <c r="S400" s="2525"/>
      <c r="T400" s="2525">
        <v>0</v>
      </c>
      <c r="U400" s="2525"/>
      <c r="V400" s="1961">
        <v>0</v>
      </c>
      <c r="W400" s="1962" t="s">
        <v>2453</v>
      </c>
    </row>
    <row r="401" spans="1:23" ht="11.25" customHeight="1" x14ac:dyDescent="0.2">
      <c r="A401" s="2526" t="s">
        <v>2760</v>
      </c>
      <c r="B401" s="2526"/>
      <c r="C401" s="2526"/>
      <c r="D401" s="2526"/>
      <c r="E401" s="2526"/>
      <c r="F401" s="1960" t="s">
        <v>2112</v>
      </c>
      <c r="G401" s="2526" t="s">
        <v>2761</v>
      </c>
      <c r="H401" s="2526"/>
      <c r="I401" s="2526"/>
      <c r="J401" s="2526"/>
      <c r="L401" s="2525">
        <v>0</v>
      </c>
      <c r="M401" s="2525"/>
      <c r="N401" s="2525">
        <v>0</v>
      </c>
      <c r="O401" s="2525"/>
      <c r="P401" s="2525">
        <v>11700.04</v>
      </c>
      <c r="Q401" s="2525"/>
      <c r="R401" s="2525">
        <v>11700.04</v>
      </c>
      <c r="S401" s="2525"/>
      <c r="T401" s="2525">
        <v>13000</v>
      </c>
      <c r="U401" s="2525"/>
      <c r="V401" s="1961">
        <v>90.000307692307686</v>
      </c>
      <c r="W401" s="1962" t="s">
        <v>2453</v>
      </c>
    </row>
    <row r="402" spans="1:23" ht="11.25" customHeight="1" x14ac:dyDescent="0.2">
      <c r="A402" s="2526" t="s">
        <v>2762</v>
      </c>
      <c r="B402" s="2526"/>
      <c r="C402" s="2526"/>
      <c r="D402" s="2526"/>
      <c r="E402" s="2526"/>
      <c r="F402" s="1960" t="s">
        <v>2112</v>
      </c>
      <c r="G402" s="2526" t="s">
        <v>2763</v>
      </c>
      <c r="H402" s="2526"/>
      <c r="I402" s="2526"/>
      <c r="J402" s="2526"/>
      <c r="L402" s="2525">
        <v>0</v>
      </c>
      <c r="M402" s="2525"/>
      <c r="N402" s="2525">
        <v>0</v>
      </c>
      <c r="O402" s="2525"/>
      <c r="P402" s="2525">
        <v>10415</v>
      </c>
      <c r="Q402" s="2525"/>
      <c r="R402" s="2525">
        <v>10415</v>
      </c>
      <c r="S402" s="2525"/>
      <c r="T402" s="2525">
        <v>7000</v>
      </c>
      <c r="U402" s="2525"/>
      <c r="V402" s="1961">
        <v>148.78571428571428</v>
      </c>
      <c r="W402" s="1962" t="s">
        <v>2453</v>
      </c>
    </row>
    <row r="403" spans="1:23" ht="11.25" customHeight="1" x14ac:dyDescent="0.2">
      <c r="A403" s="2526" t="s">
        <v>2764</v>
      </c>
      <c r="B403" s="2526"/>
      <c r="C403" s="2526"/>
      <c r="D403" s="2526"/>
      <c r="E403" s="2526"/>
      <c r="F403" s="1960" t="s">
        <v>2112</v>
      </c>
      <c r="G403" s="2526" t="s">
        <v>2671</v>
      </c>
      <c r="H403" s="2526"/>
      <c r="I403" s="2526"/>
      <c r="J403" s="2526"/>
      <c r="L403" s="2525">
        <v>0</v>
      </c>
      <c r="M403" s="2525"/>
      <c r="N403" s="2525">
        <v>0</v>
      </c>
      <c r="O403" s="2525"/>
      <c r="P403" s="2525">
        <v>0</v>
      </c>
      <c r="Q403" s="2525"/>
      <c r="R403" s="2525">
        <v>0</v>
      </c>
      <c r="S403" s="2525"/>
      <c r="T403" s="2525">
        <v>0</v>
      </c>
      <c r="U403" s="2525"/>
      <c r="V403" s="1961">
        <v>0</v>
      </c>
      <c r="W403" s="1962" t="s">
        <v>2453</v>
      </c>
    </row>
    <row r="404" spans="1:23" ht="11.25" customHeight="1" x14ac:dyDescent="0.2">
      <c r="A404" s="2526" t="s">
        <v>2765</v>
      </c>
      <c r="B404" s="2526"/>
      <c r="C404" s="2526"/>
      <c r="D404" s="2526"/>
      <c r="E404" s="2526"/>
      <c r="F404" s="1960" t="s">
        <v>2112</v>
      </c>
      <c r="G404" s="2526" t="s">
        <v>2673</v>
      </c>
      <c r="H404" s="2526"/>
      <c r="I404" s="2526"/>
      <c r="J404" s="2526"/>
      <c r="L404" s="2525">
        <v>0</v>
      </c>
      <c r="M404" s="2525"/>
      <c r="N404" s="2525">
        <v>0</v>
      </c>
      <c r="O404" s="2525"/>
      <c r="P404" s="2525">
        <v>0</v>
      </c>
      <c r="Q404" s="2525"/>
      <c r="R404" s="2525">
        <v>0</v>
      </c>
      <c r="S404" s="2525"/>
      <c r="T404" s="2525">
        <v>0</v>
      </c>
      <c r="U404" s="2525"/>
      <c r="V404" s="1961">
        <v>0</v>
      </c>
      <c r="W404" s="1962" t="s">
        <v>2453</v>
      </c>
    </row>
    <row r="405" spans="1:23" ht="11.25" customHeight="1" x14ac:dyDescent="0.2">
      <c r="A405" s="2526" t="s">
        <v>2766</v>
      </c>
      <c r="B405" s="2526"/>
      <c r="C405" s="2526"/>
      <c r="D405" s="2526"/>
      <c r="E405" s="2526"/>
      <c r="F405" s="1960" t="s">
        <v>2112</v>
      </c>
      <c r="G405" s="2526" t="s">
        <v>2675</v>
      </c>
      <c r="H405" s="2526"/>
      <c r="I405" s="2526"/>
      <c r="J405" s="2526"/>
      <c r="L405" s="2525">
        <v>0</v>
      </c>
      <c r="M405" s="2525"/>
      <c r="N405" s="2525">
        <v>0</v>
      </c>
      <c r="O405" s="2525"/>
      <c r="P405" s="2525">
        <v>98.56</v>
      </c>
      <c r="Q405" s="2525"/>
      <c r="R405" s="2525">
        <v>98.56</v>
      </c>
      <c r="S405" s="2525"/>
      <c r="T405" s="2525">
        <v>80</v>
      </c>
      <c r="U405" s="2525"/>
      <c r="V405" s="1961">
        <v>123.2</v>
      </c>
      <c r="W405" s="1962" t="s">
        <v>2453</v>
      </c>
    </row>
    <row r="406" spans="1:23" ht="11.25" customHeight="1" x14ac:dyDescent="0.2">
      <c r="A406" s="2526" t="s">
        <v>2767</v>
      </c>
      <c r="B406" s="2526"/>
      <c r="C406" s="2526"/>
      <c r="D406" s="2526"/>
      <c r="E406" s="2526"/>
      <c r="F406" s="1960" t="s">
        <v>2112</v>
      </c>
      <c r="G406" s="2526" t="s">
        <v>2768</v>
      </c>
      <c r="H406" s="2526"/>
      <c r="I406" s="2526"/>
      <c r="J406" s="2526"/>
      <c r="L406" s="2525">
        <v>0</v>
      </c>
      <c r="M406" s="2525"/>
      <c r="N406" s="2525">
        <v>0</v>
      </c>
      <c r="O406" s="2525"/>
      <c r="P406" s="2525">
        <v>0</v>
      </c>
      <c r="Q406" s="2525"/>
      <c r="R406" s="2525">
        <v>0</v>
      </c>
      <c r="S406" s="2525"/>
      <c r="T406" s="2525">
        <v>0</v>
      </c>
      <c r="U406" s="2525"/>
      <c r="V406" s="1961">
        <v>0</v>
      </c>
      <c r="W406" s="1962" t="s">
        <v>2453</v>
      </c>
    </row>
    <row r="407" spans="1:23" ht="11.25" customHeight="1" x14ac:dyDescent="0.2">
      <c r="A407" s="2526" t="s">
        <v>2769</v>
      </c>
      <c r="B407" s="2526"/>
      <c r="C407" s="2526"/>
      <c r="D407" s="2526"/>
      <c r="E407" s="2526"/>
      <c r="F407" s="1960" t="s">
        <v>2112</v>
      </c>
      <c r="G407" s="2526" t="s">
        <v>2770</v>
      </c>
      <c r="H407" s="2526"/>
      <c r="I407" s="2526"/>
      <c r="J407" s="2526"/>
      <c r="L407" s="2525">
        <v>0</v>
      </c>
      <c r="M407" s="2525"/>
      <c r="N407" s="2525">
        <v>0</v>
      </c>
      <c r="O407" s="2525"/>
      <c r="P407" s="2525">
        <v>0</v>
      </c>
      <c r="Q407" s="2525"/>
      <c r="R407" s="2525">
        <v>0</v>
      </c>
      <c r="S407" s="2525"/>
      <c r="T407" s="2525">
        <v>0</v>
      </c>
      <c r="U407" s="2525"/>
      <c r="V407" s="1961">
        <v>0</v>
      </c>
      <c r="W407" s="1962" t="s">
        <v>2453</v>
      </c>
    </row>
    <row r="408" spans="1:23" ht="11.25" customHeight="1" x14ac:dyDescent="0.2">
      <c r="A408" s="2526" t="s">
        <v>2771</v>
      </c>
      <c r="B408" s="2526"/>
      <c r="C408" s="2526"/>
      <c r="D408" s="2526"/>
      <c r="E408" s="2526"/>
      <c r="F408" s="1960" t="s">
        <v>2112</v>
      </c>
      <c r="G408" s="2526" t="s">
        <v>2772</v>
      </c>
      <c r="H408" s="2526"/>
      <c r="I408" s="2526"/>
      <c r="J408" s="2526"/>
      <c r="L408" s="2525">
        <v>0</v>
      </c>
      <c r="M408" s="2525"/>
      <c r="N408" s="2525">
        <v>0</v>
      </c>
      <c r="O408" s="2525"/>
      <c r="P408" s="2525">
        <v>0</v>
      </c>
      <c r="Q408" s="2525"/>
      <c r="R408" s="2525">
        <v>0</v>
      </c>
      <c r="S408" s="2525"/>
      <c r="T408" s="2525">
        <v>0</v>
      </c>
      <c r="U408" s="2525"/>
      <c r="V408" s="1961">
        <v>0</v>
      </c>
      <c r="W408" s="1962" t="s">
        <v>2453</v>
      </c>
    </row>
    <row r="409" spans="1:23" ht="11.25" customHeight="1" x14ac:dyDescent="0.2">
      <c r="A409" s="2526" t="s">
        <v>2773</v>
      </c>
      <c r="B409" s="2526"/>
      <c r="C409" s="2526"/>
      <c r="D409" s="2526"/>
      <c r="E409" s="2526"/>
      <c r="F409" s="1960" t="s">
        <v>2112</v>
      </c>
      <c r="G409" s="2526" t="s">
        <v>2683</v>
      </c>
      <c r="H409" s="2526"/>
      <c r="I409" s="2526"/>
      <c r="J409" s="2526"/>
      <c r="L409" s="2525">
        <v>0</v>
      </c>
      <c r="M409" s="2525"/>
      <c r="N409" s="2525">
        <v>0</v>
      </c>
      <c r="O409" s="2525"/>
      <c r="P409" s="2525">
        <v>149.47</v>
      </c>
      <c r="Q409" s="2525"/>
      <c r="R409" s="2525">
        <v>149.47</v>
      </c>
      <c r="S409" s="2525"/>
      <c r="T409" s="2525">
        <v>115</v>
      </c>
      <c r="U409" s="2525"/>
      <c r="V409" s="1961">
        <v>129.97391304347826</v>
      </c>
      <c r="W409" s="1962" t="s">
        <v>2453</v>
      </c>
    </row>
    <row r="410" spans="1:23" ht="11.25" customHeight="1" x14ac:dyDescent="0.2">
      <c r="A410" s="2526" t="s">
        <v>2774</v>
      </c>
      <c r="B410" s="2526"/>
      <c r="C410" s="2526"/>
      <c r="D410" s="2526"/>
      <c r="E410" s="2526"/>
      <c r="F410" s="1960" t="s">
        <v>2112</v>
      </c>
      <c r="G410" s="2526" t="s">
        <v>2775</v>
      </c>
      <c r="H410" s="2526"/>
      <c r="I410" s="2526"/>
      <c r="J410" s="2526"/>
      <c r="L410" s="2525">
        <v>0</v>
      </c>
      <c r="M410" s="2525"/>
      <c r="N410" s="2525">
        <v>0</v>
      </c>
      <c r="O410" s="2525"/>
      <c r="P410" s="2525">
        <v>9172.35</v>
      </c>
      <c r="Q410" s="2525"/>
      <c r="R410" s="2525">
        <v>9172.35</v>
      </c>
      <c r="S410" s="2525"/>
      <c r="T410" s="2525">
        <v>9000</v>
      </c>
      <c r="U410" s="2525"/>
      <c r="V410" s="1961">
        <v>101.91500000000001</v>
      </c>
      <c r="W410" s="1962" t="s">
        <v>2453</v>
      </c>
    </row>
    <row r="411" spans="1:23" ht="11.25" customHeight="1" x14ac:dyDescent="0.2">
      <c r="A411" s="2526" t="s">
        <v>2776</v>
      </c>
      <c r="B411" s="2526"/>
      <c r="C411" s="2526"/>
      <c r="D411" s="2526"/>
      <c r="E411" s="2526"/>
      <c r="F411" s="1960" t="s">
        <v>2112</v>
      </c>
      <c r="G411" s="2526" t="s">
        <v>2729</v>
      </c>
      <c r="H411" s="2526"/>
      <c r="I411" s="2526"/>
      <c r="J411" s="2526"/>
      <c r="L411" s="2525">
        <v>0</v>
      </c>
      <c r="M411" s="2525"/>
      <c r="N411" s="2525">
        <v>0</v>
      </c>
      <c r="O411" s="2525"/>
      <c r="P411" s="2525">
        <v>81.320000000000007</v>
      </c>
      <c r="Q411" s="2525"/>
      <c r="R411" s="2525">
        <v>81.320000000000007</v>
      </c>
      <c r="S411" s="2525"/>
      <c r="T411" s="2525">
        <v>0</v>
      </c>
      <c r="U411" s="2525"/>
      <c r="V411" s="1961">
        <v>0</v>
      </c>
      <c r="W411" s="1962" t="s">
        <v>2453</v>
      </c>
    </row>
    <row r="412" spans="1:23" ht="11.25" customHeight="1" x14ac:dyDescent="0.2">
      <c r="A412" s="2526" t="s">
        <v>2777</v>
      </c>
      <c r="B412" s="2526"/>
      <c r="C412" s="2526"/>
      <c r="D412" s="2526"/>
      <c r="E412" s="2526"/>
      <c r="F412" s="1960" t="s">
        <v>2112</v>
      </c>
      <c r="G412" s="2526" t="s">
        <v>2778</v>
      </c>
      <c r="H412" s="2526"/>
      <c r="I412" s="2526"/>
      <c r="J412" s="2526"/>
      <c r="L412" s="2525">
        <v>0</v>
      </c>
      <c r="M412" s="2525"/>
      <c r="N412" s="2525">
        <v>0</v>
      </c>
      <c r="O412" s="2525"/>
      <c r="P412" s="2525">
        <v>35</v>
      </c>
      <c r="Q412" s="2525"/>
      <c r="R412" s="2525">
        <v>35</v>
      </c>
      <c r="S412" s="2525"/>
      <c r="T412" s="2525">
        <v>225</v>
      </c>
      <c r="U412" s="2525"/>
      <c r="V412" s="1961">
        <v>15.555555555555555</v>
      </c>
      <c r="W412" s="1962" t="s">
        <v>2453</v>
      </c>
    </row>
    <row r="413" spans="1:23" ht="11.25" customHeight="1" x14ac:dyDescent="0.2">
      <c r="A413" s="2526" t="s">
        <v>2779</v>
      </c>
      <c r="B413" s="2526"/>
      <c r="C413" s="2526"/>
      <c r="D413" s="2526"/>
      <c r="E413" s="2526"/>
      <c r="F413" s="1960" t="s">
        <v>2112</v>
      </c>
      <c r="G413" s="2526" t="s">
        <v>2690</v>
      </c>
      <c r="H413" s="2526"/>
      <c r="I413" s="2526"/>
      <c r="J413" s="2526"/>
      <c r="L413" s="2525">
        <v>0</v>
      </c>
      <c r="M413" s="2525"/>
      <c r="N413" s="2525">
        <v>0</v>
      </c>
      <c r="O413" s="2525"/>
      <c r="P413" s="2525">
        <v>2748.15</v>
      </c>
      <c r="Q413" s="2525"/>
      <c r="R413" s="2525">
        <v>2748.15</v>
      </c>
      <c r="S413" s="2525"/>
      <c r="T413" s="2525">
        <v>2000</v>
      </c>
      <c r="U413" s="2525"/>
      <c r="V413" s="1961">
        <v>137.4075</v>
      </c>
      <c r="W413" s="1962" t="s">
        <v>2453</v>
      </c>
    </row>
    <row r="414" spans="1:23" ht="11.25" customHeight="1" x14ac:dyDescent="0.2">
      <c r="A414" s="2526" t="s">
        <v>2780</v>
      </c>
      <c r="B414" s="2526"/>
      <c r="C414" s="2526"/>
      <c r="D414" s="2526"/>
      <c r="E414" s="2526"/>
      <c r="F414" s="1960" t="s">
        <v>2112</v>
      </c>
      <c r="G414" s="2526" t="s">
        <v>2781</v>
      </c>
      <c r="H414" s="2526"/>
      <c r="I414" s="2526"/>
      <c r="J414" s="2526"/>
      <c r="L414" s="2525">
        <v>0</v>
      </c>
      <c r="M414" s="2525"/>
      <c r="N414" s="2525">
        <v>0</v>
      </c>
      <c r="O414" s="2525"/>
      <c r="P414" s="2525">
        <v>0</v>
      </c>
      <c r="Q414" s="2525"/>
      <c r="R414" s="2525">
        <v>0</v>
      </c>
      <c r="S414" s="2525"/>
      <c r="T414" s="2525">
        <v>0</v>
      </c>
      <c r="U414" s="2525"/>
      <c r="V414" s="1961">
        <v>0</v>
      </c>
      <c r="W414" s="1962" t="s">
        <v>2453</v>
      </c>
    </row>
    <row r="415" spans="1:23" ht="11.25" customHeight="1" x14ac:dyDescent="0.2">
      <c r="A415" s="2526" t="s">
        <v>2782</v>
      </c>
      <c r="B415" s="2526"/>
      <c r="C415" s="2526"/>
      <c r="D415" s="2526"/>
      <c r="E415" s="2526"/>
      <c r="F415" s="1960" t="s">
        <v>2112</v>
      </c>
      <c r="G415" s="2526" t="s">
        <v>2783</v>
      </c>
      <c r="H415" s="2526"/>
      <c r="I415" s="2526"/>
      <c r="J415" s="2526"/>
      <c r="L415" s="2525">
        <v>0</v>
      </c>
      <c r="M415" s="2525"/>
      <c r="N415" s="2525">
        <v>0</v>
      </c>
      <c r="O415" s="2525"/>
      <c r="P415" s="2525">
        <v>410</v>
      </c>
      <c r="Q415" s="2525"/>
      <c r="R415" s="2525">
        <v>410</v>
      </c>
      <c r="S415" s="2525"/>
      <c r="T415" s="2525">
        <v>500</v>
      </c>
      <c r="U415" s="2525"/>
      <c r="V415" s="1961">
        <v>82</v>
      </c>
      <c r="W415" s="1962" t="s">
        <v>2453</v>
      </c>
    </row>
    <row r="416" spans="1:23" ht="11.25" customHeight="1" x14ac:dyDescent="0.2">
      <c r="A416" s="2526" t="s">
        <v>2784</v>
      </c>
      <c r="B416" s="2526"/>
      <c r="C416" s="2526"/>
      <c r="D416" s="2526"/>
      <c r="E416" s="2526"/>
      <c r="F416" s="1960" t="s">
        <v>2112</v>
      </c>
      <c r="G416" s="2526" t="s">
        <v>2785</v>
      </c>
      <c r="H416" s="2526"/>
      <c r="I416" s="2526"/>
      <c r="J416" s="2526"/>
      <c r="L416" s="2525">
        <v>0</v>
      </c>
      <c r="M416" s="2525"/>
      <c r="N416" s="2525">
        <v>0</v>
      </c>
      <c r="O416" s="2525"/>
      <c r="P416" s="2525">
        <v>7187.58</v>
      </c>
      <c r="Q416" s="2525"/>
      <c r="R416" s="2525">
        <v>7187.58</v>
      </c>
      <c r="S416" s="2525"/>
      <c r="T416" s="2525">
        <v>1500</v>
      </c>
      <c r="U416" s="2525"/>
      <c r="V416" s="1961">
        <v>479.17200000000003</v>
      </c>
      <c r="W416" s="1962" t="s">
        <v>2453</v>
      </c>
    </row>
    <row r="417" spans="1:23" ht="11.25" customHeight="1" x14ac:dyDescent="0.2">
      <c r="A417" s="2526" t="s">
        <v>2786</v>
      </c>
      <c r="B417" s="2526"/>
      <c r="C417" s="2526"/>
      <c r="D417" s="2526"/>
      <c r="E417" s="2526"/>
      <c r="F417" s="1960" t="s">
        <v>2112</v>
      </c>
      <c r="G417" s="2526" t="s">
        <v>2743</v>
      </c>
      <c r="H417" s="2526"/>
      <c r="I417" s="2526"/>
      <c r="J417" s="2526"/>
      <c r="L417" s="2525">
        <v>0</v>
      </c>
      <c r="M417" s="2525"/>
      <c r="N417" s="2525">
        <v>0</v>
      </c>
      <c r="O417" s="2525"/>
      <c r="P417" s="2525">
        <v>2503.9900000000002</v>
      </c>
      <c r="Q417" s="2525"/>
      <c r="R417" s="2525">
        <v>2503.9900000000002</v>
      </c>
      <c r="S417" s="2525"/>
      <c r="T417" s="2525">
        <v>2000</v>
      </c>
      <c r="U417" s="2525"/>
      <c r="V417" s="1961">
        <v>125.19950000000001</v>
      </c>
      <c r="W417" s="1962" t="s">
        <v>2453</v>
      </c>
    </row>
    <row r="418" spans="1:23" ht="11.25" customHeight="1" x14ac:dyDescent="0.2">
      <c r="A418" s="2526" t="s">
        <v>2787</v>
      </c>
      <c r="B418" s="2526"/>
      <c r="C418" s="2526"/>
      <c r="D418" s="2526"/>
      <c r="E418" s="2526"/>
      <c r="F418" s="1960" t="s">
        <v>2112</v>
      </c>
      <c r="G418" s="2526" t="s">
        <v>2788</v>
      </c>
      <c r="H418" s="2526"/>
      <c r="I418" s="2526"/>
      <c r="J418" s="2526"/>
      <c r="L418" s="2525">
        <v>0</v>
      </c>
      <c r="M418" s="2525"/>
      <c r="N418" s="2525">
        <v>0</v>
      </c>
      <c r="O418" s="2525"/>
      <c r="P418" s="2525">
        <v>973.80000000000007</v>
      </c>
      <c r="Q418" s="2525"/>
      <c r="R418" s="2525">
        <v>973.80000000000007</v>
      </c>
      <c r="S418" s="2525"/>
      <c r="T418" s="2525">
        <v>0</v>
      </c>
      <c r="U418" s="2525"/>
      <c r="V418" s="1961">
        <v>0</v>
      </c>
      <c r="W418" s="1962" t="s">
        <v>2453</v>
      </c>
    </row>
    <row r="419" spans="1:23" ht="11.25" customHeight="1" x14ac:dyDescent="0.2">
      <c r="A419" s="2526" t="s">
        <v>2789</v>
      </c>
      <c r="B419" s="2526"/>
      <c r="C419" s="2526"/>
      <c r="D419" s="2526"/>
      <c r="E419" s="2526"/>
      <c r="F419" s="1960" t="s">
        <v>1017</v>
      </c>
      <c r="G419" s="2526" t="s">
        <v>2790</v>
      </c>
      <c r="H419" s="2526"/>
      <c r="I419" s="2526"/>
      <c r="J419" s="2526"/>
      <c r="L419" s="2525">
        <v>0</v>
      </c>
      <c r="M419" s="2525"/>
      <c r="N419" s="2525">
        <v>0</v>
      </c>
      <c r="O419" s="2525"/>
      <c r="P419" s="2525">
        <v>0</v>
      </c>
      <c r="Q419" s="2525"/>
      <c r="R419" s="2525">
        <v>0</v>
      </c>
      <c r="S419" s="2525"/>
      <c r="T419" s="2525">
        <v>0</v>
      </c>
      <c r="U419" s="2525"/>
      <c r="V419" s="1961">
        <v>0</v>
      </c>
      <c r="W419" s="1962" t="s">
        <v>2453</v>
      </c>
    </row>
    <row r="420" spans="1:23" ht="11.25" customHeight="1" x14ac:dyDescent="0.2">
      <c r="A420" s="2526" t="s">
        <v>2791</v>
      </c>
      <c r="B420" s="2526"/>
      <c r="C420" s="2526"/>
      <c r="D420" s="2526"/>
      <c r="E420" s="2526"/>
      <c r="F420" s="1960" t="s">
        <v>2112</v>
      </c>
      <c r="G420" s="2526" t="s">
        <v>2792</v>
      </c>
      <c r="H420" s="2526"/>
      <c r="I420" s="2526"/>
      <c r="J420" s="2526"/>
      <c r="L420" s="2525">
        <v>0</v>
      </c>
      <c r="M420" s="2525"/>
      <c r="N420" s="2525">
        <v>0</v>
      </c>
      <c r="O420" s="2525"/>
      <c r="P420" s="2525">
        <v>0</v>
      </c>
      <c r="Q420" s="2525"/>
      <c r="R420" s="2525">
        <v>0</v>
      </c>
      <c r="S420" s="2525"/>
      <c r="T420" s="2525">
        <v>0</v>
      </c>
      <c r="U420" s="2525"/>
      <c r="V420" s="1961">
        <v>0</v>
      </c>
      <c r="W420" s="1962" t="s">
        <v>2453</v>
      </c>
    </row>
    <row r="421" spans="1:23" ht="11.25" customHeight="1" x14ac:dyDescent="0.2">
      <c r="A421" s="2526" t="s">
        <v>2793</v>
      </c>
      <c r="B421" s="2526"/>
      <c r="C421" s="2526"/>
      <c r="D421" s="2526"/>
      <c r="E421" s="2526"/>
      <c r="F421" s="1960" t="s">
        <v>2112</v>
      </c>
      <c r="G421" s="2526" t="s">
        <v>2794</v>
      </c>
      <c r="H421" s="2526"/>
      <c r="I421" s="2526"/>
      <c r="J421" s="2526"/>
      <c r="L421" s="2525">
        <v>0</v>
      </c>
      <c r="M421" s="2525"/>
      <c r="N421" s="2525">
        <v>0</v>
      </c>
      <c r="O421" s="2525"/>
      <c r="P421" s="2525">
        <v>0</v>
      </c>
      <c r="Q421" s="2525"/>
      <c r="R421" s="2525">
        <v>0</v>
      </c>
      <c r="S421" s="2525"/>
      <c r="T421" s="2525">
        <v>0</v>
      </c>
      <c r="U421" s="2525"/>
      <c r="V421" s="1961">
        <v>0</v>
      </c>
      <c r="W421" s="1962" t="s">
        <v>2453</v>
      </c>
    </row>
    <row r="422" spans="1:23" ht="11.25" customHeight="1" x14ac:dyDescent="0.2">
      <c r="A422" s="2526" t="s">
        <v>2795</v>
      </c>
      <c r="B422" s="2526"/>
      <c r="C422" s="2526"/>
      <c r="D422" s="2526"/>
      <c r="E422" s="2526"/>
      <c r="F422" s="1960" t="s">
        <v>2112</v>
      </c>
      <c r="G422" s="2526" t="s">
        <v>2796</v>
      </c>
      <c r="H422" s="2526"/>
      <c r="I422" s="2526"/>
      <c r="J422" s="2526"/>
      <c r="L422" s="2525">
        <v>0</v>
      </c>
      <c r="M422" s="2525"/>
      <c r="N422" s="2525">
        <v>0</v>
      </c>
      <c r="O422" s="2525"/>
      <c r="P422" s="2525">
        <v>0</v>
      </c>
      <c r="Q422" s="2525"/>
      <c r="R422" s="2525">
        <v>0</v>
      </c>
      <c r="S422" s="2525"/>
      <c r="T422" s="2525">
        <v>0</v>
      </c>
      <c r="U422" s="2525"/>
      <c r="V422" s="1961">
        <v>0</v>
      </c>
      <c r="W422" s="1962" t="s">
        <v>2453</v>
      </c>
    </row>
    <row r="423" spans="1:23" ht="11.25" customHeight="1" x14ac:dyDescent="0.2">
      <c r="A423" s="2526" t="s">
        <v>2797</v>
      </c>
      <c r="B423" s="2526"/>
      <c r="C423" s="2526"/>
      <c r="D423" s="2526"/>
      <c r="E423" s="2526"/>
      <c r="F423" s="1960" t="s">
        <v>2112</v>
      </c>
      <c r="G423" s="2526" t="s">
        <v>2794</v>
      </c>
      <c r="H423" s="2526"/>
      <c r="I423" s="2526"/>
      <c r="J423" s="2526"/>
      <c r="L423" s="2525">
        <v>0</v>
      </c>
      <c r="M423" s="2525"/>
      <c r="N423" s="2525">
        <v>0</v>
      </c>
      <c r="O423" s="2525"/>
      <c r="P423" s="2525">
        <v>0</v>
      </c>
      <c r="Q423" s="2525"/>
      <c r="R423" s="2525">
        <v>0</v>
      </c>
      <c r="S423" s="2525"/>
      <c r="T423" s="2525">
        <v>0</v>
      </c>
      <c r="U423" s="2525"/>
      <c r="V423" s="1961">
        <v>0</v>
      </c>
      <c r="W423" s="1962" t="s">
        <v>2453</v>
      </c>
    </row>
    <row r="424" spans="1:23" ht="11.25" customHeight="1" x14ac:dyDescent="0.2">
      <c r="A424" s="2526" t="s">
        <v>2798</v>
      </c>
      <c r="B424" s="2526"/>
      <c r="C424" s="2526"/>
      <c r="D424" s="2526"/>
      <c r="E424" s="2526"/>
      <c r="F424" s="1960" t="s">
        <v>2112</v>
      </c>
      <c r="G424" s="2526" t="s">
        <v>2799</v>
      </c>
      <c r="H424" s="2526"/>
      <c r="I424" s="2526"/>
      <c r="J424" s="2526"/>
      <c r="L424" s="2525">
        <v>0</v>
      </c>
      <c r="M424" s="2525"/>
      <c r="N424" s="2525">
        <v>0</v>
      </c>
      <c r="O424" s="2525"/>
      <c r="P424" s="2525">
        <v>0</v>
      </c>
      <c r="Q424" s="2525"/>
      <c r="R424" s="2525">
        <v>0</v>
      </c>
      <c r="S424" s="2525"/>
      <c r="T424" s="2525">
        <v>0</v>
      </c>
      <c r="U424" s="2525"/>
      <c r="V424" s="1961">
        <v>0</v>
      </c>
      <c r="W424" s="1962" t="s">
        <v>2453</v>
      </c>
    </row>
    <row r="425" spans="1:23" ht="11.25" customHeight="1" x14ac:dyDescent="0.2">
      <c r="A425" s="2526" t="s">
        <v>2800</v>
      </c>
      <c r="B425" s="2526"/>
      <c r="C425" s="2526"/>
      <c r="D425" s="2526"/>
      <c r="E425" s="2526"/>
      <c r="F425" s="1960" t="s">
        <v>2112</v>
      </c>
      <c r="G425" s="2526" t="s">
        <v>2801</v>
      </c>
      <c r="H425" s="2526"/>
      <c r="I425" s="2526"/>
      <c r="J425" s="2526"/>
      <c r="L425" s="2525">
        <v>0</v>
      </c>
      <c r="M425" s="2525"/>
      <c r="N425" s="2525">
        <v>0</v>
      </c>
      <c r="O425" s="2525"/>
      <c r="P425" s="2525">
        <v>0</v>
      </c>
      <c r="Q425" s="2525"/>
      <c r="R425" s="2525">
        <v>0</v>
      </c>
      <c r="S425" s="2525"/>
      <c r="T425" s="2525">
        <v>0</v>
      </c>
      <c r="U425" s="2525"/>
      <c r="V425" s="1961">
        <v>0</v>
      </c>
      <c r="W425" s="1962" t="s">
        <v>2453</v>
      </c>
    </row>
    <row r="426" spans="1:23" ht="11.25" customHeight="1" x14ac:dyDescent="0.2">
      <c r="A426" s="2526" t="s">
        <v>2800</v>
      </c>
      <c r="B426" s="2526"/>
      <c r="C426" s="2526"/>
      <c r="D426" s="2526"/>
      <c r="E426" s="2526"/>
      <c r="F426" s="1960" t="s">
        <v>2212</v>
      </c>
      <c r="G426" s="2526" t="s">
        <v>2802</v>
      </c>
      <c r="H426" s="2526"/>
      <c r="I426" s="2526"/>
      <c r="J426" s="2526"/>
      <c r="L426" s="2525">
        <v>0</v>
      </c>
      <c r="M426" s="2525"/>
      <c r="N426" s="2525">
        <v>0</v>
      </c>
      <c r="O426" s="2525"/>
      <c r="P426" s="2525">
        <v>0</v>
      </c>
      <c r="Q426" s="2525"/>
      <c r="R426" s="2525">
        <v>0</v>
      </c>
      <c r="S426" s="2525"/>
      <c r="T426" s="2525">
        <v>0</v>
      </c>
      <c r="U426" s="2525"/>
      <c r="V426" s="1961">
        <v>0</v>
      </c>
      <c r="W426" s="1962" t="s">
        <v>2453</v>
      </c>
    </row>
    <row r="427" spans="1:23" ht="11.25" customHeight="1" x14ac:dyDescent="0.2">
      <c r="A427" s="2526" t="s">
        <v>2803</v>
      </c>
      <c r="B427" s="2526"/>
      <c r="C427" s="2526"/>
      <c r="D427" s="2526"/>
      <c r="E427" s="2526"/>
      <c r="F427" s="1960" t="s">
        <v>2112</v>
      </c>
      <c r="G427" s="2526" t="s">
        <v>2671</v>
      </c>
      <c r="H427" s="2526"/>
      <c r="I427" s="2526"/>
      <c r="J427" s="2526"/>
      <c r="L427" s="2525">
        <v>0</v>
      </c>
      <c r="M427" s="2525"/>
      <c r="N427" s="2525">
        <v>0</v>
      </c>
      <c r="O427" s="2525"/>
      <c r="P427" s="2525">
        <v>0</v>
      </c>
      <c r="Q427" s="2525"/>
      <c r="R427" s="2525">
        <v>0</v>
      </c>
      <c r="S427" s="2525"/>
      <c r="T427" s="2525">
        <v>0</v>
      </c>
      <c r="U427" s="2525"/>
      <c r="V427" s="1961">
        <v>0</v>
      </c>
      <c r="W427" s="1962" t="s">
        <v>2453</v>
      </c>
    </row>
    <row r="428" spans="1:23" ht="11.25" customHeight="1" x14ac:dyDescent="0.2">
      <c r="A428" s="2526" t="s">
        <v>2804</v>
      </c>
      <c r="B428" s="2526"/>
      <c r="C428" s="2526"/>
      <c r="D428" s="2526"/>
      <c r="E428" s="2526"/>
      <c r="F428" s="1960" t="s">
        <v>2112</v>
      </c>
      <c r="G428" s="2526" t="s">
        <v>2673</v>
      </c>
      <c r="H428" s="2526"/>
      <c r="I428" s="2526"/>
      <c r="J428" s="2526"/>
      <c r="L428" s="2525">
        <v>0</v>
      </c>
      <c r="M428" s="2525"/>
      <c r="N428" s="2525">
        <v>0</v>
      </c>
      <c r="O428" s="2525"/>
      <c r="P428" s="2525">
        <v>0</v>
      </c>
      <c r="Q428" s="2525"/>
      <c r="R428" s="2525">
        <v>0</v>
      </c>
      <c r="S428" s="2525"/>
      <c r="T428" s="2525">
        <v>0</v>
      </c>
      <c r="U428" s="2525"/>
      <c r="V428" s="1961">
        <v>0</v>
      </c>
      <c r="W428" s="1962" t="s">
        <v>2453</v>
      </c>
    </row>
    <row r="429" spans="1:23" ht="11.25" customHeight="1" x14ac:dyDescent="0.2">
      <c r="A429" s="2526" t="s">
        <v>2805</v>
      </c>
      <c r="B429" s="2526"/>
      <c r="C429" s="2526"/>
      <c r="D429" s="2526"/>
      <c r="E429" s="2526"/>
      <c r="F429" s="1960" t="s">
        <v>2112</v>
      </c>
      <c r="G429" s="2526" t="s">
        <v>2675</v>
      </c>
      <c r="H429" s="2526"/>
      <c r="I429" s="2526"/>
      <c r="J429" s="2526"/>
      <c r="L429" s="2525">
        <v>0</v>
      </c>
      <c r="M429" s="2525"/>
      <c r="N429" s="2525">
        <v>0</v>
      </c>
      <c r="O429" s="2525"/>
      <c r="P429" s="2525">
        <v>0</v>
      </c>
      <c r="Q429" s="2525"/>
      <c r="R429" s="2525">
        <v>0</v>
      </c>
      <c r="S429" s="2525"/>
      <c r="T429" s="2525">
        <v>0</v>
      </c>
      <c r="U429" s="2525"/>
      <c r="V429" s="1961">
        <v>0</v>
      </c>
      <c r="W429" s="1962" t="s">
        <v>2453</v>
      </c>
    </row>
    <row r="430" spans="1:23" ht="11.25" customHeight="1" x14ac:dyDescent="0.2">
      <c r="A430" s="2526" t="s">
        <v>2806</v>
      </c>
      <c r="B430" s="2526"/>
      <c r="C430" s="2526"/>
      <c r="D430" s="2526"/>
      <c r="E430" s="2526"/>
      <c r="F430" s="1960" t="s">
        <v>2112</v>
      </c>
      <c r="G430" s="2526" t="s">
        <v>2807</v>
      </c>
      <c r="H430" s="2526"/>
      <c r="I430" s="2526"/>
      <c r="J430" s="2526"/>
      <c r="L430" s="2525">
        <v>0</v>
      </c>
      <c r="M430" s="2525"/>
      <c r="N430" s="2525">
        <v>0</v>
      </c>
      <c r="O430" s="2525"/>
      <c r="P430" s="2525">
        <v>62191.74</v>
      </c>
      <c r="Q430" s="2525"/>
      <c r="R430" s="2525">
        <v>62191.74</v>
      </c>
      <c r="S430" s="2525"/>
      <c r="T430" s="2525">
        <v>33000</v>
      </c>
      <c r="U430" s="2525"/>
      <c r="V430" s="1961">
        <v>188.45981818181821</v>
      </c>
      <c r="W430" s="1962" t="s">
        <v>2453</v>
      </c>
    </row>
    <row r="431" spans="1:23" ht="11.25" customHeight="1" x14ac:dyDescent="0.2">
      <c r="A431" s="2526" t="s">
        <v>2806</v>
      </c>
      <c r="B431" s="2526"/>
      <c r="C431" s="2526"/>
      <c r="D431" s="2526"/>
      <c r="E431" s="2526"/>
      <c r="F431" s="1960" t="s">
        <v>2212</v>
      </c>
      <c r="G431" s="2526" t="s">
        <v>2808</v>
      </c>
      <c r="H431" s="2526"/>
      <c r="I431" s="2526"/>
      <c r="J431" s="2526"/>
      <c r="L431" s="2525">
        <v>0</v>
      </c>
      <c r="M431" s="2525"/>
      <c r="N431" s="2525">
        <v>0</v>
      </c>
      <c r="O431" s="2525"/>
      <c r="P431" s="2525">
        <v>0</v>
      </c>
      <c r="Q431" s="2525"/>
      <c r="R431" s="2525">
        <v>0</v>
      </c>
      <c r="S431" s="2525"/>
      <c r="T431" s="2525">
        <v>0</v>
      </c>
      <c r="U431" s="2525"/>
      <c r="V431" s="1961">
        <v>0</v>
      </c>
      <c r="W431" s="1962" t="s">
        <v>2453</v>
      </c>
    </row>
    <row r="432" spans="1:23" ht="11.25" customHeight="1" x14ac:dyDescent="0.2">
      <c r="A432" s="2526" t="s">
        <v>2809</v>
      </c>
      <c r="B432" s="2526"/>
      <c r="C432" s="2526"/>
      <c r="D432" s="2526"/>
      <c r="E432" s="2526"/>
      <c r="F432" s="1960" t="s">
        <v>2112</v>
      </c>
      <c r="G432" s="2526" t="s">
        <v>2687</v>
      </c>
      <c r="H432" s="2526"/>
      <c r="I432" s="2526"/>
      <c r="J432" s="2526"/>
      <c r="L432" s="2525">
        <v>0</v>
      </c>
      <c r="M432" s="2525"/>
      <c r="N432" s="2525">
        <v>0</v>
      </c>
      <c r="O432" s="2525"/>
      <c r="P432" s="2525">
        <v>0</v>
      </c>
      <c r="Q432" s="2525"/>
      <c r="R432" s="2525">
        <v>0</v>
      </c>
      <c r="S432" s="2525"/>
      <c r="T432" s="2525">
        <v>0</v>
      </c>
      <c r="U432" s="2525"/>
      <c r="V432" s="1961">
        <v>0</v>
      </c>
      <c r="W432" s="1962" t="s">
        <v>2453</v>
      </c>
    </row>
    <row r="433" spans="1:23" ht="11.25" customHeight="1" x14ac:dyDescent="0.2">
      <c r="A433" s="2526" t="s">
        <v>2810</v>
      </c>
      <c r="B433" s="2526"/>
      <c r="C433" s="2526"/>
      <c r="D433" s="2526"/>
      <c r="E433" s="2526"/>
      <c r="F433" s="1960" t="s">
        <v>2112</v>
      </c>
      <c r="G433" s="2526" t="s">
        <v>2690</v>
      </c>
      <c r="H433" s="2526"/>
      <c r="I433" s="2526"/>
      <c r="J433" s="2526"/>
      <c r="L433" s="2525">
        <v>0</v>
      </c>
      <c r="M433" s="2525"/>
      <c r="N433" s="2525">
        <v>0</v>
      </c>
      <c r="O433" s="2525"/>
      <c r="P433" s="2525">
        <v>0</v>
      </c>
      <c r="Q433" s="2525"/>
      <c r="R433" s="2525">
        <v>0</v>
      </c>
      <c r="S433" s="2525"/>
      <c r="T433" s="2525">
        <v>0</v>
      </c>
      <c r="U433" s="2525"/>
      <c r="V433" s="1961">
        <v>0</v>
      </c>
      <c r="W433" s="1962" t="s">
        <v>2453</v>
      </c>
    </row>
    <row r="434" spans="1:23" ht="11.25" customHeight="1" x14ac:dyDescent="0.2">
      <c r="A434" s="2526" t="s">
        <v>2810</v>
      </c>
      <c r="B434" s="2526"/>
      <c r="C434" s="2526"/>
      <c r="D434" s="2526"/>
      <c r="E434" s="2526"/>
      <c r="F434" s="1960" t="s">
        <v>2212</v>
      </c>
      <c r="G434" s="2526" t="s">
        <v>2811</v>
      </c>
      <c r="H434" s="2526"/>
      <c r="I434" s="2526"/>
      <c r="J434" s="2526"/>
      <c r="L434" s="2525">
        <v>0</v>
      </c>
      <c r="M434" s="2525"/>
      <c r="N434" s="2525">
        <v>0</v>
      </c>
      <c r="O434" s="2525"/>
      <c r="P434" s="2525">
        <v>0</v>
      </c>
      <c r="Q434" s="2525"/>
      <c r="R434" s="2525">
        <v>0</v>
      </c>
      <c r="S434" s="2525"/>
      <c r="T434" s="2525">
        <v>0</v>
      </c>
      <c r="U434" s="2525"/>
      <c r="V434" s="1961">
        <v>0</v>
      </c>
      <c r="W434" s="1962" t="s">
        <v>2453</v>
      </c>
    </row>
    <row r="435" spans="1:23" ht="11.25" customHeight="1" x14ac:dyDescent="0.2">
      <c r="A435" s="2526" t="s">
        <v>2812</v>
      </c>
      <c r="B435" s="2526"/>
      <c r="C435" s="2526"/>
      <c r="D435" s="2526"/>
      <c r="E435" s="2526"/>
      <c r="F435" s="1960" t="s">
        <v>2112</v>
      </c>
      <c r="G435" s="2526" t="s">
        <v>2813</v>
      </c>
      <c r="H435" s="2526"/>
      <c r="I435" s="2526"/>
      <c r="J435" s="2526"/>
      <c r="L435" s="2525">
        <v>0</v>
      </c>
      <c r="M435" s="2525"/>
      <c r="N435" s="2525">
        <v>0</v>
      </c>
      <c r="O435" s="2525"/>
      <c r="P435" s="2525">
        <v>0</v>
      </c>
      <c r="Q435" s="2525"/>
      <c r="R435" s="2525">
        <v>0</v>
      </c>
      <c r="S435" s="2525"/>
      <c r="T435" s="2525">
        <v>0</v>
      </c>
      <c r="U435" s="2525"/>
      <c r="V435" s="1961">
        <v>0</v>
      </c>
      <c r="W435" s="1962" t="s">
        <v>2453</v>
      </c>
    </row>
    <row r="436" spans="1:23" ht="11.25" customHeight="1" x14ac:dyDescent="0.2">
      <c r="A436" s="2526" t="s">
        <v>2814</v>
      </c>
      <c r="B436" s="2526"/>
      <c r="C436" s="2526"/>
      <c r="D436" s="2526"/>
      <c r="E436" s="2526"/>
      <c r="F436" s="1960" t="s">
        <v>2112</v>
      </c>
      <c r="G436" s="2526" t="s">
        <v>2696</v>
      </c>
      <c r="H436" s="2526"/>
      <c r="I436" s="2526"/>
      <c r="J436" s="2526"/>
      <c r="L436" s="2525">
        <v>0</v>
      </c>
      <c r="M436" s="2525"/>
      <c r="N436" s="2525">
        <v>0</v>
      </c>
      <c r="O436" s="2525"/>
      <c r="P436" s="2525">
        <v>0</v>
      </c>
      <c r="Q436" s="2525"/>
      <c r="R436" s="2525">
        <v>0</v>
      </c>
      <c r="S436" s="2525"/>
      <c r="T436" s="2525">
        <v>0</v>
      </c>
      <c r="U436" s="2525"/>
      <c r="V436" s="1961">
        <v>0</v>
      </c>
      <c r="W436" s="1962" t="s">
        <v>2453</v>
      </c>
    </row>
    <row r="437" spans="1:23" ht="11.25" customHeight="1" x14ac:dyDescent="0.2">
      <c r="A437" s="2526" t="s">
        <v>2815</v>
      </c>
      <c r="B437" s="2526"/>
      <c r="C437" s="2526"/>
      <c r="D437" s="2526"/>
      <c r="E437" s="2526"/>
      <c r="F437" s="1960" t="s">
        <v>2628</v>
      </c>
      <c r="G437" s="2526" t="s">
        <v>2816</v>
      </c>
      <c r="H437" s="2526"/>
      <c r="I437" s="2526"/>
      <c r="J437" s="2526"/>
      <c r="L437" s="2525">
        <v>0</v>
      </c>
      <c r="M437" s="2525"/>
      <c r="N437" s="2525">
        <v>0</v>
      </c>
      <c r="O437" s="2525"/>
      <c r="P437" s="2525">
        <v>0</v>
      </c>
      <c r="Q437" s="2525"/>
      <c r="R437" s="2525">
        <v>0</v>
      </c>
      <c r="S437" s="2525"/>
      <c r="T437" s="2525">
        <v>0</v>
      </c>
      <c r="U437" s="2525"/>
      <c r="V437" s="1961">
        <v>0</v>
      </c>
      <c r="W437" s="1962" t="s">
        <v>2453</v>
      </c>
    </row>
    <row r="438" spans="1:23" ht="11.25" customHeight="1" x14ac:dyDescent="0.2">
      <c r="A438" s="2526" t="s">
        <v>2817</v>
      </c>
      <c r="B438" s="2526"/>
      <c r="C438" s="2526"/>
      <c r="D438" s="2526"/>
      <c r="E438" s="2526"/>
      <c r="F438" s="1960" t="s">
        <v>2236</v>
      </c>
      <c r="G438" s="2526" t="s">
        <v>2818</v>
      </c>
      <c r="H438" s="2526"/>
      <c r="I438" s="2526"/>
      <c r="J438" s="2526"/>
      <c r="L438" s="2525">
        <v>0</v>
      </c>
      <c r="M438" s="2525"/>
      <c r="N438" s="2525">
        <v>0</v>
      </c>
      <c r="O438" s="2525"/>
      <c r="P438" s="2525">
        <v>0</v>
      </c>
      <c r="Q438" s="2525"/>
      <c r="R438" s="2525">
        <v>0</v>
      </c>
      <c r="S438" s="2525"/>
      <c r="T438" s="2525">
        <v>0</v>
      </c>
      <c r="U438" s="2525"/>
      <c r="V438" s="1961">
        <v>0</v>
      </c>
      <c r="W438" s="1962" t="s">
        <v>2453</v>
      </c>
    </row>
    <row r="439" spans="1:23" ht="11.25" customHeight="1" x14ac:dyDescent="0.2">
      <c r="A439" s="2526" t="s">
        <v>2819</v>
      </c>
      <c r="B439" s="2526"/>
      <c r="C439" s="2526"/>
      <c r="D439" s="2526"/>
      <c r="E439" s="2526"/>
      <c r="F439" s="1960" t="s">
        <v>2236</v>
      </c>
      <c r="G439" s="2526" t="s">
        <v>2820</v>
      </c>
      <c r="H439" s="2526"/>
      <c r="I439" s="2526"/>
      <c r="J439" s="2526"/>
      <c r="L439" s="2525">
        <v>0</v>
      </c>
      <c r="M439" s="2525"/>
      <c r="N439" s="2525">
        <v>0</v>
      </c>
      <c r="O439" s="2525"/>
      <c r="P439" s="2525">
        <v>0</v>
      </c>
      <c r="Q439" s="2525"/>
      <c r="R439" s="2525">
        <v>0</v>
      </c>
      <c r="S439" s="2525"/>
      <c r="T439" s="2525">
        <v>0</v>
      </c>
      <c r="U439" s="2525"/>
      <c r="V439" s="1961">
        <v>0</v>
      </c>
      <c r="W439" s="1962" t="s">
        <v>2453</v>
      </c>
    </row>
    <row r="440" spans="1:23" ht="11.25" customHeight="1" x14ac:dyDescent="0.2">
      <c r="A440" s="2526" t="s">
        <v>2821</v>
      </c>
      <c r="B440" s="2526"/>
      <c r="C440" s="2526"/>
      <c r="D440" s="2526"/>
      <c r="E440" s="2526"/>
      <c r="F440" s="1960" t="s">
        <v>2236</v>
      </c>
      <c r="G440" s="2526" t="s">
        <v>2822</v>
      </c>
      <c r="H440" s="2526"/>
      <c r="I440" s="2526"/>
      <c r="J440" s="2526"/>
      <c r="L440" s="2525">
        <v>0</v>
      </c>
      <c r="M440" s="2525"/>
      <c r="N440" s="2525">
        <v>0</v>
      </c>
      <c r="O440" s="2525"/>
      <c r="P440" s="2525">
        <v>0</v>
      </c>
      <c r="Q440" s="2525"/>
      <c r="R440" s="2525">
        <v>0</v>
      </c>
      <c r="S440" s="2525"/>
      <c r="T440" s="2525">
        <v>0</v>
      </c>
      <c r="U440" s="2525"/>
      <c r="V440" s="1961">
        <v>0</v>
      </c>
      <c r="W440" s="1962" t="s">
        <v>2453</v>
      </c>
    </row>
    <row r="441" spans="1:23" ht="11.25" customHeight="1" x14ac:dyDescent="0.2">
      <c r="A441" s="2526" t="s">
        <v>2823</v>
      </c>
      <c r="B441" s="2526"/>
      <c r="C441" s="2526"/>
      <c r="D441" s="2526"/>
      <c r="E441" s="2526"/>
      <c r="F441" s="1960" t="s">
        <v>2256</v>
      </c>
      <c r="G441" s="2526" t="s">
        <v>2824</v>
      </c>
      <c r="H441" s="2526"/>
      <c r="I441" s="2526"/>
      <c r="J441" s="2526"/>
      <c r="L441" s="2525">
        <v>0</v>
      </c>
      <c r="M441" s="2525"/>
      <c r="N441" s="2525">
        <v>0</v>
      </c>
      <c r="O441" s="2525"/>
      <c r="P441" s="2525">
        <v>0</v>
      </c>
      <c r="Q441" s="2525"/>
      <c r="R441" s="2525">
        <v>0</v>
      </c>
      <c r="S441" s="2525"/>
      <c r="T441" s="2525">
        <v>0</v>
      </c>
      <c r="U441" s="2525"/>
      <c r="V441" s="1961">
        <v>0</v>
      </c>
      <c r="W441" s="1962" t="s">
        <v>2453</v>
      </c>
    </row>
    <row r="442" spans="1:23" ht="11.25" customHeight="1" x14ac:dyDescent="0.2">
      <c r="A442" s="2526" t="s">
        <v>2823</v>
      </c>
      <c r="B442" s="2526"/>
      <c r="C442" s="2526"/>
      <c r="D442" s="2526"/>
      <c r="E442" s="2526"/>
      <c r="F442" s="1960" t="s">
        <v>2236</v>
      </c>
      <c r="G442" s="2526" t="s">
        <v>2825</v>
      </c>
      <c r="H442" s="2526"/>
      <c r="I442" s="2526"/>
      <c r="J442" s="2526"/>
      <c r="L442" s="2525">
        <v>0</v>
      </c>
      <c r="M442" s="2525"/>
      <c r="N442" s="2525">
        <v>0</v>
      </c>
      <c r="O442" s="2525"/>
      <c r="P442" s="2525">
        <v>-319.14</v>
      </c>
      <c r="Q442" s="2525"/>
      <c r="R442" s="2525">
        <v>-319.14</v>
      </c>
      <c r="S442" s="2525"/>
      <c r="T442" s="2525">
        <v>0</v>
      </c>
      <c r="U442" s="2525"/>
      <c r="V442" s="1961">
        <v>0</v>
      </c>
      <c r="W442" s="1962" t="s">
        <v>2453</v>
      </c>
    </row>
    <row r="443" spans="1:23" ht="11.25" customHeight="1" x14ac:dyDescent="0.2">
      <c r="A443" s="2526" t="s">
        <v>2826</v>
      </c>
      <c r="B443" s="2526"/>
      <c r="C443" s="2526"/>
      <c r="D443" s="2526"/>
      <c r="E443" s="2526"/>
      <c r="F443" s="1960" t="s">
        <v>2212</v>
      </c>
      <c r="G443" s="2526" t="s">
        <v>2827</v>
      </c>
      <c r="H443" s="2526"/>
      <c r="I443" s="2526"/>
      <c r="J443" s="2526"/>
      <c r="L443" s="2525">
        <v>0</v>
      </c>
      <c r="M443" s="2525"/>
      <c r="N443" s="2525">
        <v>0</v>
      </c>
      <c r="O443" s="2525"/>
      <c r="P443" s="2525">
        <v>0</v>
      </c>
      <c r="Q443" s="2525"/>
      <c r="R443" s="2525">
        <v>0</v>
      </c>
      <c r="S443" s="2525"/>
      <c r="T443" s="2525">
        <v>0</v>
      </c>
      <c r="U443" s="2525"/>
      <c r="V443" s="1961">
        <v>0</v>
      </c>
      <c r="W443" s="1962" t="s">
        <v>2453</v>
      </c>
    </row>
    <row r="444" spans="1:23" ht="11.25" customHeight="1" x14ac:dyDescent="0.2">
      <c r="A444" s="2526" t="s">
        <v>2826</v>
      </c>
      <c r="B444" s="2526"/>
      <c r="C444" s="2526"/>
      <c r="D444" s="2526"/>
      <c r="E444" s="2526"/>
      <c r="F444" s="1960" t="s">
        <v>2287</v>
      </c>
      <c r="G444" s="2526" t="s">
        <v>2828</v>
      </c>
      <c r="H444" s="2526"/>
      <c r="I444" s="2526"/>
      <c r="J444" s="2526"/>
      <c r="L444" s="2525">
        <v>0</v>
      </c>
      <c r="M444" s="2525"/>
      <c r="N444" s="2525">
        <v>0</v>
      </c>
      <c r="O444" s="2525"/>
      <c r="P444" s="2525">
        <v>0</v>
      </c>
      <c r="Q444" s="2525"/>
      <c r="R444" s="2525">
        <v>0</v>
      </c>
      <c r="S444" s="2525"/>
      <c r="T444" s="2525">
        <v>0</v>
      </c>
      <c r="U444" s="2525"/>
      <c r="V444" s="1961">
        <v>0</v>
      </c>
      <c r="W444" s="1962" t="s">
        <v>2453</v>
      </c>
    </row>
    <row r="445" spans="1:23" ht="11.25" customHeight="1" x14ac:dyDescent="0.2">
      <c r="A445" s="2526" t="s">
        <v>2826</v>
      </c>
      <c r="B445" s="2526"/>
      <c r="C445" s="2526"/>
      <c r="D445" s="2526"/>
      <c r="E445" s="2526"/>
      <c r="F445" s="1960" t="s">
        <v>2236</v>
      </c>
      <c r="G445" s="2526" t="s">
        <v>2829</v>
      </c>
      <c r="H445" s="2526"/>
      <c r="I445" s="2526"/>
      <c r="J445" s="2526"/>
      <c r="L445" s="2525">
        <v>0</v>
      </c>
      <c r="M445" s="2525"/>
      <c r="N445" s="2525">
        <v>0</v>
      </c>
      <c r="O445" s="2525"/>
      <c r="P445" s="2525">
        <v>1682.81</v>
      </c>
      <c r="Q445" s="2525"/>
      <c r="R445" s="2525">
        <v>1682.81</v>
      </c>
      <c r="S445" s="2525"/>
      <c r="T445" s="2525">
        <v>0</v>
      </c>
      <c r="U445" s="2525"/>
      <c r="V445" s="1961">
        <v>0</v>
      </c>
      <c r="W445" s="1962" t="s">
        <v>2453</v>
      </c>
    </row>
    <row r="446" spans="1:23" ht="11.25" customHeight="1" x14ac:dyDescent="0.2">
      <c r="A446" s="2526" t="s">
        <v>2826</v>
      </c>
      <c r="B446" s="2526"/>
      <c r="C446" s="2526"/>
      <c r="D446" s="2526"/>
      <c r="E446" s="2526"/>
      <c r="F446" s="1960" t="s">
        <v>2112</v>
      </c>
      <c r="G446" s="2526" t="s">
        <v>2830</v>
      </c>
      <c r="H446" s="2526"/>
      <c r="I446" s="2526"/>
      <c r="J446" s="2526"/>
      <c r="L446" s="2525">
        <v>0</v>
      </c>
      <c r="M446" s="2525"/>
      <c r="N446" s="2525">
        <v>0</v>
      </c>
      <c r="O446" s="2525"/>
      <c r="P446" s="2525">
        <v>3427.8</v>
      </c>
      <c r="Q446" s="2525"/>
      <c r="R446" s="2525">
        <v>3427.8</v>
      </c>
      <c r="S446" s="2525"/>
      <c r="T446" s="2525">
        <v>0</v>
      </c>
      <c r="U446" s="2525"/>
      <c r="V446" s="1961">
        <v>0</v>
      </c>
      <c r="W446" s="1962" t="s">
        <v>2453</v>
      </c>
    </row>
    <row r="447" spans="1:23" ht="11.25" customHeight="1" x14ac:dyDescent="0.2">
      <c r="A447" s="2526" t="s">
        <v>2826</v>
      </c>
      <c r="B447" s="2526"/>
      <c r="C447" s="2526"/>
      <c r="D447" s="2526"/>
      <c r="E447" s="2526"/>
      <c r="F447" s="1960" t="s">
        <v>2256</v>
      </c>
      <c r="G447" s="2526" t="s">
        <v>2831</v>
      </c>
      <c r="H447" s="2526"/>
      <c r="I447" s="2526"/>
      <c r="J447" s="2526"/>
      <c r="L447" s="2525">
        <v>0</v>
      </c>
      <c r="M447" s="2525"/>
      <c r="N447" s="2525">
        <v>0</v>
      </c>
      <c r="O447" s="2525"/>
      <c r="P447" s="2525">
        <v>0</v>
      </c>
      <c r="Q447" s="2525"/>
      <c r="R447" s="2525">
        <v>0</v>
      </c>
      <c r="S447" s="2525"/>
      <c r="T447" s="2525">
        <v>0</v>
      </c>
      <c r="U447" s="2525"/>
      <c r="V447" s="1961">
        <v>0</v>
      </c>
      <c r="W447" s="1962" t="s">
        <v>2453</v>
      </c>
    </row>
    <row r="448" spans="1:23" ht="11.25" customHeight="1" x14ac:dyDescent="0.2">
      <c r="A448" s="2526" t="s">
        <v>2826</v>
      </c>
      <c r="B448" s="2526"/>
      <c r="C448" s="2526"/>
      <c r="D448" s="2526"/>
      <c r="E448" s="2526"/>
      <c r="F448" s="1960" t="s">
        <v>1017</v>
      </c>
      <c r="G448" s="2526" t="s">
        <v>2832</v>
      </c>
      <c r="H448" s="2526"/>
      <c r="I448" s="2526"/>
      <c r="J448" s="2526"/>
      <c r="L448" s="2525">
        <v>0</v>
      </c>
      <c r="M448" s="2525"/>
      <c r="N448" s="2525">
        <v>0</v>
      </c>
      <c r="O448" s="2525"/>
      <c r="P448" s="2525">
        <v>0</v>
      </c>
      <c r="Q448" s="2525"/>
      <c r="R448" s="2525">
        <v>0</v>
      </c>
      <c r="S448" s="2525"/>
      <c r="T448" s="2525">
        <v>0</v>
      </c>
      <c r="U448" s="2525"/>
      <c r="V448" s="1961">
        <v>0</v>
      </c>
      <c r="W448" s="1962" t="s">
        <v>2453</v>
      </c>
    </row>
    <row r="449" spans="1:23" ht="11.25" customHeight="1" x14ac:dyDescent="0.2">
      <c r="A449" s="2526" t="s">
        <v>2833</v>
      </c>
      <c r="B449" s="2526"/>
      <c r="C449" s="2526"/>
      <c r="D449" s="2526"/>
      <c r="E449" s="2526"/>
      <c r="F449" s="1960" t="s">
        <v>2212</v>
      </c>
      <c r="G449" s="2526" t="s">
        <v>2834</v>
      </c>
      <c r="H449" s="2526"/>
      <c r="I449" s="2526"/>
      <c r="J449" s="2526"/>
      <c r="L449" s="2525">
        <v>0</v>
      </c>
      <c r="M449" s="2525"/>
      <c r="N449" s="2525">
        <v>0</v>
      </c>
      <c r="O449" s="2525"/>
      <c r="P449" s="2525">
        <v>0</v>
      </c>
      <c r="Q449" s="2525"/>
      <c r="R449" s="2525">
        <v>0</v>
      </c>
      <c r="S449" s="2525"/>
      <c r="T449" s="2525">
        <v>0</v>
      </c>
      <c r="U449" s="2525"/>
      <c r="V449" s="1961">
        <v>0</v>
      </c>
      <c r="W449" s="1962" t="s">
        <v>2453</v>
      </c>
    </row>
    <row r="450" spans="1:23" ht="11.25" customHeight="1" x14ac:dyDescent="0.2">
      <c r="A450" s="2526" t="s">
        <v>2835</v>
      </c>
      <c r="B450" s="2526"/>
      <c r="C450" s="2526"/>
      <c r="D450" s="2526"/>
      <c r="E450" s="2526"/>
      <c r="F450" s="1960" t="s">
        <v>2112</v>
      </c>
      <c r="G450" s="2526" t="s">
        <v>2836</v>
      </c>
      <c r="H450" s="2526"/>
      <c r="I450" s="2526"/>
      <c r="J450" s="2526"/>
      <c r="L450" s="2525">
        <v>0</v>
      </c>
      <c r="M450" s="2525"/>
      <c r="N450" s="2525">
        <v>0</v>
      </c>
      <c r="O450" s="2525"/>
      <c r="P450" s="2525">
        <v>0</v>
      </c>
      <c r="Q450" s="2525"/>
      <c r="R450" s="2525">
        <v>0</v>
      </c>
      <c r="S450" s="2525"/>
      <c r="T450" s="2525">
        <v>0</v>
      </c>
      <c r="U450" s="2525"/>
      <c r="V450" s="1961">
        <v>0</v>
      </c>
      <c r="W450" s="1962" t="s">
        <v>2453</v>
      </c>
    </row>
    <row r="451" spans="1:23" ht="11.25" customHeight="1" x14ac:dyDescent="0.2">
      <c r="A451" s="2526" t="s">
        <v>2837</v>
      </c>
      <c r="B451" s="2526"/>
      <c r="C451" s="2526"/>
      <c r="D451" s="2526"/>
      <c r="E451" s="2526"/>
      <c r="F451" s="1960" t="s">
        <v>2112</v>
      </c>
      <c r="G451" s="2526" t="s">
        <v>2838</v>
      </c>
      <c r="H451" s="2526"/>
      <c r="I451" s="2526"/>
      <c r="J451" s="2526"/>
      <c r="L451" s="2525">
        <v>0</v>
      </c>
      <c r="M451" s="2525"/>
      <c r="N451" s="2525">
        <v>0</v>
      </c>
      <c r="O451" s="2525"/>
      <c r="P451" s="2525">
        <v>0</v>
      </c>
      <c r="Q451" s="2525"/>
      <c r="R451" s="2525">
        <v>0</v>
      </c>
      <c r="S451" s="2525"/>
      <c r="T451" s="2525">
        <v>0</v>
      </c>
      <c r="U451" s="2525"/>
      <c r="V451" s="1961">
        <v>0</v>
      </c>
      <c r="W451" s="1962" t="s">
        <v>2453</v>
      </c>
    </row>
    <row r="452" spans="1:23" ht="11.25" customHeight="1" x14ac:dyDescent="0.2">
      <c r="A452" s="2526" t="s">
        <v>2839</v>
      </c>
      <c r="B452" s="2526"/>
      <c r="C452" s="2526"/>
      <c r="D452" s="2526"/>
      <c r="E452" s="2526"/>
      <c r="F452" s="1960" t="s">
        <v>2112</v>
      </c>
      <c r="G452" s="2526" t="s">
        <v>2840</v>
      </c>
      <c r="H452" s="2526"/>
      <c r="I452" s="2526"/>
      <c r="J452" s="2526"/>
      <c r="L452" s="2525">
        <v>0</v>
      </c>
      <c r="M452" s="2525"/>
      <c r="N452" s="2525">
        <v>0</v>
      </c>
      <c r="O452" s="2525"/>
      <c r="P452" s="2525">
        <v>0</v>
      </c>
      <c r="Q452" s="2525"/>
      <c r="R452" s="2525">
        <v>0</v>
      </c>
      <c r="S452" s="2525"/>
      <c r="T452" s="2525">
        <v>0</v>
      </c>
      <c r="U452" s="2525"/>
      <c r="V452" s="1961">
        <v>0</v>
      </c>
      <c r="W452" s="1962" t="s">
        <v>2453</v>
      </c>
    </row>
    <row r="453" spans="1:23" ht="11.25" customHeight="1" x14ac:dyDescent="0.2">
      <c r="A453" s="2526" t="s">
        <v>2841</v>
      </c>
      <c r="B453" s="2526"/>
      <c r="C453" s="2526"/>
      <c r="D453" s="2526"/>
      <c r="E453" s="2526"/>
      <c r="F453" s="1960" t="s">
        <v>2112</v>
      </c>
      <c r="G453" s="2526" t="s">
        <v>2842</v>
      </c>
      <c r="H453" s="2526"/>
      <c r="I453" s="2526"/>
      <c r="J453" s="2526"/>
      <c r="L453" s="2525">
        <v>0</v>
      </c>
      <c r="M453" s="2525"/>
      <c r="N453" s="2525">
        <v>0</v>
      </c>
      <c r="O453" s="2525"/>
      <c r="P453" s="2525">
        <v>0</v>
      </c>
      <c r="Q453" s="2525"/>
      <c r="R453" s="2525">
        <v>0</v>
      </c>
      <c r="S453" s="2525"/>
      <c r="T453" s="2525">
        <v>0</v>
      </c>
      <c r="U453" s="2525"/>
      <c r="V453" s="1961">
        <v>0</v>
      </c>
      <c r="W453" s="1962" t="s">
        <v>2453</v>
      </c>
    </row>
    <row r="454" spans="1:23" ht="11.25" customHeight="1" x14ac:dyDescent="0.2">
      <c r="A454" s="2526" t="s">
        <v>2843</v>
      </c>
      <c r="B454" s="2526"/>
      <c r="C454" s="2526"/>
      <c r="D454" s="2526"/>
      <c r="E454" s="2526"/>
      <c r="F454" s="1960" t="s">
        <v>2112</v>
      </c>
      <c r="G454" s="2526" t="s">
        <v>2675</v>
      </c>
      <c r="H454" s="2526"/>
      <c r="I454" s="2526"/>
      <c r="J454" s="2526"/>
      <c r="L454" s="2525">
        <v>0</v>
      </c>
      <c r="M454" s="2525"/>
      <c r="N454" s="2525">
        <v>0</v>
      </c>
      <c r="O454" s="2525"/>
      <c r="P454" s="2525">
        <v>0</v>
      </c>
      <c r="Q454" s="2525"/>
      <c r="R454" s="2525">
        <v>0</v>
      </c>
      <c r="S454" s="2525"/>
      <c r="T454" s="2525">
        <v>0</v>
      </c>
      <c r="U454" s="2525"/>
      <c r="V454" s="1961">
        <v>0</v>
      </c>
      <c r="W454" s="1962" t="s">
        <v>2453</v>
      </c>
    </row>
    <row r="455" spans="1:23" ht="11.25" customHeight="1" x14ac:dyDescent="0.2">
      <c r="A455" s="2526" t="s">
        <v>2844</v>
      </c>
      <c r="B455" s="2526"/>
      <c r="C455" s="2526"/>
      <c r="D455" s="2526"/>
      <c r="E455" s="2526"/>
      <c r="F455" s="1960" t="s">
        <v>2112</v>
      </c>
      <c r="G455" s="2526" t="s">
        <v>2845</v>
      </c>
      <c r="H455" s="2526"/>
      <c r="I455" s="2526"/>
      <c r="J455" s="2526"/>
      <c r="L455" s="2525">
        <v>0</v>
      </c>
      <c r="M455" s="2525"/>
      <c r="N455" s="2525">
        <v>0</v>
      </c>
      <c r="O455" s="2525"/>
      <c r="P455" s="2525">
        <v>0</v>
      </c>
      <c r="Q455" s="2525"/>
      <c r="R455" s="2525">
        <v>0</v>
      </c>
      <c r="S455" s="2525"/>
      <c r="T455" s="2525">
        <v>0</v>
      </c>
      <c r="U455" s="2525"/>
      <c r="V455" s="1961">
        <v>0</v>
      </c>
      <c r="W455" s="1962" t="s">
        <v>2453</v>
      </c>
    </row>
    <row r="456" spans="1:23" ht="11.25" customHeight="1" x14ac:dyDescent="0.2">
      <c r="A456" s="2526" t="s">
        <v>2846</v>
      </c>
      <c r="B456" s="2526"/>
      <c r="C456" s="2526"/>
      <c r="D456" s="2526"/>
      <c r="E456" s="2526"/>
      <c r="F456" s="1960" t="s">
        <v>2112</v>
      </c>
      <c r="G456" s="2526" t="s">
        <v>2847</v>
      </c>
      <c r="H456" s="2526"/>
      <c r="I456" s="2526"/>
      <c r="J456" s="2526"/>
      <c r="L456" s="2525">
        <v>0</v>
      </c>
      <c r="M456" s="2525"/>
      <c r="N456" s="2525">
        <v>0</v>
      </c>
      <c r="O456" s="2525"/>
      <c r="P456" s="2525">
        <v>0</v>
      </c>
      <c r="Q456" s="2525"/>
      <c r="R456" s="2525">
        <v>0</v>
      </c>
      <c r="S456" s="2525"/>
      <c r="T456" s="2525">
        <v>0</v>
      </c>
      <c r="U456" s="2525"/>
      <c r="V456" s="1961">
        <v>0</v>
      </c>
      <c r="W456" s="1962" t="s">
        <v>2453</v>
      </c>
    </row>
    <row r="457" spans="1:23" ht="11.25" customHeight="1" x14ac:dyDescent="0.2">
      <c r="A457" s="2526" t="s">
        <v>2848</v>
      </c>
      <c r="B457" s="2526"/>
      <c r="C457" s="2526"/>
      <c r="D457" s="2526"/>
      <c r="E457" s="2526"/>
      <c r="F457" s="1960" t="s">
        <v>2112</v>
      </c>
      <c r="G457" s="2526" t="s">
        <v>2849</v>
      </c>
      <c r="H457" s="2526"/>
      <c r="I457" s="2526"/>
      <c r="J457" s="2526"/>
      <c r="L457" s="2525">
        <v>0</v>
      </c>
      <c r="M457" s="2525"/>
      <c r="N457" s="2525">
        <v>0</v>
      </c>
      <c r="O457" s="2525"/>
      <c r="P457" s="2525">
        <v>0</v>
      </c>
      <c r="Q457" s="2525"/>
      <c r="R457" s="2525">
        <v>0</v>
      </c>
      <c r="S457" s="2525"/>
      <c r="T457" s="2525">
        <v>100</v>
      </c>
      <c r="U457" s="2525"/>
      <c r="V457" s="1961">
        <v>0</v>
      </c>
      <c r="W457" s="1962" t="s">
        <v>2453</v>
      </c>
    </row>
    <row r="458" spans="1:23" ht="11.25" customHeight="1" x14ac:dyDescent="0.2">
      <c r="A458" s="2526" t="s">
        <v>2848</v>
      </c>
      <c r="B458" s="2526"/>
      <c r="C458" s="2526"/>
      <c r="D458" s="2526"/>
      <c r="E458" s="2526"/>
      <c r="F458" s="1960" t="s">
        <v>2256</v>
      </c>
      <c r="G458" s="2526" t="s">
        <v>2850</v>
      </c>
      <c r="H458" s="2526"/>
      <c r="I458" s="2526"/>
      <c r="J458" s="2526"/>
      <c r="L458" s="2525">
        <v>0</v>
      </c>
      <c r="M458" s="2525"/>
      <c r="N458" s="2525">
        <v>0</v>
      </c>
      <c r="O458" s="2525"/>
      <c r="P458" s="2525">
        <v>2897.67</v>
      </c>
      <c r="Q458" s="2525"/>
      <c r="R458" s="2525">
        <v>2897.67</v>
      </c>
      <c r="S458" s="2525"/>
      <c r="T458" s="2525">
        <v>0</v>
      </c>
      <c r="U458" s="2525"/>
      <c r="V458" s="1961">
        <v>0</v>
      </c>
      <c r="W458" s="1962" t="s">
        <v>2453</v>
      </c>
    </row>
    <row r="459" spans="1:23" ht="11.25" customHeight="1" x14ac:dyDescent="0.2">
      <c r="A459" s="2526" t="s">
        <v>2851</v>
      </c>
      <c r="B459" s="2526"/>
      <c r="C459" s="2526"/>
      <c r="D459" s="2526"/>
      <c r="E459" s="2526"/>
      <c r="F459" s="1960" t="s">
        <v>2256</v>
      </c>
      <c r="G459" s="2526" t="s">
        <v>2852</v>
      </c>
      <c r="H459" s="2526"/>
      <c r="I459" s="2526"/>
      <c r="J459" s="2526"/>
      <c r="L459" s="2525">
        <v>0</v>
      </c>
      <c r="M459" s="2525"/>
      <c r="N459" s="2525">
        <v>0</v>
      </c>
      <c r="O459" s="2525"/>
      <c r="P459" s="2525">
        <v>4186.93</v>
      </c>
      <c r="Q459" s="2525"/>
      <c r="R459" s="2525">
        <v>4186.93</v>
      </c>
      <c r="S459" s="2525"/>
      <c r="T459" s="2525">
        <v>0</v>
      </c>
      <c r="U459" s="2525"/>
      <c r="V459" s="1961">
        <v>0</v>
      </c>
      <c r="W459" s="1962" t="s">
        <v>2453</v>
      </c>
    </row>
    <row r="460" spans="1:23" ht="11.25" customHeight="1" x14ac:dyDescent="0.2">
      <c r="A460" s="2526" t="s">
        <v>2851</v>
      </c>
      <c r="B460" s="2526"/>
      <c r="C460" s="2526"/>
      <c r="D460" s="2526"/>
      <c r="E460" s="2526"/>
      <c r="F460" s="1960" t="s">
        <v>2112</v>
      </c>
      <c r="G460" s="2526" t="s">
        <v>2853</v>
      </c>
      <c r="H460" s="2526"/>
      <c r="I460" s="2526"/>
      <c r="J460" s="2526"/>
      <c r="L460" s="2525">
        <v>0</v>
      </c>
      <c r="M460" s="2525"/>
      <c r="N460" s="2525">
        <v>0</v>
      </c>
      <c r="O460" s="2525"/>
      <c r="P460" s="2525">
        <v>0</v>
      </c>
      <c r="Q460" s="2525"/>
      <c r="R460" s="2525">
        <v>0</v>
      </c>
      <c r="S460" s="2525"/>
      <c r="T460" s="2525">
        <v>0</v>
      </c>
      <c r="U460" s="2525"/>
      <c r="V460" s="1961">
        <v>0</v>
      </c>
      <c r="W460" s="1962" t="s">
        <v>2453</v>
      </c>
    </row>
    <row r="461" spans="1:23" ht="11.25" customHeight="1" x14ac:dyDescent="0.2">
      <c r="A461" s="2526" t="s">
        <v>2854</v>
      </c>
      <c r="B461" s="2526"/>
      <c r="C461" s="2526"/>
      <c r="D461" s="2526"/>
      <c r="E461" s="2526"/>
      <c r="F461" s="1960" t="s">
        <v>2112</v>
      </c>
      <c r="G461" s="2526" t="s">
        <v>2855</v>
      </c>
      <c r="H461" s="2526"/>
      <c r="I461" s="2526"/>
      <c r="J461" s="2526"/>
      <c r="L461" s="2525">
        <v>0</v>
      </c>
      <c r="M461" s="2525"/>
      <c r="N461" s="2525">
        <v>0</v>
      </c>
      <c r="O461" s="2525"/>
      <c r="P461" s="2525">
        <v>287.67</v>
      </c>
      <c r="Q461" s="2525"/>
      <c r="R461" s="2525">
        <v>287.67</v>
      </c>
      <c r="S461" s="2525"/>
      <c r="T461" s="2525">
        <v>5000</v>
      </c>
      <c r="U461" s="2525"/>
      <c r="V461" s="1961">
        <v>5.7534000000000001</v>
      </c>
      <c r="W461" s="1962" t="s">
        <v>2453</v>
      </c>
    </row>
    <row r="462" spans="1:23" ht="11.25" customHeight="1" x14ac:dyDescent="0.2">
      <c r="A462" s="2526" t="s">
        <v>2854</v>
      </c>
      <c r="B462" s="2526"/>
      <c r="C462" s="2526"/>
      <c r="D462" s="2526"/>
      <c r="E462" s="2526"/>
      <c r="F462" s="1960" t="s">
        <v>2856</v>
      </c>
      <c r="G462" s="2526" t="s">
        <v>2857</v>
      </c>
      <c r="H462" s="2526"/>
      <c r="I462" s="2526"/>
      <c r="J462" s="2526"/>
      <c r="L462" s="2525">
        <v>0</v>
      </c>
      <c r="M462" s="2525"/>
      <c r="N462" s="2525">
        <v>0</v>
      </c>
      <c r="O462" s="2525"/>
      <c r="P462" s="2525">
        <v>0</v>
      </c>
      <c r="Q462" s="2525"/>
      <c r="R462" s="2525">
        <v>0</v>
      </c>
      <c r="S462" s="2525"/>
      <c r="T462" s="2525">
        <v>0</v>
      </c>
      <c r="U462" s="2525"/>
      <c r="V462" s="1961">
        <v>0</v>
      </c>
      <c r="W462" s="1962" t="s">
        <v>2453</v>
      </c>
    </row>
    <row r="463" spans="1:23" ht="11.25" customHeight="1" x14ac:dyDescent="0.2">
      <c r="A463" s="2526" t="s">
        <v>2854</v>
      </c>
      <c r="B463" s="2526"/>
      <c r="C463" s="2526"/>
      <c r="D463" s="2526"/>
      <c r="E463" s="2526"/>
      <c r="F463" s="1960" t="s">
        <v>2256</v>
      </c>
      <c r="G463" s="2526" t="s">
        <v>2858</v>
      </c>
      <c r="H463" s="2526"/>
      <c r="I463" s="2526"/>
      <c r="J463" s="2526"/>
      <c r="L463" s="2525">
        <v>0</v>
      </c>
      <c r="M463" s="2525"/>
      <c r="N463" s="2525">
        <v>0</v>
      </c>
      <c r="O463" s="2525"/>
      <c r="P463" s="2525">
        <v>0</v>
      </c>
      <c r="Q463" s="2525"/>
      <c r="R463" s="2525">
        <v>0</v>
      </c>
      <c r="S463" s="2525"/>
      <c r="T463" s="2525">
        <v>0</v>
      </c>
      <c r="U463" s="2525"/>
      <c r="V463" s="1961">
        <v>0</v>
      </c>
      <c r="W463" s="1962" t="s">
        <v>2453</v>
      </c>
    </row>
    <row r="464" spans="1:23" ht="11.25" customHeight="1" x14ac:dyDescent="0.2">
      <c r="A464" s="2526" t="s">
        <v>2859</v>
      </c>
      <c r="B464" s="2526"/>
      <c r="C464" s="2526"/>
      <c r="D464" s="2526"/>
      <c r="E464" s="2526"/>
      <c r="F464" s="1960" t="s">
        <v>2112</v>
      </c>
      <c r="G464" s="2526" t="s">
        <v>2860</v>
      </c>
      <c r="H464" s="2526"/>
      <c r="I464" s="2526"/>
      <c r="J464" s="2526"/>
      <c r="L464" s="2525">
        <v>0</v>
      </c>
      <c r="M464" s="2525"/>
      <c r="N464" s="2525">
        <v>0</v>
      </c>
      <c r="O464" s="2525"/>
      <c r="P464" s="2525">
        <v>0</v>
      </c>
      <c r="Q464" s="2525"/>
      <c r="R464" s="2525">
        <v>0</v>
      </c>
      <c r="S464" s="2525"/>
      <c r="T464" s="2525">
        <v>1000</v>
      </c>
      <c r="U464" s="2525"/>
      <c r="V464" s="1961">
        <v>0</v>
      </c>
      <c r="W464" s="1962" t="s">
        <v>2453</v>
      </c>
    </row>
    <row r="465" spans="1:23" ht="11.25" customHeight="1" x14ac:dyDescent="0.2">
      <c r="A465" s="2526" t="s">
        <v>2861</v>
      </c>
      <c r="B465" s="2526"/>
      <c r="C465" s="2526"/>
      <c r="D465" s="2526"/>
      <c r="E465" s="2526"/>
      <c r="F465" s="1960" t="s">
        <v>2233</v>
      </c>
      <c r="G465" s="2526" t="s">
        <v>2862</v>
      </c>
      <c r="H465" s="2526"/>
      <c r="I465" s="2526"/>
      <c r="J465" s="2526"/>
      <c r="L465" s="2525">
        <v>0</v>
      </c>
      <c r="M465" s="2525"/>
      <c r="N465" s="2525">
        <v>0</v>
      </c>
      <c r="O465" s="2525"/>
      <c r="P465" s="2525">
        <v>0</v>
      </c>
      <c r="Q465" s="2525"/>
      <c r="R465" s="2525">
        <v>0</v>
      </c>
      <c r="S465" s="2525"/>
      <c r="T465" s="2525">
        <v>0</v>
      </c>
      <c r="U465" s="2525"/>
      <c r="V465" s="1961">
        <v>0</v>
      </c>
      <c r="W465" s="1962" t="s">
        <v>2453</v>
      </c>
    </row>
    <row r="466" spans="1:23" ht="11.25" customHeight="1" x14ac:dyDescent="0.2">
      <c r="A466" s="2526" t="s">
        <v>2863</v>
      </c>
      <c r="B466" s="2526"/>
      <c r="C466" s="2526"/>
      <c r="D466" s="2526"/>
      <c r="E466" s="2526"/>
      <c r="F466" s="1960" t="s">
        <v>2112</v>
      </c>
      <c r="G466" s="2526" t="s">
        <v>2864</v>
      </c>
      <c r="H466" s="2526"/>
      <c r="I466" s="2526"/>
      <c r="J466" s="2526"/>
      <c r="L466" s="2525">
        <v>0</v>
      </c>
      <c r="M466" s="2525"/>
      <c r="N466" s="2525">
        <v>0</v>
      </c>
      <c r="O466" s="2525"/>
      <c r="P466" s="2525">
        <v>0</v>
      </c>
      <c r="Q466" s="2525"/>
      <c r="R466" s="2525">
        <v>0</v>
      </c>
      <c r="S466" s="2525"/>
      <c r="T466" s="2525">
        <v>250</v>
      </c>
      <c r="U466" s="2525"/>
      <c r="V466" s="1961">
        <v>0</v>
      </c>
      <c r="W466" s="1962" t="s">
        <v>2453</v>
      </c>
    </row>
    <row r="467" spans="1:23" ht="11.25" customHeight="1" x14ac:dyDescent="0.2">
      <c r="A467" s="2526" t="s">
        <v>2865</v>
      </c>
      <c r="B467" s="2526"/>
      <c r="C467" s="2526"/>
      <c r="D467" s="2526"/>
      <c r="E467" s="2526"/>
      <c r="F467" s="1960" t="s">
        <v>2112</v>
      </c>
      <c r="G467" s="2526" t="s">
        <v>2866</v>
      </c>
      <c r="H467" s="2526"/>
      <c r="I467" s="2526"/>
      <c r="J467" s="2526"/>
      <c r="L467" s="2525">
        <v>0</v>
      </c>
      <c r="M467" s="2525"/>
      <c r="N467" s="2525">
        <v>0</v>
      </c>
      <c r="O467" s="2525"/>
      <c r="P467" s="2525">
        <v>0</v>
      </c>
      <c r="Q467" s="2525"/>
      <c r="R467" s="2525">
        <v>0</v>
      </c>
      <c r="S467" s="2525"/>
      <c r="T467" s="2525">
        <v>0</v>
      </c>
      <c r="U467" s="2525"/>
      <c r="V467" s="1961">
        <v>0</v>
      </c>
      <c r="W467" s="1962" t="s">
        <v>2453</v>
      </c>
    </row>
    <row r="468" spans="1:23" ht="11.25" customHeight="1" x14ac:dyDescent="0.2">
      <c r="A468" s="2526" t="s">
        <v>2865</v>
      </c>
      <c r="B468" s="2526"/>
      <c r="C468" s="2526"/>
      <c r="D468" s="2526"/>
      <c r="E468" s="2526"/>
      <c r="F468" s="1960" t="s">
        <v>2856</v>
      </c>
      <c r="G468" s="2526" t="s">
        <v>2867</v>
      </c>
      <c r="H468" s="2526"/>
      <c r="I468" s="2526"/>
      <c r="J468" s="2526"/>
      <c r="L468" s="2525">
        <v>0</v>
      </c>
      <c r="M468" s="2525"/>
      <c r="N468" s="2525">
        <v>0</v>
      </c>
      <c r="O468" s="2525"/>
      <c r="P468" s="2525">
        <v>0</v>
      </c>
      <c r="Q468" s="2525"/>
      <c r="R468" s="2525">
        <v>0</v>
      </c>
      <c r="S468" s="2525"/>
      <c r="T468" s="2525">
        <v>0</v>
      </c>
      <c r="U468" s="2525"/>
      <c r="V468" s="1961">
        <v>0</v>
      </c>
      <c r="W468" s="1962" t="s">
        <v>2453</v>
      </c>
    </row>
    <row r="469" spans="1:23" ht="11.25" customHeight="1" x14ac:dyDescent="0.2">
      <c r="A469" s="2526" t="s">
        <v>2868</v>
      </c>
      <c r="B469" s="2526"/>
      <c r="C469" s="2526"/>
      <c r="D469" s="2526"/>
      <c r="E469" s="2526"/>
      <c r="F469" s="1960" t="s">
        <v>2112</v>
      </c>
      <c r="G469" s="2526" t="s">
        <v>2696</v>
      </c>
      <c r="H469" s="2526"/>
      <c r="I469" s="2526"/>
      <c r="J469" s="2526"/>
      <c r="L469" s="2525">
        <v>0</v>
      </c>
      <c r="M469" s="2525"/>
      <c r="N469" s="2525">
        <v>0</v>
      </c>
      <c r="O469" s="2525"/>
      <c r="P469" s="2525">
        <v>2720.43</v>
      </c>
      <c r="Q469" s="2525"/>
      <c r="R469" s="2525">
        <v>2720.43</v>
      </c>
      <c r="S469" s="2525"/>
      <c r="T469" s="2525">
        <v>3000</v>
      </c>
      <c r="U469" s="2525"/>
      <c r="V469" s="1961">
        <v>90.681000000000012</v>
      </c>
      <c r="W469" s="1962" t="s">
        <v>2453</v>
      </c>
    </row>
    <row r="470" spans="1:23" ht="11.25" customHeight="1" x14ac:dyDescent="0.2">
      <c r="A470" s="2526" t="s">
        <v>2869</v>
      </c>
      <c r="B470" s="2526"/>
      <c r="C470" s="2526"/>
      <c r="D470" s="2526"/>
      <c r="E470" s="2526"/>
      <c r="F470" s="1960" t="s">
        <v>2112</v>
      </c>
      <c r="G470" s="2526" t="s">
        <v>2870</v>
      </c>
      <c r="H470" s="2526"/>
      <c r="I470" s="2526"/>
      <c r="J470" s="2526"/>
      <c r="L470" s="2525">
        <v>0</v>
      </c>
      <c r="M470" s="2525"/>
      <c r="N470" s="2525">
        <v>0</v>
      </c>
      <c r="O470" s="2525"/>
      <c r="P470" s="2525">
        <v>0</v>
      </c>
      <c r="Q470" s="2525"/>
      <c r="R470" s="2525">
        <v>0</v>
      </c>
      <c r="S470" s="2525"/>
      <c r="T470" s="2525">
        <v>0</v>
      </c>
      <c r="U470" s="2525"/>
      <c r="V470" s="1961">
        <v>0</v>
      </c>
      <c r="W470" s="1962" t="s">
        <v>2453</v>
      </c>
    </row>
    <row r="471" spans="1:23" ht="11.25" customHeight="1" x14ac:dyDescent="0.2">
      <c r="A471" s="2526" t="s">
        <v>2871</v>
      </c>
      <c r="B471" s="2526"/>
      <c r="C471" s="2526"/>
      <c r="D471" s="2526"/>
      <c r="E471" s="2526"/>
      <c r="F471" s="1960" t="s">
        <v>2112</v>
      </c>
      <c r="G471" s="2526" t="s">
        <v>2872</v>
      </c>
      <c r="H471" s="2526"/>
      <c r="I471" s="2526"/>
      <c r="J471" s="2526"/>
      <c r="L471" s="2525">
        <v>0</v>
      </c>
      <c r="M471" s="2525"/>
      <c r="N471" s="2525">
        <v>0</v>
      </c>
      <c r="O471" s="2525"/>
      <c r="P471" s="2525">
        <v>0</v>
      </c>
      <c r="Q471" s="2525"/>
      <c r="R471" s="2525">
        <v>0</v>
      </c>
      <c r="S471" s="2525"/>
      <c r="T471" s="2525">
        <v>0</v>
      </c>
      <c r="U471" s="2525"/>
      <c r="V471" s="1961">
        <v>0</v>
      </c>
      <c r="W471" s="1962" t="s">
        <v>2453</v>
      </c>
    </row>
    <row r="472" spans="1:23" ht="11.25" customHeight="1" x14ac:dyDescent="0.2">
      <c r="A472" s="2526" t="s">
        <v>2873</v>
      </c>
      <c r="B472" s="2526"/>
      <c r="C472" s="2526"/>
      <c r="D472" s="2526"/>
      <c r="E472" s="2526"/>
      <c r="F472" s="1960" t="s">
        <v>2112</v>
      </c>
      <c r="G472" s="2526" t="s">
        <v>2874</v>
      </c>
      <c r="H472" s="2526"/>
      <c r="I472" s="2526"/>
      <c r="J472" s="2526"/>
      <c r="L472" s="2525">
        <v>0</v>
      </c>
      <c r="M472" s="2525"/>
      <c r="N472" s="2525">
        <v>0</v>
      </c>
      <c r="O472" s="2525"/>
      <c r="P472" s="2525">
        <v>240</v>
      </c>
      <c r="Q472" s="2525"/>
      <c r="R472" s="2525">
        <v>240</v>
      </c>
      <c r="S472" s="2525"/>
      <c r="T472" s="2525">
        <v>400</v>
      </c>
      <c r="U472" s="2525"/>
      <c r="V472" s="1961">
        <v>60</v>
      </c>
      <c r="W472" s="1962" t="s">
        <v>2453</v>
      </c>
    </row>
    <row r="473" spans="1:23" ht="11.25" customHeight="1" x14ac:dyDescent="0.2">
      <c r="A473" s="2526" t="s">
        <v>2875</v>
      </c>
      <c r="B473" s="2526"/>
      <c r="C473" s="2526"/>
      <c r="D473" s="2526"/>
      <c r="E473" s="2526"/>
      <c r="F473" s="1960" t="s">
        <v>2112</v>
      </c>
      <c r="G473" s="2526" t="s">
        <v>2876</v>
      </c>
      <c r="H473" s="2526"/>
      <c r="I473" s="2526"/>
      <c r="J473" s="2526"/>
      <c r="L473" s="2525">
        <v>0</v>
      </c>
      <c r="M473" s="2525"/>
      <c r="N473" s="2525">
        <v>0</v>
      </c>
      <c r="O473" s="2525"/>
      <c r="P473" s="2525">
        <v>0</v>
      </c>
      <c r="Q473" s="2525"/>
      <c r="R473" s="2525">
        <v>0</v>
      </c>
      <c r="S473" s="2525"/>
      <c r="T473" s="2525">
        <v>0</v>
      </c>
      <c r="U473" s="2525"/>
      <c r="V473" s="1961">
        <v>0</v>
      </c>
      <c r="W473" s="1962" t="s">
        <v>2453</v>
      </c>
    </row>
    <row r="474" spans="1:23" ht="11.25" customHeight="1" x14ac:dyDescent="0.2">
      <c r="A474" s="2526" t="s">
        <v>2877</v>
      </c>
      <c r="B474" s="2526"/>
      <c r="C474" s="2526"/>
      <c r="D474" s="2526"/>
      <c r="E474" s="2526"/>
      <c r="F474" s="1960" t="s">
        <v>2112</v>
      </c>
      <c r="G474" s="2526" t="s">
        <v>2878</v>
      </c>
      <c r="H474" s="2526"/>
      <c r="I474" s="2526"/>
      <c r="J474" s="2526"/>
      <c r="L474" s="2525">
        <v>0</v>
      </c>
      <c r="M474" s="2525"/>
      <c r="N474" s="2525">
        <v>0</v>
      </c>
      <c r="O474" s="2525"/>
      <c r="P474" s="2525">
        <v>5650</v>
      </c>
      <c r="Q474" s="2525"/>
      <c r="R474" s="2525">
        <v>5650</v>
      </c>
      <c r="S474" s="2525"/>
      <c r="T474" s="2525">
        <v>5800</v>
      </c>
      <c r="U474" s="2525"/>
      <c r="V474" s="1961">
        <v>97.413793103448285</v>
      </c>
      <c r="W474" s="1962" t="s">
        <v>2453</v>
      </c>
    </row>
    <row r="475" spans="1:23" ht="11.25" customHeight="1" x14ac:dyDescent="0.2">
      <c r="A475" s="2526" t="s">
        <v>2879</v>
      </c>
      <c r="B475" s="2526"/>
      <c r="C475" s="2526"/>
      <c r="D475" s="2526"/>
      <c r="E475" s="2526"/>
      <c r="F475" s="1960" t="s">
        <v>2112</v>
      </c>
      <c r="G475" s="2526" t="s">
        <v>2880</v>
      </c>
      <c r="H475" s="2526"/>
      <c r="I475" s="2526"/>
      <c r="J475" s="2526"/>
      <c r="L475" s="2525">
        <v>0</v>
      </c>
      <c r="M475" s="2525"/>
      <c r="N475" s="2525">
        <v>0</v>
      </c>
      <c r="O475" s="2525"/>
      <c r="P475" s="2525">
        <v>0</v>
      </c>
      <c r="Q475" s="2525"/>
      <c r="R475" s="2525">
        <v>0</v>
      </c>
      <c r="S475" s="2525"/>
      <c r="T475" s="2525">
        <v>0</v>
      </c>
      <c r="U475" s="2525"/>
      <c r="V475" s="1961">
        <v>0</v>
      </c>
      <c r="W475" s="1962" t="s">
        <v>2453</v>
      </c>
    </row>
    <row r="476" spans="1:23" ht="11.25" customHeight="1" x14ac:dyDescent="0.2">
      <c r="A476" s="2526" t="s">
        <v>2881</v>
      </c>
      <c r="B476" s="2526"/>
      <c r="C476" s="2526"/>
      <c r="D476" s="2526"/>
      <c r="E476" s="2526"/>
      <c r="F476" s="1960" t="s">
        <v>2112</v>
      </c>
      <c r="G476" s="2526" t="s">
        <v>2687</v>
      </c>
      <c r="H476" s="2526"/>
      <c r="I476" s="2526"/>
      <c r="J476" s="2526"/>
      <c r="L476" s="2525">
        <v>0</v>
      </c>
      <c r="M476" s="2525"/>
      <c r="N476" s="2525">
        <v>0</v>
      </c>
      <c r="O476" s="2525"/>
      <c r="P476" s="2525">
        <v>0</v>
      </c>
      <c r="Q476" s="2525"/>
      <c r="R476" s="2525">
        <v>0</v>
      </c>
      <c r="S476" s="2525"/>
      <c r="T476" s="2525">
        <v>200</v>
      </c>
      <c r="U476" s="2525"/>
      <c r="V476" s="1961">
        <v>0</v>
      </c>
      <c r="W476" s="1962" t="s">
        <v>2453</v>
      </c>
    </row>
    <row r="477" spans="1:23" ht="11.25" customHeight="1" x14ac:dyDescent="0.2">
      <c r="A477" s="2526" t="s">
        <v>2882</v>
      </c>
      <c r="B477" s="2526"/>
      <c r="C477" s="2526"/>
      <c r="D477" s="2526"/>
      <c r="E477" s="2526"/>
      <c r="F477" s="1960" t="s">
        <v>2112</v>
      </c>
      <c r="G477" s="2526" t="s">
        <v>2883</v>
      </c>
      <c r="H477" s="2526"/>
      <c r="I477" s="2526"/>
      <c r="J477" s="2526"/>
      <c r="L477" s="2525">
        <v>0</v>
      </c>
      <c r="M477" s="2525"/>
      <c r="N477" s="2525">
        <v>0</v>
      </c>
      <c r="O477" s="2525"/>
      <c r="P477" s="2525">
        <v>610.74</v>
      </c>
      <c r="Q477" s="2525"/>
      <c r="R477" s="2525">
        <v>610.74</v>
      </c>
      <c r="S477" s="2525"/>
      <c r="T477" s="2525">
        <v>800</v>
      </c>
      <c r="U477" s="2525"/>
      <c r="V477" s="1961">
        <v>76.342500000000001</v>
      </c>
      <c r="W477" s="1962" t="s">
        <v>2453</v>
      </c>
    </row>
    <row r="478" spans="1:23" ht="11.25" customHeight="1" x14ac:dyDescent="0.2">
      <c r="A478" s="2526" t="s">
        <v>2884</v>
      </c>
      <c r="B478" s="2526"/>
      <c r="C478" s="2526"/>
      <c r="D478" s="2526"/>
      <c r="E478" s="2526"/>
      <c r="F478" s="1960" t="s">
        <v>2112</v>
      </c>
      <c r="G478" s="2526" t="s">
        <v>2885</v>
      </c>
      <c r="H478" s="2526"/>
      <c r="I478" s="2526"/>
      <c r="J478" s="2526"/>
      <c r="L478" s="2525">
        <v>0</v>
      </c>
      <c r="M478" s="2525"/>
      <c r="N478" s="2525">
        <v>0</v>
      </c>
      <c r="O478" s="2525"/>
      <c r="P478" s="2525">
        <v>0</v>
      </c>
      <c r="Q478" s="2525"/>
      <c r="R478" s="2525">
        <v>0</v>
      </c>
      <c r="S478" s="2525"/>
      <c r="T478" s="2525">
        <v>0</v>
      </c>
      <c r="U478" s="2525"/>
      <c r="V478" s="1961">
        <v>0</v>
      </c>
      <c r="W478" s="1962" t="s">
        <v>2453</v>
      </c>
    </row>
    <row r="479" spans="1:23" ht="11.25" customHeight="1" x14ac:dyDescent="0.2">
      <c r="A479" s="2526" t="s">
        <v>2886</v>
      </c>
      <c r="B479" s="2526"/>
      <c r="C479" s="2526"/>
      <c r="D479" s="2526"/>
      <c r="E479" s="2526"/>
      <c r="F479" s="1960" t="s">
        <v>2112</v>
      </c>
      <c r="G479" s="2526" t="s">
        <v>2887</v>
      </c>
      <c r="H479" s="2526"/>
      <c r="I479" s="2526"/>
      <c r="J479" s="2526"/>
      <c r="L479" s="2525">
        <v>0</v>
      </c>
      <c r="M479" s="2525"/>
      <c r="N479" s="2525">
        <v>0</v>
      </c>
      <c r="O479" s="2525"/>
      <c r="P479" s="2525">
        <v>0</v>
      </c>
      <c r="Q479" s="2525"/>
      <c r="R479" s="2525">
        <v>0</v>
      </c>
      <c r="S479" s="2525"/>
      <c r="T479" s="2525">
        <v>0</v>
      </c>
      <c r="U479" s="2525"/>
      <c r="V479" s="1961">
        <v>0</v>
      </c>
      <c r="W479" s="1962" t="s">
        <v>2453</v>
      </c>
    </row>
    <row r="480" spans="1:23" ht="11.25" customHeight="1" x14ac:dyDescent="0.2">
      <c r="A480" s="2526" t="s">
        <v>2888</v>
      </c>
      <c r="B480" s="2526"/>
      <c r="C480" s="2526"/>
      <c r="D480" s="2526"/>
      <c r="E480" s="2526"/>
      <c r="F480" s="1960" t="s">
        <v>2112</v>
      </c>
      <c r="G480" s="2526" t="s">
        <v>2690</v>
      </c>
      <c r="H480" s="2526"/>
      <c r="I480" s="2526"/>
      <c r="J480" s="2526"/>
      <c r="L480" s="2525">
        <v>0</v>
      </c>
      <c r="M480" s="2525"/>
      <c r="N480" s="2525">
        <v>0</v>
      </c>
      <c r="O480" s="2525"/>
      <c r="P480" s="2525">
        <v>490.72</v>
      </c>
      <c r="Q480" s="2525"/>
      <c r="R480" s="2525">
        <v>490.72</v>
      </c>
      <c r="S480" s="2525"/>
      <c r="T480" s="2525">
        <v>700</v>
      </c>
      <c r="U480" s="2525"/>
      <c r="V480" s="1961">
        <v>70.102857142857147</v>
      </c>
      <c r="W480" s="1962" t="s">
        <v>2453</v>
      </c>
    </row>
    <row r="481" spans="1:23" ht="11.25" customHeight="1" x14ac:dyDescent="0.2">
      <c r="A481" s="2526" t="s">
        <v>2889</v>
      </c>
      <c r="B481" s="2526"/>
      <c r="C481" s="2526"/>
      <c r="D481" s="2526"/>
      <c r="E481" s="2526"/>
      <c r="F481" s="1960" t="s">
        <v>2112</v>
      </c>
      <c r="G481" s="2526" t="s">
        <v>2156</v>
      </c>
      <c r="H481" s="2526"/>
      <c r="I481" s="2526"/>
      <c r="J481" s="2526"/>
      <c r="L481" s="2525">
        <v>0</v>
      </c>
      <c r="M481" s="2525"/>
      <c r="N481" s="2525">
        <v>0</v>
      </c>
      <c r="O481" s="2525"/>
      <c r="P481" s="2525">
        <v>594.20000000000005</v>
      </c>
      <c r="Q481" s="2525"/>
      <c r="R481" s="2525">
        <v>594.20000000000005</v>
      </c>
      <c r="S481" s="2525"/>
      <c r="T481" s="2525">
        <v>900</v>
      </c>
      <c r="U481" s="2525"/>
      <c r="V481" s="1961">
        <v>66.022222222222226</v>
      </c>
      <c r="W481" s="1962" t="s">
        <v>2453</v>
      </c>
    </row>
    <row r="482" spans="1:23" ht="11.25" customHeight="1" x14ac:dyDescent="0.2">
      <c r="A482" s="2526" t="s">
        <v>2890</v>
      </c>
      <c r="B482" s="2526"/>
      <c r="C482" s="2526"/>
      <c r="D482" s="2526"/>
      <c r="E482" s="2526"/>
      <c r="F482" s="1960" t="s">
        <v>2112</v>
      </c>
      <c r="G482" s="2526" t="s">
        <v>2696</v>
      </c>
      <c r="H482" s="2526"/>
      <c r="I482" s="2526"/>
      <c r="J482" s="2526"/>
      <c r="L482" s="2525">
        <v>0</v>
      </c>
      <c r="M482" s="2525"/>
      <c r="N482" s="2525">
        <v>0</v>
      </c>
      <c r="O482" s="2525"/>
      <c r="P482" s="2525">
        <v>8033.24</v>
      </c>
      <c r="Q482" s="2525"/>
      <c r="R482" s="2525">
        <v>8033.24</v>
      </c>
      <c r="S482" s="2525"/>
      <c r="T482" s="2525">
        <v>16000</v>
      </c>
      <c r="U482" s="2525"/>
      <c r="V482" s="1961">
        <v>50.207749999999997</v>
      </c>
      <c r="W482" s="1962" t="s">
        <v>2453</v>
      </c>
    </row>
    <row r="483" spans="1:23" ht="11.25" customHeight="1" x14ac:dyDescent="0.2">
      <c r="A483" s="2526" t="s">
        <v>2891</v>
      </c>
      <c r="B483" s="2526"/>
      <c r="C483" s="2526"/>
      <c r="D483" s="2526"/>
      <c r="E483" s="2526"/>
      <c r="F483" s="1960" t="s">
        <v>2112</v>
      </c>
      <c r="G483" s="2526" t="s">
        <v>2156</v>
      </c>
      <c r="H483" s="2526"/>
      <c r="I483" s="2526"/>
      <c r="J483" s="2526"/>
      <c r="L483" s="2525">
        <v>0</v>
      </c>
      <c r="M483" s="2525"/>
      <c r="N483" s="2525">
        <v>0</v>
      </c>
      <c r="O483" s="2525"/>
      <c r="P483" s="2525">
        <v>678.14</v>
      </c>
      <c r="Q483" s="2525"/>
      <c r="R483" s="2525">
        <v>678.14</v>
      </c>
      <c r="S483" s="2525"/>
      <c r="T483" s="2525">
        <v>2000</v>
      </c>
      <c r="U483" s="2525"/>
      <c r="V483" s="1961">
        <v>33.906999999999996</v>
      </c>
      <c r="W483" s="1962" t="s">
        <v>2453</v>
      </c>
    </row>
    <row r="484" spans="1:23" ht="11.25" customHeight="1" x14ac:dyDescent="0.2">
      <c r="A484" s="2526" t="s">
        <v>2892</v>
      </c>
      <c r="B484" s="2526"/>
      <c r="C484" s="2526"/>
      <c r="D484" s="2526"/>
      <c r="E484" s="2526"/>
      <c r="F484" s="1960" t="s">
        <v>2112</v>
      </c>
      <c r="G484" s="2526" t="s">
        <v>2893</v>
      </c>
      <c r="H484" s="2526"/>
      <c r="I484" s="2526"/>
      <c r="J484" s="2526"/>
      <c r="L484" s="2525">
        <v>0</v>
      </c>
      <c r="M484" s="2525"/>
      <c r="N484" s="2525">
        <v>0</v>
      </c>
      <c r="O484" s="2525"/>
      <c r="P484" s="2525">
        <v>1920</v>
      </c>
      <c r="Q484" s="2525"/>
      <c r="R484" s="2525">
        <v>1920</v>
      </c>
      <c r="S484" s="2525"/>
      <c r="T484" s="2525">
        <v>1920</v>
      </c>
      <c r="U484" s="2525"/>
      <c r="V484" s="1961">
        <v>100</v>
      </c>
      <c r="W484" s="1962" t="s">
        <v>2453</v>
      </c>
    </row>
    <row r="485" spans="1:23" ht="11.25" customHeight="1" x14ac:dyDescent="0.2">
      <c r="A485" s="2526" t="s">
        <v>2894</v>
      </c>
      <c r="B485" s="2526"/>
      <c r="C485" s="2526"/>
      <c r="D485" s="2526"/>
      <c r="E485" s="2526"/>
      <c r="F485" s="1960" t="s">
        <v>2112</v>
      </c>
      <c r="G485" s="2526" t="s">
        <v>2895</v>
      </c>
      <c r="H485" s="2526"/>
      <c r="I485" s="2526"/>
      <c r="J485" s="2526"/>
      <c r="L485" s="2525">
        <v>0</v>
      </c>
      <c r="M485" s="2525"/>
      <c r="N485" s="2525">
        <v>0</v>
      </c>
      <c r="O485" s="2525"/>
      <c r="P485" s="2525">
        <v>385</v>
      </c>
      <c r="Q485" s="2525"/>
      <c r="R485" s="2525">
        <v>385</v>
      </c>
      <c r="S485" s="2525"/>
      <c r="T485" s="2525">
        <v>500</v>
      </c>
      <c r="U485" s="2525"/>
      <c r="V485" s="1961">
        <v>77</v>
      </c>
      <c r="W485" s="1962" t="s">
        <v>2453</v>
      </c>
    </row>
    <row r="486" spans="1:23" ht="11.25" customHeight="1" x14ac:dyDescent="0.2">
      <c r="A486" s="2526" t="s">
        <v>2896</v>
      </c>
      <c r="B486" s="2526"/>
      <c r="C486" s="2526"/>
      <c r="D486" s="2526"/>
      <c r="E486" s="2526"/>
      <c r="F486" s="1960" t="s">
        <v>2112</v>
      </c>
      <c r="G486" s="2526" t="s">
        <v>2897</v>
      </c>
      <c r="H486" s="2526"/>
      <c r="I486" s="2526"/>
      <c r="J486" s="2526"/>
      <c r="L486" s="2525">
        <v>0</v>
      </c>
      <c r="M486" s="2525"/>
      <c r="N486" s="2525">
        <v>0</v>
      </c>
      <c r="O486" s="2525"/>
      <c r="P486" s="2525">
        <v>0</v>
      </c>
      <c r="Q486" s="2525"/>
      <c r="R486" s="2525">
        <v>0</v>
      </c>
      <c r="S486" s="2525"/>
      <c r="T486" s="2525">
        <v>50</v>
      </c>
      <c r="U486" s="2525"/>
      <c r="V486" s="1961">
        <v>0</v>
      </c>
      <c r="W486" s="1962" t="s">
        <v>2453</v>
      </c>
    </row>
    <row r="487" spans="1:23" ht="11.25" customHeight="1" x14ac:dyDescent="0.2">
      <c r="A487" s="2526" t="s">
        <v>2898</v>
      </c>
      <c r="B487" s="2526"/>
      <c r="C487" s="2526"/>
      <c r="D487" s="2526"/>
      <c r="E487" s="2526"/>
      <c r="F487" s="1960" t="s">
        <v>2112</v>
      </c>
      <c r="G487" s="2526" t="s">
        <v>2899</v>
      </c>
      <c r="H487" s="2526"/>
      <c r="I487" s="2526"/>
      <c r="J487" s="2526"/>
      <c r="L487" s="2525">
        <v>0</v>
      </c>
      <c r="M487" s="2525"/>
      <c r="N487" s="2525">
        <v>0</v>
      </c>
      <c r="O487" s="2525"/>
      <c r="P487" s="2525">
        <v>77139.91</v>
      </c>
      <c r="Q487" s="2525"/>
      <c r="R487" s="2525">
        <v>77139.91</v>
      </c>
      <c r="S487" s="2525"/>
      <c r="T487" s="2525">
        <v>83485</v>
      </c>
      <c r="U487" s="2525"/>
      <c r="V487" s="1961">
        <v>92.399724501407434</v>
      </c>
      <c r="W487" s="1962" t="s">
        <v>2453</v>
      </c>
    </row>
    <row r="488" spans="1:23" ht="11.25" customHeight="1" x14ac:dyDescent="0.2">
      <c r="A488" s="2526" t="s">
        <v>2898</v>
      </c>
      <c r="B488" s="2526"/>
      <c r="C488" s="2526"/>
      <c r="D488" s="2526"/>
      <c r="E488" s="2526"/>
      <c r="F488" s="1960" t="s">
        <v>2212</v>
      </c>
      <c r="G488" s="2526" t="s">
        <v>2900</v>
      </c>
      <c r="H488" s="2526"/>
      <c r="I488" s="2526"/>
      <c r="J488" s="2526"/>
      <c r="L488" s="2525">
        <v>0</v>
      </c>
      <c r="M488" s="2525"/>
      <c r="N488" s="2525">
        <v>0</v>
      </c>
      <c r="O488" s="2525"/>
      <c r="P488" s="2525">
        <v>0</v>
      </c>
      <c r="Q488" s="2525"/>
      <c r="R488" s="2525">
        <v>0</v>
      </c>
      <c r="S488" s="2525"/>
      <c r="T488" s="2525">
        <v>0</v>
      </c>
      <c r="U488" s="2525"/>
      <c r="V488" s="1961">
        <v>0</v>
      </c>
      <c r="W488" s="1962" t="s">
        <v>2453</v>
      </c>
    </row>
    <row r="489" spans="1:23" ht="11.25" customHeight="1" x14ac:dyDescent="0.2">
      <c r="A489" s="2526" t="s">
        <v>2901</v>
      </c>
      <c r="B489" s="2526"/>
      <c r="C489" s="2526"/>
      <c r="D489" s="2526"/>
      <c r="E489" s="2526"/>
      <c r="F489" s="1960" t="s">
        <v>2112</v>
      </c>
      <c r="G489" s="2526" t="s">
        <v>2902</v>
      </c>
      <c r="H489" s="2526"/>
      <c r="I489" s="2526"/>
      <c r="J489" s="2526"/>
      <c r="L489" s="2525">
        <v>0</v>
      </c>
      <c r="M489" s="2525"/>
      <c r="N489" s="2525">
        <v>0</v>
      </c>
      <c r="O489" s="2525"/>
      <c r="P489" s="2525">
        <v>0</v>
      </c>
      <c r="Q489" s="2525"/>
      <c r="R489" s="2525">
        <v>0</v>
      </c>
      <c r="S489" s="2525"/>
      <c r="T489" s="2525">
        <v>0</v>
      </c>
      <c r="U489" s="2525"/>
      <c r="V489" s="1961">
        <v>0</v>
      </c>
      <c r="W489" s="1962" t="s">
        <v>2453</v>
      </c>
    </row>
    <row r="490" spans="1:23" ht="11.25" customHeight="1" x14ac:dyDescent="0.2">
      <c r="A490" s="2526" t="s">
        <v>2903</v>
      </c>
      <c r="B490" s="2526"/>
      <c r="C490" s="2526"/>
      <c r="D490" s="2526"/>
      <c r="E490" s="2526"/>
      <c r="F490" s="1960" t="s">
        <v>2112</v>
      </c>
      <c r="G490" s="2526" t="s">
        <v>2904</v>
      </c>
      <c r="H490" s="2526"/>
      <c r="I490" s="2526"/>
      <c r="J490" s="2526"/>
      <c r="L490" s="2525">
        <v>0</v>
      </c>
      <c r="M490" s="2525"/>
      <c r="N490" s="2525">
        <v>0</v>
      </c>
      <c r="O490" s="2525"/>
      <c r="P490" s="2525">
        <v>15000</v>
      </c>
      <c r="Q490" s="2525"/>
      <c r="R490" s="2525">
        <v>15000</v>
      </c>
      <c r="S490" s="2525"/>
      <c r="T490" s="2525">
        <v>15000</v>
      </c>
      <c r="U490" s="2525"/>
      <c r="V490" s="1961">
        <v>100</v>
      </c>
      <c r="W490" s="1962" t="s">
        <v>2453</v>
      </c>
    </row>
    <row r="491" spans="1:23" ht="11.25" customHeight="1" x14ac:dyDescent="0.2">
      <c r="A491" s="2526" t="s">
        <v>2903</v>
      </c>
      <c r="B491" s="2526"/>
      <c r="C491" s="2526"/>
      <c r="D491" s="2526"/>
      <c r="E491" s="2526"/>
      <c r="F491" s="1960" t="s">
        <v>2212</v>
      </c>
      <c r="G491" s="2526" t="s">
        <v>2905</v>
      </c>
      <c r="H491" s="2526"/>
      <c r="I491" s="2526"/>
      <c r="J491" s="2526"/>
      <c r="L491" s="2525">
        <v>0</v>
      </c>
      <c r="M491" s="2525"/>
      <c r="N491" s="2525">
        <v>0</v>
      </c>
      <c r="O491" s="2525"/>
      <c r="P491" s="2525">
        <v>0</v>
      </c>
      <c r="Q491" s="2525"/>
      <c r="R491" s="2525">
        <v>0</v>
      </c>
      <c r="S491" s="2525"/>
      <c r="T491" s="2525">
        <v>0</v>
      </c>
      <c r="U491" s="2525"/>
      <c r="V491" s="1961">
        <v>0</v>
      </c>
      <c r="W491" s="1962" t="s">
        <v>2453</v>
      </c>
    </row>
    <row r="492" spans="1:23" ht="11.25" customHeight="1" x14ac:dyDescent="0.2">
      <c r="A492" s="2526" t="s">
        <v>2906</v>
      </c>
      <c r="B492" s="2526"/>
      <c r="C492" s="2526"/>
      <c r="D492" s="2526"/>
      <c r="E492" s="2526"/>
      <c r="F492" s="1960" t="s">
        <v>2112</v>
      </c>
      <c r="G492" s="2526" t="s">
        <v>2907</v>
      </c>
      <c r="H492" s="2526"/>
      <c r="I492" s="2526"/>
      <c r="J492" s="2526"/>
      <c r="L492" s="2525">
        <v>0</v>
      </c>
      <c r="M492" s="2525"/>
      <c r="N492" s="2525">
        <v>0</v>
      </c>
      <c r="O492" s="2525"/>
      <c r="P492" s="2525">
        <v>0</v>
      </c>
      <c r="Q492" s="2525"/>
      <c r="R492" s="2525">
        <v>0</v>
      </c>
      <c r="S492" s="2525"/>
      <c r="T492" s="2525">
        <v>0</v>
      </c>
      <c r="U492" s="2525"/>
      <c r="V492" s="1961">
        <v>0</v>
      </c>
      <c r="W492" s="1962" t="s">
        <v>2453</v>
      </c>
    </row>
    <row r="493" spans="1:23" ht="11.25" customHeight="1" x14ac:dyDescent="0.2">
      <c r="A493" s="2526" t="s">
        <v>2908</v>
      </c>
      <c r="B493" s="2526"/>
      <c r="C493" s="2526"/>
      <c r="D493" s="2526"/>
      <c r="E493" s="2526"/>
      <c r="F493" s="1960" t="s">
        <v>2112</v>
      </c>
      <c r="G493" s="2526" t="s">
        <v>2909</v>
      </c>
      <c r="H493" s="2526"/>
      <c r="I493" s="2526"/>
      <c r="J493" s="2526"/>
      <c r="L493" s="2525">
        <v>0</v>
      </c>
      <c r="M493" s="2525"/>
      <c r="N493" s="2525">
        <v>0</v>
      </c>
      <c r="O493" s="2525"/>
      <c r="P493" s="2525">
        <v>0</v>
      </c>
      <c r="Q493" s="2525"/>
      <c r="R493" s="2525">
        <v>0</v>
      </c>
      <c r="S493" s="2525"/>
      <c r="T493" s="2525">
        <v>0</v>
      </c>
      <c r="U493" s="2525"/>
      <c r="V493" s="1961">
        <v>0</v>
      </c>
      <c r="W493" s="1962" t="s">
        <v>2453</v>
      </c>
    </row>
    <row r="494" spans="1:23" ht="11.25" customHeight="1" x14ac:dyDescent="0.2">
      <c r="A494" s="2526" t="s">
        <v>2910</v>
      </c>
      <c r="B494" s="2526"/>
      <c r="C494" s="2526"/>
      <c r="D494" s="2526"/>
      <c r="E494" s="2526"/>
      <c r="F494" s="1960" t="s">
        <v>2112</v>
      </c>
      <c r="G494" s="2526" t="s">
        <v>2911</v>
      </c>
      <c r="H494" s="2526"/>
      <c r="I494" s="2526"/>
      <c r="J494" s="2526"/>
      <c r="L494" s="2525">
        <v>0</v>
      </c>
      <c r="M494" s="2525"/>
      <c r="N494" s="2525">
        <v>0</v>
      </c>
      <c r="O494" s="2525"/>
      <c r="P494" s="2525">
        <v>0</v>
      </c>
      <c r="Q494" s="2525"/>
      <c r="R494" s="2525">
        <v>0</v>
      </c>
      <c r="S494" s="2525"/>
      <c r="T494" s="2525">
        <v>0</v>
      </c>
      <c r="U494" s="2525"/>
      <c r="V494" s="1961">
        <v>0</v>
      </c>
      <c r="W494" s="1962" t="s">
        <v>2453</v>
      </c>
    </row>
    <row r="495" spans="1:23" ht="11.25" customHeight="1" x14ac:dyDescent="0.2">
      <c r="A495" s="2526" t="s">
        <v>2910</v>
      </c>
      <c r="B495" s="2526"/>
      <c r="C495" s="2526"/>
      <c r="D495" s="2526"/>
      <c r="E495" s="2526"/>
      <c r="F495" s="1960" t="s">
        <v>2212</v>
      </c>
      <c r="G495" s="2526" t="s">
        <v>2912</v>
      </c>
      <c r="H495" s="2526"/>
      <c r="I495" s="2526"/>
      <c r="J495" s="2526"/>
      <c r="L495" s="2525">
        <v>0</v>
      </c>
      <c r="M495" s="2525"/>
      <c r="N495" s="2525">
        <v>0</v>
      </c>
      <c r="O495" s="2525"/>
      <c r="P495" s="2525">
        <v>0</v>
      </c>
      <c r="Q495" s="2525"/>
      <c r="R495" s="2525">
        <v>0</v>
      </c>
      <c r="S495" s="2525"/>
      <c r="T495" s="2525">
        <v>0</v>
      </c>
      <c r="U495" s="2525"/>
      <c r="V495" s="1961">
        <v>0</v>
      </c>
      <c r="W495" s="1962" t="s">
        <v>2453</v>
      </c>
    </row>
    <row r="496" spans="1:23" ht="11.25" customHeight="1" x14ac:dyDescent="0.2">
      <c r="A496" s="2526" t="s">
        <v>2913</v>
      </c>
      <c r="B496" s="2526"/>
      <c r="C496" s="2526"/>
      <c r="D496" s="2526"/>
      <c r="E496" s="2526"/>
      <c r="F496" s="1960" t="s">
        <v>2112</v>
      </c>
      <c r="G496" s="2526" t="s">
        <v>2675</v>
      </c>
      <c r="H496" s="2526"/>
      <c r="I496" s="2526"/>
      <c r="J496" s="2526"/>
      <c r="L496" s="2525">
        <v>0</v>
      </c>
      <c r="M496" s="2525"/>
      <c r="N496" s="2525">
        <v>0</v>
      </c>
      <c r="O496" s="2525"/>
      <c r="P496" s="2525">
        <v>423.36</v>
      </c>
      <c r="Q496" s="2525"/>
      <c r="R496" s="2525">
        <v>423.36</v>
      </c>
      <c r="S496" s="2525"/>
      <c r="T496" s="2525">
        <v>440</v>
      </c>
      <c r="U496" s="2525"/>
      <c r="V496" s="1961">
        <v>96.218181818181819</v>
      </c>
      <c r="W496" s="1962" t="s">
        <v>2453</v>
      </c>
    </row>
    <row r="497" spans="1:23" ht="11.25" customHeight="1" x14ac:dyDescent="0.2">
      <c r="A497" s="2526" t="s">
        <v>2913</v>
      </c>
      <c r="B497" s="2526"/>
      <c r="C497" s="2526"/>
      <c r="D497" s="2526"/>
      <c r="E497" s="2526"/>
      <c r="F497" s="1960" t="s">
        <v>2212</v>
      </c>
      <c r="G497" s="2526" t="s">
        <v>2914</v>
      </c>
      <c r="H497" s="2526"/>
      <c r="I497" s="2526"/>
      <c r="J497" s="2526"/>
      <c r="L497" s="2525">
        <v>0</v>
      </c>
      <c r="M497" s="2525"/>
      <c r="N497" s="2525">
        <v>0</v>
      </c>
      <c r="O497" s="2525"/>
      <c r="P497" s="2525">
        <v>0</v>
      </c>
      <c r="Q497" s="2525"/>
      <c r="R497" s="2525">
        <v>0</v>
      </c>
      <c r="S497" s="2525"/>
      <c r="T497" s="2525">
        <v>0</v>
      </c>
      <c r="U497" s="2525"/>
      <c r="V497" s="1961">
        <v>0</v>
      </c>
      <c r="W497" s="1962" t="s">
        <v>2453</v>
      </c>
    </row>
    <row r="498" spans="1:23" ht="11.25" customHeight="1" x14ac:dyDescent="0.2">
      <c r="A498" s="2526" t="s">
        <v>2915</v>
      </c>
      <c r="B498" s="2526"/>
      <c r="C498" s="2526"/>
      <c r="D498" s="2526"/>
      <c r="E498" s="2526"/>
      <c r="F498" s="1960" t="s">
        <v>2112</v>
      </c>
      <c r="G498" s="2526" t="s">
        <v>2916</v>
      </c>
      <c r="H498" s="2526"/>
      <c r="I498" s="2526"/>
      <c r="J498" s="2526"/>
      <c r="L498" s="2525">
        <v>0</v>
      </c>
      <c r="M498" s="2525"/>
      <c r="N498" s="2525">
        <v>0</v>
      </c>
      <c r="O498" s="2525"/>
      <c r="P498" s="2525">
        <v>46</v>
      </c>
      <c r="Q498" s="2525"/>
      <c r="R498" s="2525">
        <v>46</v>
      </c>
      <c r="S498" s="2525"/>
      <c r="T498" s="2525">
        <v>48</v>
      </c>
      <c r="U498" s="2525"/>
      <c r="V498" s="1961">
        <v>95.833333333333329</v>
      </c>
      <c r="W498" s="1962" t="s">
        <v>2453</v>
      </c>
    </row>
    <row r="499" spans="1:23" ht="11.25" customHeight="1" x14ac:dyDescent="0.2">
      <c r="A499" s="2526" t="s">
        <v>2915</v>
      </c>
      <c r="B499" s="2526"/>
      <c r="C499" s="2526"/>
      <c r="D499" s="2526"/>
      <c r="E499" s="2526"/>
      <c r="F499" s="1960" t="s">
        <v>2212</v>
      </c>
      <c r="G499" s="2526" t="s">
        <v>2917</v>
      </c>
      <c r="H499" s="2526"/>
      <c r="I499" s="2526"/>
      <c r="J499" s="2526"/>
      <c r="L499" s="2525">
        <v>0</v>
      </c>
      <c r="M499" s="2525"/>
      <c r="N499" s="2525">
        <v>0</v>
      </c>
      <c r="O499" s="2525"/>
      <c r="P499" s="2525">
        <v>0</v>
      </c>
      <c r="Q499" s="2525"/>
      <c r="R499" s="2525">
        <v>0</v>
      </c>
      <c r="S499" s="2525"/>
      <c r="T499" s="2525">
        <v>0</v>
      </c>
      <c r="U499" s="2525"/>
      <c r="V499" s="1961">
        <v>0</v>
      </c>
      <c r="W499" s="1962" t="s">
        <v>2453</v>
      </c>
    </row>
    <row r="500" spans="1:23" ht="11.25" customHeight="1" x14ac:dyDescent="0.2">
      <c r="A500" s="2526" t="s">
        <v>2918</v>
      </c>
      <c r="B500" s="2526"/>
      <c r="C500" s="2526"/>
      <c r="D500" s="2526"/>
      <c r="E500" s="2526"/>
      <c r="F500" s="1960" t="s">
        <v>2112</v>
      </c>
      <c r="G500" s="2526" t="s">
        <v>2772</v>
      </c>
      <c r="H500" s="2526"/>
      <c r="I500" s="2526"/>
      <c r="J500" s="2526"/>
      <c r="L500" s="2525">
        <v>0</v>
      </c>
      <c r="M500" s="2525"/>
      <c r="N500" s="2525">
        <v>0</v>
      </c>
      <c r="O500" s="2525"/>
      <c r="P500" s="2525">
        <v>7085.88</v>
      </c>
      <c r="Q500" s="2525"/>
      <c r="R500" s="2525">
        <v>7085.88</v>
      </c>
      <c r="S500" s="2525"/>
      <c r="T500" s="2525">
        <v>6500</v>
      </c>
      <c r="U500" s="2525"/>
      <c r="V500" s="1961">
        <v>109.01353846153847</v>
      </c>
      <c r="W500" s="1962" t="s">
        <v>2453</v>
      </c>
    </row>
    <row r="501" spans="1:23" ht="11.25" customHeight="1" x14ac:dyDescent="0.2">
      <c r="A501" s="2526" t="s">
        <v>2918</v>
      </c>
      <c r="B501" s="2526"/>
      <c r="C501" s="2526"/>
      <c r="D501" s="2526"/>
      <c r="E501" s="2526"/>
      <c r="F501" s="1960" t="s">
        <v>2212</v>
      </c>
      <c r="G501" s="2526" t="s">
        <v>2919</v>
      </c>
      <c r="H501" s="2526"/>
      <c r="I501" s="2526"/>
      <c r="J501" s="2526"/>
      <c r="L501" s="2525">
        <v>0</v>
      </c>
      <c r="M501" s="2525"/>
      <c r="N501" s="2525">
        <v>0</v>
      </c>
      <c r="O501" s="2525"/>
      <c r="P501" s="2525">
        <v>0</v>
      </c>
      <c r="Q501" s="2525"/>
      <c r="R501" s="2525">
        <v>0</v>
      </c>
      <c r="S501" s="2525"/>
      <c r="T501" s="2525">
        <v>0</v>
      </c>
      <c r="U501" s="2525"/>
      <c r="V501" s="1961">
        <v>0</v>
      </c>
      <c r="W501" s="1962" t="s">
        <v>2453</v>
      </c>
    </row>
    <row r="502" spans="1:23" ht="11.25" customHeight="1" x14ac:dyDescent="0.2">
      <c r="A502" s="2526" t="s">
        <v>2920</v>
      </c>
      <c r="B502" s="2526"/>
      <c r="C502" s="2526"/>
      <c r="D502" s="2526"/>
      <c r="E502" s="2526"/>
      <c r="F502" s="1960" t="s">
        <v>2112</v>
      </c>
      <c r="G502" s="2526" t="s">
        <v>2921</v>
      </c>
      <c r="H502" s="2526"/>
      <c r="I502" s="2526"/>
      <c r="J502" s="2526"/>
      <c r="L502" s="2525">
        <v>0</v>
      </c>
      <c r="M502" s="2525"/>
      <c r="N502" s="2525">
        <v>0</v>
      </c>
      <c r="O502" s="2525"/>
      <c r="P502" s="2525">
        <v>0</v>
      </c>
      <c r="Q502" s="2525"/>
      <c r="R502" s="2525">
        <v>0</v>
      </c>
      <c r="S502" s="2525"/>
      <c r="T502" s="2525">
        <v>0</v>
      </c>
      <c r="U502" s="2525"/>
      <c r="V502" s="1961">
        <v>0</v>
      </c>
      <c r="W502" s="1962" t="s">
        <v>2453</v>
      </c>
    </row>
    <row r="503" spans="1:23" ht="11.25" customHeight="1" x14ac:dyDescent="0.2">
      <c r="A503" s="2526" t="s">
        <v>2920</v>
      </c>
      <c r="B503" s="2526"/>
      <c r="C503" s="2526"/>
      <c r="D503" s="2526"/>
      <c r="E503" s="2526"/>
      <c r="F503" s="1960" t="s">
        <v>2212</v>
      </c>
      <c r="G503" s="2526" t="s">
        <v>2922</v>
      </c>
      <c r="H503" s="2526"/>
      <c r="I503" s="2526"/>
      <c r="J503" s="2526"/>
      <c r="L503" s="2525">
        <v>0</v>
      </c>
      <c r="M503" s="2525"/>
      <c r="N503" s="2525">
        <v>0</v>
      </c>
      <c r="O503" s="2525"/>
      <c r="P503" s="2525">
        <v>0</v>
      </c>
      <c r="Q503" s="2525"/>
      <c r="R503" s="2525">
        <v>0</v>
      </c>
      <c r="S503" s="2525"/>
      <c r="T503" s="2525">
        <v>0</v>
      </c>
      <c r="U503" s="2525"/>
      <c r="V503" s="1961">
        <v>0</v>
      </c>
      <c r="W503" s="1962" t="s">
        <v>2453</v>
      </c>
    </row>
    <row r="504" spans="1:23" ht="11.25" customHeight="1" x14ac:dyDescent="0.2">
      <c r="A504" s="2526" t="s">
        <v>2923</v>
      </c>
      <c r="B504" s="2526"/>
      <c r="C504" s="2526"/>
      <c r="D504" s="2526"/>
      <c r="E504" s="2526"/>
      <c r="F504" s="1960" t="s">
        <v>2112</v>
      </c>
      <c r="G504" s="2526" t="s">
        <v>2924</v>
      </c>
      <c r="H504" s="2526"/>
      <c r="I504" s="2526"/>
      <c r="J504" s="2526"/>
      <c r="L504" s="2525">
        <v>0</v>
      </c>
      <c r="M504" s="2525"/>
      <c r="N504" s="2525">
        <v>0</v>
      </c>
      <c r="O504" s="2525"/>
      <c r="P504" s="2525">
        <v>0</v>
      </c>
      <c r="Q504" s="2525"/>
      <c r="R504" s="2525">
        <v>0</v>
      </c>
      <c r="S504" s="2525"/>
      <c r="T504" s="2525">
        <v>0</v>
      </c>
      <c r="U504" s="2525"/>
      <c r="V504" s="1961">
        <v>0</v>
      </c>
      <c r="W504" s="1962" t="s">
        <v>2453</v>
      </c>
    </row>
    <row r="505" spans="1:23" ht="11.25" customHeight="1" x14ac:dyDescent="0.2">
      <c r="A505" s="2526" t="s">
        <v>2925</v>
      </c>
      <c r="B505" s="2526"/>
      <c r="C505" s="2526"/>
      <c r="D505" s="2526"/>
      <c r="E505" s="2526"/>
      <c r="F505" s="1960" t="s">
        <v>2112</v>
      </c>
      <c r="G505" s="2526" t="s">
        <v>2683</v>
      </c>
      <c r="H505" s="2526"/>
      <c r="I505" s="2526"/>
      <c r="J505" s="2526"/>
      <c r="L505" s="2525">
        <v>0</v>
      </c>
      <c r="M505" s="2525"/>
      <c r="N505" s="2525">
        <v>0</v>
      </c>
      <c r="O505" s="2525"/>
      <c r="P505" s="2525">
        <v>1503.72</v>
      </c>
      <c r="Q505" s="2525"/>
      <c r="R505" s="2525">
        <v>1503.72</v>
      </c>
      <c r="S505" s="2525"/>
      <c r="T505" s="2525">
        <v>1550</v>
      </c>
      <c r="U505" s="2525"/>
      <c r="V505" s="1961">
        <v>97.014193548387098</v>
      </c>
      <c r="W505" s="1962" t="s">
        <v>2453</v>
      </c>
    </row>
    <row r="506" spans="1:23" ht="11.25" customHeight="1" x14ac:dyDescent="0.2">
      <c r="A506" s="2526" t="s">
        <v>2925</v>
      </c>
      <c r="B506" s="2526"/>
      <c r="C506" s="2526"/>
      <c r="D506" s="2526"/>
      <c r="E506" s="2526"/>
      <c r="F506" s="1960" t="s">
        <v>2212</v>
      </c>
      <c r="G506" s="2526" t="s">
        <v>2926</v>
      </c>
      <c r="H506" s="2526"/>
      <c r="I506" s="2526"/>
      <c r="J506" s="2526"/>
      <c r="L506" s="2525">
        <v>0</v>
      </c>
      <c r="M506" s="2525"/>
      <c r="N506" s="2525">
        <v>0</v>
      </c>
      <c r="O506" s="2525"/>
      <c r="P506" s="2525">
        <v>0</v>
      </c>
      <c r="Q506" s="2525"/>
      <c r="R506" s="2525">
        <v>0</v>
      </c>
      <c r="S506" s="2525"/>
      <c r="T506" s="2525">
        <v>0</v>
      </c>
      <c r="U506" s="2525"/>
      <c r="V506" s="1961">
        <v>0</v>
      </c>
      <c r="W506" s="1962" t="s">
        <v>2453</v>
      </c>
    </row>
    <row r="507" spans="1:23" ht="11.25" customHeight="1" x14ac:dyDescent="0.2">
      <c r="A507" s="2526" t="s">
        <v>2927</v>
      </c>
      <c r="B507" s="2526"/>
      <c r="C507" s="2526"/>
      <c r="D507" s="2526"/>
      <c r="E507" s="2526"/>
      <c r="F507" s="1960" t="s">
        <v>2112</v>
      </c>
      <c r="G507" s="2526" t="s">
        <v>2928</v>
      </c>
      <c r="H507" s="2526"/>
      <c r="I507" s="2526"/>
      <c r="J507" s="2526"/>
      <c r="L507" s="2525">
        <v>0</v>
      </c>
      <c r="M507" s="2525"/>
      <c r="N507" s="2525">
        <v>0</v>
      </c>
      <c r="O507" s="2525"/>
      <c r="P507" s="2525">
        <v>0</v>
      </c>
      <c r="Q507" s="2525"/>
      <c r="R507" s="2525">
        <v>0</v>
      </c>
      <c r="S507" s="2525"/>
      <c r="T507" s="2525">
        <v>0</v>
      </c>
      <c r="U507" s="2525"/>
      <c r="V507" s="1961">
        <v>0</v>
      </c>
      <c r="W507" s="1962" t="s">
        <v>2453</v>
      </c>
    </row>
    <row r="508" spans="1:23" ht="11.25" customHeight="1" x14ac:dyDescent="0.2">
      <c r="A508" s="2526" t="s">
        <v>2929</v>
      </c>
      <c r="B508" s="2526"/>
      <c r="C508" s="2526"/>
      <c r="D508" s="2526"/>
      <c r="E508" s="2526"/>
      <c r="F508" s="1960" t="s">
        <v>2112</v>
      </c>
      <c r="G508" s="2526" t="s">
        <v>2930</v>
      </c>
      <c r="H508" s="2526"/>
      <c r="I508" s="2526"/>
      <c r="J508" s="2526"/>
      <c r="L508" s="2525">
        <v>0</v>
      </c>
      <c r="M508" s="2525"/>
      <c r="N508" s="2525">
        <v>0</v>
      </c>
      <c r="O508" s="2525"/>
      <c r="P508" s="2525">
        <v>0</v>
      </c>
      <c r="Q508" s="2525"/>
      <c r="R508" s="2525">
        <v>0</v>
      </c>
      <c r="S508" s="2525"/>
      <c r="T508" s="2525">
        <v>0</v>
      </c>
      <c r="U508" s="2525"/>
      <c r="V508" s="1961">
        <v>0</v>
      </c>
      <c r="W508" s="1962" t="s">
        <v>2453</v>
      </c>
    </row>
    <row r="509" spans="1:23" ht="11.25" customHeight="1" x14ac:dyDescent="0.2">
      <c r="A509" s="2526" t="s">
        <v>2931</v>
      </c>
      <c r="B509" s="2526"/>
      <c r="C509" s="2526"/>
      <c r="D509" s="2526"/>
      <c r="E509" s="2526"/>
      <c r="F509" s="1960" t="s">
        <v>2112</v>
      </c>
      <c r="G509" s="2526" t="s">
        <v>2315</v>
      </c>
      <c r="H509" s="2526"/>
      <c r="I509" s="2526"/>
      <c r="J509" s="2526"/>
      <c r="L509" s="2525">
        <v>0</v>
      </c>
      <c r="M509" s="2525"/>
      <c r="N509" s="2525">
        <v>0</v>
      </c>
      <c r="O509" s="2525"/>
      <c r="P509" s="2525">
        <v>2152.4900000000002</v>
      </c>
      <c r="Q509" s="2525"/>
      <c r="R509" s="2525">
        <v>2152.4900000000002</v>
      </c>
      <c r="S509" s="2525"/>
      <c r="T509" s="2525">
        <v>1000</v>
      </c>
      <c r="U509" s="2525"/>
      <c r="V509" s="1961">
        <v>215.249</v>
      </c>
      <c r="W509" s="1962" t="s">
        <v>2453</v>
      </c>
    </row>
    <row r="510" spans="1:23" ht="11.25" customHeight="1" x14ac:dyDescent="0.2">
      <c r="A510" s="2526" t="s">
        <v>2932</v>
      </c>
      <c r="B510" s="2526"/>
      <c r="C510" s="2526"/>
      <c r="D510" s="2526"/>
      <c r="E510" s="2526"/>
      <c r="F510" s="1960" t="s">
        <v>2112</v>
      </c>
      <c r="G510" s="2526" t="s">
        <v>2729</v>
      </c>
      <c r="H510" s="2526"/>
      <c r="I510" s="2526"/>
      <c r="J510" s="2526"/>
      <c r="L510" s="2525">
        <v>0</v>
      </c>
      <c r="M510" s="2525"/>
      <c r="N510" s="2525">
        <v>0</v>
      </c>
      <c r="O510" s="2525"/>
      <c r="P510" s="2525">
        <v>4653.54</v>
      </c>
      <c r="Q510" s="2525"/>
      <c r="R510" s="2525">
        <v>4653.54</v>
      </c>
      <c r="S510" s="2525"/>
      <c r="T510" s="2525">
        <v>3000</v>
      </c>
      <c r="U510" s="2525"/>
      <c r="V510" s="1961">
        <v>155.11799999999999</v>
      </c>
      <c r="W510" s="1962" t="s">
        <v>2453</v>
      </c>
    </row>
    <row r="511" spans="1:23" ht="11.25" customHeight="1" x14ac:dyDescent="0.2">
      <c r="A511" s="2526" t="s">
        <v>2933</v>
      </c>
      <c r="B511" s="2526"/>
      <c r="C511" s="2526"/>
      <c r="D511" s="2526"/>
      <c r="E511" s="2526"/>
      <c r="F511" s="1960" t="s">
        <v>2112</v>
      </c>
      <c r="G511" s="2526" t="s">
        <v>2934</v>
      </c>
      <c r="H511" s="2526"/>
      <c r="I511" s="2526"/>
      <c r="J511" s="2526"/>
      <c r="L511" s="2525">
        <v>0</v>
      </c>
      <c r="M511" s="2525"/>
      <c r="N511" s="2525">
        <v>0</v>
      </c>
      <c r="O511" s="2525"/>
      <c r="P511" s="2525">
        <v>1828.39</v>
      </c>
      <c r="Q511" s="2525"/>
      <c r="R511" s="2525">
        <v>1828.39</v>
      </c>
      <c r="S511" s="2525"/>
      <c r="T511" s="2525">
        <v>2498</v>
      </c>
      <c r="U511" s="2525"/>
      <c r="V511" s="1961">
        <v>73.194155324259413</v>
      </c>
      <c r="W511" s="1962" t="s">
        <v>2453</v>
      </c>
    </row>
    <row r="512" spans="1:23" ht="11.25" customHeight="1" x14ac:dyDescent="0.2">
      <c r="A512" s="2526" t="s">
        <v>2935</v>
      </c>
      <c r="B512" s="2526"/>
      <c r="C512" s="2526"/>
      <c r="D512" s="2526"/>
      <c r="E512" s="2526"/>
      <c r="F512" s="1960" t="s">
        <v>2112</v>
      </c>
      <c r="G512" s="2526" t="s">
        <v>2936</v>
      </c>
      <c r="H512" s="2526"/>
      <c r="I512" s="2526"/>
      <c r="J512" s="2526"/>
      <c r="L512" s="2525">
        <v>0</v>
      </c>
      <c r="M512" s="2525"/>
      <c r="N512" s="2525">
        <v>0</v>
      </c>
      <c r="O512" s="2525"/>
      <c r="P512" s="2525">
        <v>0</v>
      </c>
      <c r="Q512" s="2525"/>
      <c r="R512" s="2525">
        <v>0</v>
      </c>
      <c r="S512" s="2525"/>
      <c r="T512" s="2525">
        <v>0</v>
      </c>
      <c r="U512" s="2525"/>
      <c r="V512" s="1961">
        <v>0</v>
      </c>
      <c r="W512" s="1962" t="s">
        <v>2453</v>
      </c>
    </row>
    <row r="513" spans="1:23" ht="11.25" customHeight="1" x14ac:dyDescent="0.2">
      <c r="A513" s="2526" t="s">
        <v>2937</v>
      </c>
      <c r="B513" s="2526"/>
      <c r="C513" s="2526"/>
      <c r="D513" s="2526"/>
      <c r="E513" s="2526"/>
      <c r="F513" s="1960" t="s">
        <v>2112</v>
      </c>
      <c r="G513" s="2526" t="s">
        <v>2938</v>
      </c>
      <c r="H513" s="2526"/>
      <c r="I513" s="2526"/>
      <c r="J513" s="2526"/>
      <c r="L513" s="2525">
        <v>0</v>
      </c>
      <c r="M513" s="2525"/>
      <c r="N513" s="2525">
        <v>0</v>
      </c>
      <c r="O513" s="2525"/>
      <c r="P513" s="2525">
        <v>6118.82</v>
      </c>
      <c r="Q513" s="2525"/>
      <c r="R513" s="2525">
        <v>6118.82</v>
      </c>
      <c r="S513" s="2525"/>
      <c r="T513" s="2525">
        <v>6000</v>
      </c>
      <c r="U513" s="2525"/>
      <c r="V513" s="1961">
        <v>101.98033333333333</v>
      </c>
      <c r="W513" s="1962" t="s">
        <v>2453</v>
      </c>
    </row>
    <row r="514" spans="1:23" ht="11.25" customHeight="1" x14ac:dyDescent="0.2">
      <c r="A514" s="2526" t="s">
        <v>2939</v>
      </c>
      <c r="B514" s="2526"/>
      <c r="C514" s="2526"/>
      <c r="D514" s="2526"/>
      <c r="E514" s="2526"/>
      <c r="F514" s="1960" t="s">
        <v>2112</v>
      </c>
      <c r="G514" s="2526" t="s">
        <v>2156</v>
      </c>
      <c r="H514" s="2526"/>
      <c r="I514" s="2526"/>
      <c r="J514" s="2526"/>
      <c r="L514" s="2525">
        <v>0</v>
      </c>
      <c r="M514" s="2525"/>
      <c r="N514" s="2525">
        <v>0</v>
      </c>
      <c r="O514" s="2525"/>
      <c r="P514" s="2525">
        <v>288.47000000000003</v>
      </c>
      <c r="Q514" s="2525"/>
      <c r="R514" s="2525">
        <v>288.47000000000003</v>
      </c>
      <c r="S514" s="2525"/>
      <c r="T514" s="2525">
        <v>0</v>
      </c>
      <c r="U514" s="2525"/>
      <c r="V514" s="1961">
        <v>0</v>
      </c>
      <c r="W514" s="1962" t="s">
        <v>2453</v>
      </c>
    </row>
    <row r="515" spans="1:23" ht="11.25" customHeight="1" x14ac:dyDescent="0.2">
      <c r="A515" s="2526" t="s">
        <v>2940</v>
      </c>
      <c r="B515" s="2526"/>
      <c r="C515" s="2526"/>
      <c r="D515" s="2526"/>
      <c r="E515" s="2526"/>
      <c r="F515" s="1960" t="s">
        <v>2112</v>
      </c>
      <c r="G515" s="2526" t="s">
        <v>2941</v>
      </c>
      <c r="H515" s="2526"/>
      <c r="I515" s="2526"/>
      <c r="J515" s="2526"/>
      <c r="L515" s="2525">
        <v>0</v>
      </c>
      <c r="M515" s="2525"/>
      <c r="N515" s="2525">
        <v>0</v>
      </c>
      <c r="O515" s="2525"/>
      <c r="P515" s="2525">
        <v>2739.9900000000002</v>
      </c>
      <c r="Q515" s="2525"/>
      <c r="R515" s="2525">
        <v>2739.9900000000002</v>
      </c>
      <c r="S515" s="2525"/>
      <c r="T515" s="2525">
        <v>1500</v>
      </c>
      <c r="U515" s="2525"/>
      <c r="V515" s="1961">
        <v>182.666</v>
      </c>
      <c r="W515" s="1962" t="s">
        <v>2453</v>
      </c>
    </row>
    <row r="516" spans="1:23" ht="11.25" customHeight="1" x14ac:dyDescent="0.2">
      <c r="A516" s="2526" t="s">
        <v>2940</v>
      </c>
      <c r="B516" s="2526"/>
      <c r="C516" s="2526"/>
      <c r="D516" s="2526"/>
      <c r="E516" s="2526"/>
      <c r="F516" s="1960" t="s">
        <v>1442</v>
      </c>
      <c r="G516" s="2526" t="s">
        <v>2942</v>
      </c>
      <c r="H516" s="2526"/>
      <c r="I516" s="2526"/>
      <c r="J516" s="2526"/>
      <c r="L516" s="2525">
        <v>0</v>
      </c>
      <c r="M516" s="2525"/>
      <c r="N516" s="2525">
        <v>0</v>
      </c>
      <c r="O516" s="2525"/>
      <c r="P516" s="2525">
        <v>2315.4299999999998</v>
      </c>
      <c r="Q516" s="2525"/>
      <c r="R516" s="2525">
        <v>2315.4299999999998</v>
      </c>
      <c r="S516" s="2525"/>
      <c r="T516" s="2525">
        <v>4000</v>
      </c>
      <c r="U516" s="2525"/>
      <c r="V516" s="1961">
        <v>57.885750000000002</v>
      </c>
      <c r="W516" s="1962" t="s">
        <v>2453</v>
      </c>
    </row>
    <row r="517" spans="1:23" ht="11.25" customHeight="1" x14ac:dyDescent="0.2">
      <c r="A517" s="2526" t="s">
        <v>2943</v>
      </c>
      <c r="B517" s="2526"/>
      <c r="C517" s="2526"/>
      <c r="D517" s="2526"/>
      <c r="E517" s="2526"/>
      <c r="F517" s="1960" t="s">
        <v>2112</v>
      </c>
      <c r="G517" s="2526" t="s">
        <v>2696</v>
      </c>
      <c r="H517" s="2526"/>
      <c r="I517" s="2526"/>
      <c r="J517" s="2526"/>
      <c r="L517" s="2525">
        <v>0</v>
      </c>
      <c r="M517" s="2525"/>
      <c r="N517" s="2525">
        <v>0</v>
      </c>
      <c r="O517" s="2525"/>
      <c r="P517" s="2525">
        <v>10201.42</v>
      </c>
      <c r="Q517" s="2525"/>
      <c r="R517" s="2525">
        <v>10201.42</v>
      </c>
      <c r="S517" s="2525"/>
      <c r="T517" s="2525">
        <v>4000</v>
      </c>
      <c r="U517" s="2525"/>
      <c r="V517" s="1961">
        <v>255.03550000000004</v>
      </c>
      <c r="W517" s="1962" t="s">
        <v>2453</v>
      </c>
    </row>
    <row r="518" spans="1:23" ht="11.25" customHeight="1" x14ac:dyDescent="0.2">
      <c r="A518" s="2526" t="s">
        <v>2943</v>
      </c>
      <c r="B518" s="2526"/>
      <c r="C518" s="2526"/>
      <c r="D518" s="2526"/>
      <c r="E518" s="2526"/>
      <c r="F518" s="1960" t="s">
        <v>1442</v>
      </c>
      <c r="G518" s="2526" t="s">
        <v>2944</v>
      </c>
      <c r="H518" s="2526"/>
      <c r="I518" s="2526"/>
      <c r="J518" s="2526"/>
      <c r="L518" s="2525">
        <v>0</v>
      </c>
      <c r="M518" s="2525"/>
      <c r="N518" s="2525">
        <v>0</v>
      </c>
      <c r="O518" s="2525"/>
      <c r="P518" s="2525">
        <v>0</v>
      </c>
      <c r="Q518" s="2525"/>
      <c r="R518" s="2525">
        <v>0</v>
      </c>
      <c r="S518" s="2525"/>
      <c r="T518" s="2525">
        <v>0</v>
      </c>
      <c r="U518" s="2525"/>
      <c r="V518" s="1961">
        <v>0</v>
      </c>
      <c r="W518" s="1962" t="s">
        <v>2453</v>
      </c>
    </row>
    <row r="519" spans="1:23" ht="11.25" customHeight="1" x14ac:dyDescent="0.2">
      <c r="A519" s="2526" t="s">
        <v>2945</v>
      </c>
      <c r="B519" s="2526"/>
      <c r="C519" s="2526"/>
      <c r="D519" s="2526"/>
      <c r="E519" s="2526"/>
      <c r="F519" s="1960" t="s">
        <v>2112</v>
      </c>
      <c r="G519" s="2526" t="s">
        <v>2946</v>
      </c>
      <c r="H519" s="2526"/>
      <c r="I519" s="2526"/>
      <c r="J519" s="2526"/>
      <c r="L519" s="2525">
        <v>0</v>
      </c>
      <c r="M519" s="2525"/>
      <c r="N519" s="2525">
        <v>0</v>
      </c>
      <c r="O519" s="2525"/>
      <c r="P519" s="2525">
        <v>0</v>
      </c>
      <c r="Q519" s="2525"/>
      <c r="R519" s="2525">
        <v>0</v>
      </c>
      <c r="S519" s="2525"/>
      <c r="T519" s="2525">
        <v>0</v>
      </c>
      <c r="U519" s="2525"/>
      <c r="V519" s="1961">
        <v>0</v>
      </c>
      <c r="W519" s="1962" t="s">
        <v>2453</v>
      </c>
    </row>
    <row r="520" spans="1:23" ht="11.25" customHeight="1" x14ac:dyDescent="0.2">
      <c r="A520" s="2526" t="s">
        <v>2947</v>
      </c>
      <c r="B520" s="2526"/>
      <c r="C520" s="2526"/>
      <c r="D520" s="2526"/>
      <c r="E520" s="2526"/>
      <c r="F520" s="1960" t="s">
        <v>2256</v>
      </c>
      <c r="G520" s="2526" t="s">
        <v>2948</v>
      </c>
      <c r="H520" s="2526"/>
      <c r="I520" s="2526"/>
      <c r="J520" s="2526"/>
      <c r="L520" s="2525">
        <v>0</v>
      </c>
      <c r="M520" s="2525"/>
      <c r="N520" s="2525">
        <v>0</v>
      </c>
      <c r="O520" s="2525"/>
      <c r="P520" s="2525">
        <v>0</v>
      </c>
      <c r="Q520" s="2525"/>
      <c r="R520" s="2525">
        <v>0</v>
      </c>
      <c r="S520" s="2525"/>
      <c r="T520" s="2525">
        <v>0</v>
      </c>
      <c r="U520" s="2525"/>
      <c r="V520" s="1961">
        <v>0</v>
      </c>
      <c r="W520" s="1962" t="s">
        <v>2453</v>
      </c>
    </row>
    <row r="521" spans="1:23" ht="11.25" customHeight="1" x14ac:dyDescent="0.2">
      <c r="A521" s="2526" t="s">
        <v>2949</v>
      </c>
      <c r="B521" s="2526"/>
      <c r="C521" s="2526"/>
      <c r="D521" s="2526"/>
      <c r="E521" s="2526"/>
      <c r="F521" s="1960" t="s">
        <v>2112</v>
      </c>
      <c r="G521" s="2526" t="s">
        <v>2950</v>
      </c>
      <c r="H521" s="2526"/>
      <c r="I521" s="2526"/>
      <c r="J521" s="2526"/>
      <c r="L521" s="2525">
        <v>0</v>
      </c>
      <c r="M521" s="2525"/>
      <c r="N521" s="2525">
        <v>0</v>
      </c>
      <c r="O521" s="2525"/>
      <c r="P521" s="2525">
        <v>12480</v>
      </c>
      <c r="Q521" s="2525"/>
      <c r="R521" s="2525">
        <v>12480</v>
      </c>
      <c r="S521" s="2525"/>
      <c r="T521" s="2525">
        <v>0</v>
      </c>
      <c r="U521" s="2525"/>
      <c r="V521" s="1961">
        <v>0</v>
      </c>
      <c r="W521" s="1962" t="s">
        <v>2453</v>
      </c>
    </row>
    <row r="522" spans="1:23" ht="11.25" customHeight="1" x14ac:dyDescent="0.2">
      <c r="A522" s="2526" t="s">
        <v>2951</v>
      </c>
      <c r="B522" s="2526"/>
      <c r="C522" s="2526"/>
      <c r="D522" s="2526"/>
      <c r="E522" s="2526"/>
      <c r="F522" s="1960" t="s">
        <v>2112</v>
      </c>
      <c r="G522" s="2526" t="s">
        <v>2952</v>
      </c>
      <c r="H522" s="2526"/>
      <c r="I522" s="2526"/>
      <c r="J522" s="2526"/>
      <c r="L522" s="2525">
        <v>0</v>
      </c>
      <c r="M522" s="2525"/>
      <c r="N522" s="2525">
        <v>0</v>
      </c>
      <c r="O522" s="2525"/>
      <c r="P522" s="2525">
        <v>28384.560000000001</v>
      </c>
      <c r="Q522" s="2525"/>
      <c r="R522" s="2525">
        <v>28384.560000000001</v>
      </c>
      <c r="S522" s="2525"/>
      <c r="T522" s="2525">
        <v>22040</v>
      </c>
      <c r="U522" s="2525"/>
      <c r="V522" s="1961">
        <v>128.78656987295827</v>
      </c>
      <c r="W522" s="1962" t="s">
        <v>2453</v>
      </c>
    </row>
    <row r="523" spans="1:23" ht="11.25" customHeight="1" x14ac:dyDescent="0.2">
      <c r="A523" s="2526" t="s">
        <v>2953</v>
      </c>
      <c r="B523" s="2526"/>
      <c r="C523" s="2526"/>
      <c r="D523" s="2526"/>
      <c r="E523" s="2526"/>
      <c r="F523" s="1960" t="s">
        <v>2112</v>
      </c>
      <c r="G523" s="2526" t="s">
        <v>2954</v>
      </c>
      <c r="H523" s="2526"/>
      <c r="I523" s="2526"/>
      <c r="J523" s="2526"/>
      <c r="L523" s="2525">
        <v>0</v>
      </c>
      <c r="M523" s="2525"/>
      <c r="N523" s="2525">
        <v>0</v>
      </c>
      <c r="O523" s="2525"/>
      <c r="P523" s="2525">
        <v>0</v>
      </c>
      <c r="Q523" s="2525"/>
      <c r="R523" s="2525">
        <v>0</v>
      </c>
      <c r="S523" s="2525"/>
      <c r="T523" s="2525">
        <v>0</v>
      </c>
      <c r="U523" s="2525"/>
      <c r="V523" s="1961">
        <v>0</v>
      </c>
      <c r="W523" s="1962" t="s">
        <v>2453</v>
      </c>
    </row>
    <row r="524" spans="1:23" ht="11.25" customHeight="1" x14ac:dyDescent="0.2">
      <c r="A524" s="2526" t="s">
        <v>2955</v>
      </c>
      <c r="B524" s="2526"/>
      <c r="C524" s="2526"/>
      <c r="D524" s="2526"/>
      <c r="E524" s="2526"/>
      <c r="F524" s="1960" t="s">
        <v>2112</v>
      </c>
      <c r="G524" s="2526" t="s">
        <v>2956</v>
      </c>
      <c r="H524" s="2526"/>
      <c r="I524" s="2526"/>
      <c r="J524" s="2526"/>
      <c r="L524" s="2525">
        <v>0</v>
      </c>
      <c r="M524" s="2525"/>
      <c r="N524" s="2525">
        <v>0</v>
      </c>
      <c r="O524" s="2525"/>
      <c r="P524" s="2525">
        <v>0</v>
      </c>
      <c r="Q524" s="2525"/>
      <c r="R524" s="2525">
        <v>0</v>
      </c>
      <c r="S524" s="2525"/>
      <c r="T524" s="2525">
        <v>0</v>
      </c>
      <c r="U524" s="2525"/>
      <c r="V524" s="1961">
        <v>0</v>
      </c>
      <c r="W524" s="1962" t="s">
        <v>2453</v>
      </c>
    </row>
    <row r="525" spans="1:23" ht="11.25" customHeight="1" x14ac:dyDescent="0.2">
      <c r="A525" s="2526" t="s">
        <v>2957</v>
      </c>
      <c r="B525" s="2526"/>
      <c r="C525" s="2526"/>
      <c r="D525" s="2526"/>
      <c r="E525" s="2526"/>
      <c r="F525" s="1960" t="s">
        <v>2112</v>
      </c>
      <c r="G525" s="2526" t="s">
        <v>2958</v>
      </c>
      <c r="H525" s="2526"/>
      <c r="I525" s="2526"/>
      <c r="J525" s="2526"/>
      <c r="L525" s="2525">
        <v>0</v>
      </c>
      <c r="M525" s="2525"/>
      <c r="N525" s="2525">
        <v>0</v>
      </c>
      <c r="O525" s="2525"/>
      <c r="P525" s="2525">
        <v>164.64000000000001</v>
      </c>
      <c r="Q525" s="2525"/>
      <c r="R525" s="2525">
        <v>164.64000000000001</v>
      </c>
      <c r="S525" s="2525"/>
      <c r="T525" s="2525">
        <v>170</v>
      </c>
      <c r="U525" s="2525"/>
      <c r="V525" s="1961">
        <v>96.847058823529409</v>
      </c>
      <c r="W525" s="1962" t="s">
        <v>2453</v>
      </c>
    </row>
    <row r="526" spans="1:23" ht="11.25" customHeight="1" x14ac:dyDescent="0.2">
      <c r="A526" s="2526" t="s">
        <v>2959</v>
      </c>
      <c r="B526" s="2526"/>
      <c r="C526" s="2526"/>
      <c r="D526" s="2526"/>
      <c r="E526" s="2526"/>
      <c r="F526" s="1960" t="s">
        <v>2112</v>
      </c>
      <c r="G526" s="2526" t="s">
        <v>2960</v>
      </c>
      <c r="H526" s="2526"/>
      <c r="I526" s="2526"/>
      <c r="J526" s="2526"/>
      <c r="L526" s="2525">
        <v>0</v>
      </c>
      <c r="M526" s="2525"/>
      <c r="N526" s="2525">
        <v>0</v>
      </c>
      <c r="O526" s="2525"/>
      <c r="P526" s="2525">
        <v>0</v>
      </c>
      <c r="Q526" s="2525"/>
      <c r="R526" s="2525">
        <v>0</v>
      </c>
      <c r="S526" s="2525"/>
      <c r="T526" s="2525">
        <v>0</v>
      </c>
      <c r="U526" s="2525"/>
      <c r="V526" s="1961">
        <v>0</v>
      </c>
      <c r="W526" s="1962" t="s">
        <v>2453</v>
      </c>
    </row>
    <row r="527" spans="1:23" ht="11.25" customHeight="1" x14ac:dyDescent="0.2">
      <c r="A527" s="2526" t="s">
        <v>2961</v>
      </c>
      <c r="B527" s="2526"/>
      <c r="C527" s="2526"/>
      <c r="D527" s="2526"/>
      <c r="E527" s="2526"/>
      <c r="F527" s="1960" t="s">
        <v>2112</v>
      </c>
      <c r="G527" s="2526" t="s">
        <v>2962</v>
      </c>
      <c r="H527" s="2526"/>
      <c r="I527" s="2526"/>
      <c r="J527" s="2526"/>
      <c r="L527" s="2525">
        <v>0</v>
      </c>
      <c r="M527" s="2525"/>
      <c r="N527" s="2525">
        <v>0</v>
      </c>
      <c r="O527" s="2525"/>
      <c r="P527" s="2525">
        <v>0</v>
      </c>
      <c r="Q527" s="2525"/>
      <c r="R527" s="2525">
        <v>0</v>
      </c>
      <c r="S527" s="2525"/>
      <c r="T527" s="2525">
        <v>0</v>
      </c>
      <c r="U527" s="2525"/>
      <c r="V527" s="1961">
        <v>0</v>
      </c>
      <c r="W527" s="1962" t="s">
        <v>2453</v>
      </c>
    </row>
    <row r="528" spans="1:23" ht="11.25" customHeight="1" x14ac:dyDescent="0.2">
      <c r="A528" s="2526" t="s">
        <v>2963</v>
      </c>
      <c r="B528" s="2526"/>
      <c r="C528" s="2526"/>
      <c r="D528" s="2526"/>
      <c r="E528" s="2526"/>
      <c r="F528" s="1960" t="s">
        <v>2112</v>
      </c>
      <c r="G528" s="2526" t="s">
        <v>2683</v>
      </c>
      <c r="H528" s="2526"/>
      <c r="I528" s="2526"/>
      <c r="J528" s="2526"/>
      <c r="L528" s="2525">
        <v>0</v>
      </c>
      <c r="M528" s="2525"/>
      <c r="N528" s="2525">
        <v>0</v>
      </c>
      <c r="O528" s="2525"/>
      <c r="P528" s="2525">
        <v>584.76</v>
      </c>
      <c r="Q528" s="2525"/>
      <c r="R528" s="2525">
        <v>584.76</v>
      </c>
      <c r="S528" s="2525"/>
      <c r="T528" s="2525">
        <v>600</v>
      </c>
      <c r="U528" s="2525"/>
      <c r="V528" s="1961">
        <v>97.460000000000008</v>
      </c>
      <c r="W528" s="1962" t="s">
        <v>2453</v>
      </c>
    </row>
    <row r="529" spans="1:23" ht="11.25" customHeight="1" x14ac:dyDescent="0.2">
      <c r="A529" s="2526" t="s">
        <v>2964</v>
      </c>
      <c r="B529" s="2526"/>
      <c r="C529" s="2526"/>
      <c r="D529" s="2526"/>
      <c r="E529" s="2526"/>
      <c r="F529" s="1960" t="s">
        <v>2112</v>
      </c>
      <c r="G529" s="2526" t="s">
        <v>2965</v>
      </c>
      <c r="H529" s="2526"/>
      <c r="I529" s="2526"/>
      <c r="J529" s="2526"/>
      <c r="L529" s="2525">
        <v>0</v>
      </c>
      <c r="M529" s="2525"/>
      <c r="N529" s="2525">
        <v>0</v>
      </c>
      <c r="O529" s="2525"/>
      <c r="P529" s="2525">
        <v>485</v>
      </c>
      <c r="Q529" s="2525"/>
      <c r="R529" s="2525">
        <v>485</v>
      </c>
      <c r="S529" s="2525"/>
      <c r="T529" s="2525">
        <v>400</v>
      </c>
      <c r="U529" s="2525"/>
      <c r="V529" s="1961">
        <v>121.25</v>
      </c>
      <c r="W529" s="1962" t="s">
        <v>2453</v>
      </c>
    </row>
    <row r="530" spans="1:23" ht="11.25" customHeight="1" x14ac:dyDescent="0.2">
      <c r="A530" s="2526" t="s">
        <v>2966</v>
      </c>
      <c r="B530" s="2526"/>
      <c r="C530" s="2526"/>
      <c r="D530" s="2526"/>
      <c r="E530" s="2526"/>
      <c r="F530" s="1960" t="s">
        <v>2112</v>
      </c>
      <c r="G530" s="2526" t="s">
        <v>2952</v>
      </c>
      <c r="H530" s="2526"/>
      <c r="I530" s="2526"/>
      <c r="J530" s="2526"/>
      <c r="L530" s="2525">
        <v>0</v>
      </c>
      <c r="M530" s="2525"/>
      <c r="N530" s="2525">
        <v>0</v>
      </c>
      <c r="O530" s="2525"/>
      <c r="P530" s="2525">
        <v>2500</v>
      </c>
      <c r="Q530" s="2525"/>
      <c r="R530" s="2525">
        <v>2500</v>
      </c>
      <c r="S530" s="2525"/>
      <c r="T530" s="2525">
        <v>0</v>
      </c>
      <c r="U530" s="2525"/>
      <c r="V530" s="1961">
        <v>0</v>
      </c>
      <c r="W530" s="1962" t="s">
        <v>2453</v>
      </c>
    </row>
    <row r="531" spans="1:23" ht="11.25" customHeight="1" x14ac:dyDescent="0.2">
      <c r="A531" s="2526" t="s">
        <v>2967</v>
      </c>
      <c r="B531" s="2526"/>
      <c r="C531" s="2526"/>
      <c r="D531" s="2526"/>
      <c r="E531" s="2526"/>
      <c r="F531" s="1960" t="s">
        <v>2112</v>
      </c>
      <c r="G531" s="2526" t="s">
        <v>2968</v>
      </c>
      <c r="H531" s="2526"/>
      <c r="I531" s="2526"/>
      <c r="J531" s="2526"/>
      <c r="L531" s="2525">
        <v>0</v>
      </c>
      <c r="M531" s="2525"/>
      <c r="N531" s="2525">
        <v>0</v>
      </c>
      <c r="O531" s="2525"/>
      <c r="P531" s="2525">
        <v>0</v>
      </c>
      <c r="Q531" s="2525"/>
      <c r="R531" s="2525">
        <v>0</v>
      </c>
      <c r="S531" s="2525"/>
      <c r="T531" s="2525">
        <v>0</v>
      </c>
      <c r="U531" s="2525"/>
      <c r="V531" s="1961">
        <v>0</v>
      </c>
      <c r="W531" s="1962" t="s">
        <v>2453</v>
      </c>
    </row>
    <row r="532" spans="1:23" ht="11.25" customHeight="1" x14ac:dyDescent="0.2">
      <c r="A532" s="2526" t="s">
        <v>2969</v>
      </c>
      <c r="B532" s="2526"/>
      <c r="C532" s="2526"/>
      <c r="D532" s="2526"/>
      <c r="E532" s="2526"/>
      <c r="F532" s="1960" t="s">
        <v>2112</v>
      </c>
      <c r="G532" s="2526" t="s">
        <v>2970</v>
      </c>
      <c r="H532" s="2526"/>
      <c r="I532" s="2526"/>
      <c r="J532" s="2526"/>
      <c r="L532" s="2525">
        <v>0</v>
      </c>
      <c r="M532" s="2525"/>
      <c r="N532" s="2525">
        <v>0</v>
      </c>
      <c r="O532" s="2525"/>
      <c r="P532" s="2525">
        <v>0</v>
      </c>
      <c r="Q532" s="2525"/>
      <c r="R532" s="2525">
        <v>0</v>
      </c>
      <c r="S532" s="2525"/>
      <c r="T532" s="2525">
        <v>0</v>
      </c>
      <c r="U532" s="2525"/>
      <c r="V532" s="1961">
        <v>0</v>
      </c>
      <c r="W532" s="1962" t="s">
        <v>2453</v>
      </c>
    </row>
    <row r="533" spans="1:23" ht="11.25" customHeight="1" x14ac:dyDescent="0.2">
      <c r="A533" s="2526" t="s">
        <v>2971</v>
      </c>
      <c r="B533" s="2526"/>
      <c r="C533" s="2526"/>
      <c r="D533" s="2526"/>
      <c r="E533" s="2526"/>
      <c r="F533" s="1960" t="s">
        <v>2112</v>
      </c>
      <c r="G533" s="2526" t="s">
        <v>2972</v>
      </c>
      <c r="H533" s="2526"/>
      <c r="I533" s="2526"/>
      <c r="J533" s="2526"/>
      <c r="L533" s="2525">
        <v>0</v>
      </c>
      <c r="M533" s="2525"/>
      <c r="N533" s="2525">
        <v>0</v>
      </c>
      <c r="O533" s="2525"/>
      <c r="P533" s="2525">
        <v>0</v>
      </c>
      <c r="Q533" s="2525"/>
      <c r="R533" s="2525">
        <v>0</v>
      </c>
      <c r="S533" s="2525"/>
      <c r="T533" s="2525">
        <v>0</v>
      </c>
      <c r="U533" s="2525"/>
      <c r="V533" s="1961">
        <v>0</v>
      </c>
      <c r="W533" s="1962" t="s">
        <v>2453</v>
      </c>
    </row>
    <row r="534" spans="1:23" ht="11.25" customHeight="1" x14ac:dyDescent="0.2">
      <c r="A534" s="2526" t="s">
        <v>2973</v>
      </c>
      <c r="B534" s="2526"/>
      <c r="C534" s="2526"/>
      <c r="D534" s="2526"/>
      <c r="E534" s="2526"/>
      <c r="F534" s="1960" t="s">
        <v>2112</v>
      </c>
      <c r="G534" s="2526" t="s">
        <v>2974</v>
      </c>
      <c r="H534" s="2526"/>
      <c r="I534" s="2526"/>
      <c r="J534" s="2526"/>
      <c r="L534" s="2525">
        <v>0</v>
      </c>
      <c r="M534" s="2525"/>
      <c r="N534" s="2525">
        <v>0</v>
      </c>
      <c r="O534" s="2525"/>
      <c r="P534" s="2525">
        <v>21569.279999999999</v>
      </c>
      <c r="Q534" s="2525"/>
      <c r="R534" s="2525">
        <v>21569.279999999999</v>
      </c>
      <c r="S534" s="2525"/>
      <c r="T534" s="2525">
        <v>20964.510000000002</v>
      </c>
      <c r="U534" s="2525"/>
      <c r="V534" s="1961">
        <v>102.88473234051263</v>
      </c>
      <c r="W534" s="1962" t="s">
        <v>2453</v>
      </c>
    </row>
    <row r="535" spans="1:23" ht="11.25" customHeight="1" x14ac:dyDescent="0.2">
      <c r="A535" s="2526" t="s">
        <v>2975</v>
      </c>
      <c r="B535" s="2526"/>
      <c r="C535" s="2526"/>
      <c r="D535" s="2526"/>
      <c r="E535" s="2526"/>
      <c r="F535" s="1960" t="s">
        <v>2112</v>
      </c>
      <c r="G535" s="2526" t="s">
        <v>2976</v>
      </c>
      <c r="H535" s="2526"/>
      <c r="I535" s="2526"/>
      <c r="J535" s="2526"/>
      <c r="L535" s="2525">
        <v>0</v>
      </c>
      <c r="M535" s="2525"/>
      <c r="N535" s="2525">
        <v>0</v>
      </c>
      <c r="O535" s="2525"/>
      <c r="P535" s="2525">
        <v>0</v>
      </c>
      <c r="Q535" s="2525"/>
      <c r="R535" s="2525">
        <v>0</v>
      </c>
      <c r="S535" s="2525"/>
      <c r="T535" s="2525">
        <v>0</v>
      </c>
      <c r="U535" s="2525"/>
      <c r="V535" s="1961">
        <v>0</v>
      </c>
      <c r="W535" s="1962" t="s">
        <v>2453</v>
      </c>
    </row>
    <row r="536" spans="1:23" ht="11.25" customHeight="1" x14ac:dyDescent="0.2">
      <c r="A536" s="2526" t="s">
        <v>2977</v>
      </c>
      <c r="B536" s="2526"/>
      <c r="C536" s="2526"/>
      <c r="D536" s="2526"/>
      <c r="E536" s="2526"/>
      <c r="F536" s="1960" t="s">
        <v>2112</v>
      </c>
      <c r="G536" s="2526" t="s">
        <v>2978</v>
      </c>
      <c r="H536" s="2526"/>
      <c r="I536" s="2526"/>
      <c r="J536" s="2526"/>
      <c r="L536" s="2525">
        <v>0</v>
      </c>
      <c r="M536" s="2525"/>
      <c r="N536" s="2525">
        <v>0</v>
      </c>
      <c r="O536" s="2525"/>
      <c r="P536" s="2525">
        <v>6075</v>
      </c>
      <c r="Q536" s="2525"/>
      <c r="R536" s="2525">
        <v>6075</v>
      </c>
      <c r="S536" s="2525"/>
      <c r="T536" s="2525">
        <v>6600</v>
      </c>
      <c r="U536" s="2525"/>
      <c r="V536" s="1961">
        <v>92.045454545454547</v>
      </c>
      <c r="W536" s="1962" t="s">
        <v>2453</v>
      </c>
    </row>
    <row r="537" spans="1:23" ht="11.25" customHeight="1" x14ac:dyDescent="0.2">
      <c r="A537" s="2526" t="s">
        <v>2979</v>
      </c>
      <c r="B537" s="2526"/>
      <c r="C537" s="2526"/>
      <c r="D537" s="2526"/>
      <c r="E537" s="2526"/>
      <c r="F537" s="1960" t="s">
        <v>2112</v>
      </c>
      <c r="G537" s="2526" t="s">
        <v>2980</v>
      </c>
      <c r="H537" s="2526"/>
      <c r="I537" s="2526"/>
      <c r="J537" s="2526"/>
      <c r="L537" s="2525">
        <v>0</v>
      </c>
      <c r="M537" s="2525"/>
      <c r="N537" s="2525">
        <v>0</v>
      </c>
      <c r="O537" s="2525"/>
      <c r="P537" s="2525">
        <v>264</v>
      </c>
      <c r="Q537" s="2525"/>
      <c r="R537" s="2525">
        <v>264</v>
      </c>
      <c r="S537" s="2525"/>
      <c r="T537" s="2525">
        <v>0</v>
      </c>
      <c r="U537" s="2525"/>
      <c r="V537" s="1961">
        <v>0</v>
      </c>
      <c r="W537" s="1962" t="s">
        <v>2453</v>
      </c>
    </row>
    <row r="538" spans="1:23" ht="11.25" customHeight="1" x14ac:dyDescent="0.2">
      <c r="A538" s="2526" t="s">
        <v>2979</v>
      </c>
      <c r="B538" s="2526"/>
      <c r="C538" s="2526"/>
      <c r="D538" s="2526"/>
      <c r="E538" s="2526"/>
      <c r="F538" s="1960" t="s">
        <v>1442</v>
      </c>
      <c r="G538" s="2526" t="s">
        <v>2981</v>
      </c>
      <c r="H538" s="2526"/>
      <c r="I538" s="2526"/>
      <c r="J538" s="2526"/>
      <c r="L538" s="2525">
        <v>0</v>
      </c>
      <c r="M538" s="2525"/>
      <c r="N538" s="2525">
        <v>0</v>
      </c>
      <c r="O538" s="2525"/>
      <c r="P538" s="2525">
        <v>0</v>
      </c>
      <c r="Q538" s="2525"/>
      <c r="R538" s="2525">
        <v>0</v>
      </c>
      <c r="S538" s="2525"/>
      <c r="T538" s="2525">
        <v>0</v>
      </c>
      <c r="U538" s="2525"/>
      <c r="V538" s="1961">
        <v>0</v>
      </c>
      <c r="W538" s="1962" t="s">
        <v>2453</v>
      </c>
    </row>
    <row r="539" spans="1:23" ht="11.25" customHeight="1" x14ac:dyDescent="0.2">
      <c r="A539" s="2526" t="s">
        <v>2982</v>
      </c>
      <c r="B539" s="2526"/>
      <c r="C539" s="2526"/>
      <c r="D539" s="2526"/>
      <c r="E539" s="2526"/>
      <c r="F539" s="1960" t="s">
        <v>2112</v>
      </c>
      <c r="G539" s="2526" t="s">
        <v>2983</v>
      </c>
      <c r="H539" s="2526"/>
      <c r="I539" s="2526"/>
      <c r="J539" s="2526"/>
      <c r="L539" s="2525">
        <v>0</v>
      </c>
      <c r="M539" s="2525"/>
      <c r="N539" s="2525">
        <v>0</v>
      </c>
      <c r="O539" s="2525"/>
      <c r="P539" s="2525">
        <v>0</v>
      </c>
      <c r="Q539" s="2525"/>
      <c r="R539" s="2525">
        <v>0</v>
      </c>
      <c r="S539" s="2525"/>
      <c r="T539" s="2525">
        <v>0</v>
      </c>
      <c r="U539" s="2525"/>
      <c r="V539" s="1961">
        <v>0</v>
      </c>
      <c r="W539" s="1962" t="s">
        <v>2453</v>
      </c>
    </row>
    <row r="540" spans="1:23" ht="11.25" customHeight="1" x14ac:dyDescent="0.2">
      <c r="A540" s="2526" t="s">
        <v>2984</v>
      </c>
      <c r="B540" s="2526"/>
      <c r="C540" s="2526"/>
      <c r="D540" s="2526"/>
      <c r="E540" s="2526"/>
      <c r="F540" s="1960" t="s">
        <v>2112</v>
      </c>
      <c r="G540" s="2526" t="s">
        <v>2687</v>
      </c>
      <c r="H540" s="2526"/>
      <c r="I540" s="2526"/>
      <c r="J540" s="2526"/>
      <c r="L540" s="2525">
        <v>0</v>
      </c>
      <c r="M540" s="2525"/>
      <c r="N540" s="2525">
        <v>0</v>
      </c>
      <c r="O540" s="2525"/>
      <c r="P540" s="2525">
        <v>0</v>
      </c>
      <c r="Q540" s="2525"/>
      <c r="R540" s="2525">
        <v>0</v>
      </c>
      <c r="S540" s="2525"/>
      <c r="T540" s="2525">
        <v>150</v>
      </c>
      <c r="U540" s="2525"/>
      <c r="V540" s="1961">
        <v>0</v>
      </c>
      <c r="W540" s="1962" t="s">
        <v>2453</v>
      </c>
    </row>
    <row r="541" spans="1:23" ht="11.25" customHeight="1" x14ac:dyDescent="0.2">
      <c r="A541" s="2526" t="s">
        <v>2985</v>
      </c>
      <c r="B541" s="2526"/>
      <c r="C541" s="2526"/>
      <c r="D541" s="2526"/>
      <c r="E541" s="2526"/>
      <c r="F541" s="1960" t="s">
        <v>2112</v>
      </c>
      <c r="G541" s="2526" t="s">
        <v>2986</v>
      </c>
      <c r="H541" s="2526"/>
      <c r="I541" s="2526"/>
      <c r="J541" s="2526"/>
      <c r="L541" s="2525">
        <v>0</v>
      </c>
      <c r="M541" s="2525"/>
      <c r="N541" s="2525">
        <v>0</v>
      </c>
      <c r="O541" s="2525"/>
      <c r="P541" s="2525">
        <v>0</v>
      </c>
      <c r="Q541" s="2525"/>
      <c r="R541" s="2525">
        <v>0</v>
      </c>
      <c r="S541" s="2525"/>
      <c r="T541" s="2525">
        <v>0</v>
      </c>
      <c r="U541" s="2525"/>
      <c r="V541" s="1961">
        <v>0</v>
      </c>
      <c r="W541" s="1962" t="s">
        <v>2453</v>
      </c>
    </row>
    <row r="542" spans="1:23" ht="11.25" customHeight="1" x14ac:dyDescent="0.2">
      <c r="A542" s="2526" t="s">
        <v>2987</v>
      </c>
      <c r="B542" s="2526"/>
      <c r="C542" s="2526"/>
      <c r="D542" s="2526"/>
      <c r="E542" s="2526"/>
      <c r="F542" s="1960" t="s">
        <v>2112</v>
      </c>
      <c r="G542" s="2526" t="s">
        <v>2988</v>
      </c>
      <c r="H542" s="2526"/>
      <c r="I542" s="2526"/>
      <c r="J542" s="2526"/>
      <c r="L542" s="2525">
        <v>0</v>
      </c>
      <c r="M542" s="2525"/>
      <c r="N542" s="2525">
        <v>0</v>
      </c>
      <c r="O542" s="2525"/>
      <c r="P542" s="2525">
        <v>0</v>
      </c>
      <c r="Q542" s="2525"/>
      <c r="R542" s="2525">
        <v>0</v>
      </c>
      <c r="S542" s="2525"/>
      <c r="T542" s="2525">
        <v>600</v>
      </c>
      <c r="U542" s="2525"/>
      <c r="V542" s="1961">
        <v>0</v>
      </c>
      <c r="W542" s="1962" t="s">
        <v>2453</v>
      </c>
    </row>
    <row r="543" spans="1:23" ht="11.25" customHeight="1" x14ac:dyDescent="0.2">
      <c r="A543" s="2526" t="s">
        <v>2989</v>
      </c>
      <c r="B543" s="2526"/>
      <c r="C543" s="2526"/>
      <c r="D543" s="2526"/>
      <c r="E543" s="2526"/>
      <c r="F543" s="1960" t="s">
        <v>2112</v>
      </c>
      <c r="G543" s="2526" t="s">
        <v>2990</v>
      </c>
      <c r="H543" s="2526"/>
      <c r="I543" s="2526"/>
      <c r="J543" s="2526"/>
      <c r="L543" s="2525">
        <v>0</v>
      </c>
      <c r="M543" s="2525"/>
      <c r="N543" s="2525">
        <v>0</v>
      </c>
      <c r="O543" s="2525"/>
      <c r="P543" s="2525">
        <v>0</v>
      </c>
      <c r="Q543" s="2525"/>
      <c r="R543" s="2525">
        <v>0</v>
      </c>
      <c r="S543" s="2525"/>
      <c r="T543" s="2525">
        <v>1500</v>
      </c>
      <c r="U543" s="2525"/>
      <c r="V543" s="1961">
        <v>0</v>
      </c>
      <c r="W543" s="1962" t="s">
        <v>2453</v>
      </c>
    </row>
    <row r="544" spans="1:23" ht="11.25" customHeight="1" x14ac:dyDescent="0.2">
      <c r="A544" s="2526" t="s">
        <v>2991</v>
      </c>
      <c r="B544" s="2526"/>
      <c r="C544" s="2526"/>
      <c r="D544" s="2526"/>
      <c r="E544" s="2526"/>
      <c r="F544" s="1960" t="s">
        <v>2112</v>
      </c>
      <c r="G544" s="2526" t="s">
        <v>2696</v>
      </c>
      <c r="H544" s="2526"/>
      <c r="I544" s="2526"/>
      <c r="J544" s="2526"/>
      <c r="L544" s="2525">
        <v>0</v>
      </c>
      <c r="M544" s="2525"/>
      <c r="N544" s="2525">
        <v>0</v>
      </c>
      <c r="O544" s="2525"/>
      <c r="P544" s="2525">
        <v>4746.43</v>
      </c>
      <c r="Q544" s="2525"/>
      <c r="R544" s="2525">
        <v>4746.43</v>
      </c>
      <c r="S544" s="2525"/>
      <c r="T544" s="2525">
        <v>3500</v>
      </c>
      <c r="U544" s="2525"/>
      <c r="V544" s="1961">
        <v>135.61228571428572</v>
      </c>
      <c r="W544" s="1962" t="s">
        <v>2453</v>
      </c>
    </row>
    <row r="545" spans="1:23" ht="11.25" customHeight="1" x14ac:dyDescent="0.2">
      <c r="A545" s="2526" t="s">
        <v>2991</v>
      </c>
      <c r="B545" s="2526"/>
      <c r="C545" s="2526"/>
      <c r="D545" s="2526"/>
      <c r="E545" s="2526"/>
      <c r="F545" s="1960" t="s">
        <v>1442</v>
      </c>
      <c r="G545" s="2526" t="s">
        <v>2992</v>
      </c>
      <c r="H545" s="2526"/>
      <c r="I545" s="2526"/>
      <c r="J545" s="2526"/>
      <c r="L545" s="2525">
        <v>0</v>
      </c>
      <c r="M545" s="2525"/>
      <c r="N545" s="2525">
        <v>0</v>
      </c>
      <c r="O545" s="2525"/>
      <c r="P545" s="2525">
        <v>0</v>
      </c>
      <c r="Q545" s="2525"/>
      <c r="R545" s="2525">
        <v>0</v>
      </c>
      <c r="S545" s="2525"/>
      <c r="T545" s="2525">
        <v>0</v>
      </c>
      <c r="U545" s="2525"/>
      <c r="V545" s="1961">
        <v>0</v>
      </c>
      <c r="W545" s="1962" t="s">
        <v>2453</v>
      </c>
    </row>
    <row r="546" spans="1:23" ht="11.25" customHeight="1" x14ac:dyDescent="0.2">
      <c r="A546" s="2526" t="s">
        <v>2993</v>
      </c>
      <c r="B546" s="2526"/>
      <c r="C546" s="2526"/>
      <c r="D546" s="2526"/>
      <c r="E546" s="2526"/>
      <c r="F546" s="1960" t="s">
        <v>2112</v>
      </c>
      <c r="G546" s="2526" t="s">
        <v>2994</v>
      </c>
      <c r="H546" s="2526"/>
      <c r="I546" s="2526"/>
      <c r="J546" s="2526"/>
      <c r="L546" s="2525">
        <v>0</v>
      </c>
      <c r="M546" s="2525"/>
      <c r="N546" s="2525">
        <v>0</v>
      </c>
      <c r="O546" s="2525"/>
      <c r="P546" s="2525">
        <v>0</v>
      </c>
      <c r="Q546" s="2525"/>
      <c r="R546" s="2525">
        <v>0</v>
      </c>
      <c r="S546" s="2525"/>
      <c r="T546" s="2525">
        <v>0</v>
      </c>
      <c r="U546" s="2525"/>
      <c r="V546" s="1961">
        <v>0</v>
      </c>
      <c r="W546" s="1962" t="s">
        <v>2453</v>
      </c>
    </row>
    <row r="547" spans="1:23" ht="11.25" customHeight="1" x14ac:dyDescent="0.2">
      <c r="A547" s="2526" t="s">
        <v>2995</v>
      </c>
      <c r="B547" s="2526"/>
      <c r="C547" s="2526"/>
      <c r="D547" s="2526"/>
      <c r="E547" s="2526"/>
      <c r="F547" s="1960" t="s">
        <v>2112</v>
      </c>
      <c r="G547" s="2526" t="s">
        <v>2996</v>
      </c>
      <c r="H547" s="2526"/>
      <c r="I547" s="2526"/>
      <c r="J547" s="2526"/>
      <c r="L547" s="2525">
        <v>0</v>
      </c>
      <c r="M547" s="2525"/>
      <c r="N547" s="2525">
        <v>0</v>
      </c>
      <c r="O547" s="2525"/>
      <c r="P547" s="2525">
        <v>0</v>
      </c>
      <c r="Q547" s="2525"/>
      <c r="R547" s="2525">
        <v>0</v>
      </c>
      <c r="S547" s="2525"/>
      <c r="T547" s="2525">
        <v>0</v>
      </c>
      <c r="U547" s="2525"/>
      <c r="V547" s="1961">
        <v>0</v>
      </c>
      <c r="W547" s="1962" t="s">
        <v>2453</v>
      </c>
    </row>
    <row r="548" spans="1:23" ht="11.25" customHeight="1" x14ac:dyDescent="0.2">
      <c r="A548" s="2526" t="s">
        <v>2997</v>
      </c>
      <c r="B548" s="2526"/>
      <c r="C548" s="2526"/>
      <c r="D548" s="2526"/>
      <c r="E548" s="2526"/>
      <c r="F548" s="1960" t="s">
        <v>2112</v>
      </c>
      <c r="G548" s="2526" t="s">
        <v>2996</v>
      </c>
      <c r="H548" s="2526"/>
      <c r="I548" s="2526"/>
      <c r="J548" s="2526"/>
      <c r="L548" s="2525">
        <v>0</v>
      </c>
      <c r="M548" s="2525"/>
      <c r="N548" s="2525">
        <v>0</v>
      </c>
      <c r="O548" s="2525"/>
      <c r="P548" s="2525">
        <v>0</v>
      </c>
      <c r="Q548" s="2525"/>
      <c r="R548" s="2525">
        <v>0</v>
      </c>
      <c r="S548" s="2525"/>
      <c r="T548" s="2525">
        <v>0</v>
      </c>
      <c r="U548" s="2525"/>
      <c r="V548" s="1961">
        <v>0</v>
      </c>
      <c r="W548" s="1962" t="s">
        <v>2453</v>
      </c>
    </row>
    <row r="549" spans="1:23" ht="11.25" customHeight="1" x14ac:dyDescent="0.2">
      <c r="A549" s="2526" t="s">
        <v>2998</v>
      </c>
      <c r="B549" s="2526"/>
      <c r="C549" s="2526"/>
      <c r="D549" s="2526"/>
      <c r="E549" s="2526"/>
      <c r="F549" s="1960" t="s">
        <v>2112</v>
      </c>
      <c r="G549" s="2526" t="s">
        <v>2999</v>
      </c>
      <c r="H549" s="2526"/>
      <c r="I549" s="2526"/>
      <c r="J549" s="2526"/>
      <c r="L549" s="2525">
        <v>0</v>
      </c>
      <c r="M549" s="2525"/>
      <c r="N549" s="2525">
        <v>0</v>
      </c>
      <c r="O549" s="2525"/>
      <c r="P549" s="2525">
        <v>0</v>
      </c>
      <c r="Q549" s="2525"/>
      <c r="R549" s="2525">
        <v>0</v>
      </c>
      <c r="S549" s="2525"/>
      <c r="T549" s="2525">
        <v>0</v>
      </c>
      <c r="U549" s="2525"/>
      <c r="V549" s="1961">
        <v>0</v>
      </c>
      <c r="W549" s="1962" t="s">
        <v>2453</v>
      </c>
    </row>
    <row r="550" spans="1:23" ht="11.25" customHeight="1" x14ac:dyDescent="0.2">
      <c r="A550" s="2526" t="s">
        <v>3000</v>
      </c>
      <c r="B550" s="2526"/>
      <c r="C550" s="2526"/>
      <c r="D550" s="2526"/>
      <c r="E550" s="2526"/>
      <c r="F550" s="1960" t="s">
        <v>2112</v>
      </c>
      <c r="G550" s="2526" t="s">
        <v>3001</v>
      </c>
      <c r="H550" s="2526"/>
      <c r="I550" s="2526"/>
      <c r="J550" s="2526"/>
      <c r="L550" s="2525">
        <v>0</v>
      </c>
      <c r="M550" s="2525"/>
      <c r="N550" s="2525">
        <v>0</v>
      </c>
      <c r="O550" s="2525"/>
      <c r="P550" s="2525">
        <v>30559.82</v>
      </c>
      <c r="Q550" s="2525"/>
      <c r="R550" s="2525">
        <v>30559.82</v>
      </c>
      <c r="S550" s="2525"/>
      <c r="T550" s="2525">
        <v>26626</v>
      </c>
      <c r="U550" s="2525"/>
      <c r="V550" s="1961">
        <v>114.77435589273642</v>
      </c>
      <c r="W550" s="1962" t="s">
        <v>2453</v>
      </c>
    </row>
    <row r="551" spans="1:23" ht="11.25" customHeight="1" x14ac:dyDescent="0.2">
      <c r="A551" s="2526" t="s">
        <v>3002</v>
      </c>
      <c r="B551" s="2526"/>
      <c r="C551" s="2526"/>
      <c r="D551" s="2526"/>
      <c r="E551" s="2526"/>
      <c r="F551" s="1960" t="s">
        <v>2112</v>
      </c>
      <c r="G551" s="2526" t="s">
        <v>3003</v>
      </c>
      <c r="H551" s="2526"/>
      <c r="I551" s="2526"/>
      <c r="J551" s="2526"/>
      <c r="L551" s="2525">
        <v>0</v>
      </c>
      <c r="M551" s="2525"/>
      <c r="N551" s="2525">
        <v>0</v>
      </c>
      <c r="O551" s="2525"/>
      <c r="P551" s="2525">
        <v>569.25</v>
      </c>
      <c r="Q551" s="2525"/>
      <c r="R551" s="2525">
        <v>569.25</v>
      </c>
      <c r="S551" s="2525"/>
      <c r="T551" s="2525">
        <v>0</v>
      </c>
      <c r="U551" s="2525"/>
      <c r="V551" s="1961">
        <v>0</v>
      </c>
      <c r="W551" s="1962" t="s">
        <v>2453</v>
      </c>
    </row>
    <row r="552" spans="1:23" ht="11.25" customHeight="1" x14ac:dyDescent="0.2">
      <c r="A552" s="2526" t="s">
        <v>3004</v>
      </c>
      <c r="B552" s="2526"/>
      <c r="C552" s="2526"/>
      <c r="D552" s="2526"/>
      <c r="E552" s="2526"/>
      <c r="F552" s="1960" t="s">
        <v>2112</v>
      </c>
      <c r="G552" s="2526" t="s">
        <v>3005</v>
      </c>
      <c r="H552" s="2526"/>
      <c r="I552" s="2526"/>
      <c r="J552" s="2526"/>
      <c r="L552" s="2525">
        <v>0</v>
      </c>
      <c r="M552" s="2525"/>
      <c r="N552" s="2525">
        <v>0</v>
      </c>
      <c r="O552" s="2525"/>
      <c r="P552" s="2525">
        <v>48</v>
      </c>
      <c r="Q552" s="2525"/>
      <c r="R552" s="2525">
        <v>48</v>
      </c>
      <c r="S552" s="2525"/>
      <c r="T552" s="2525">
        <v>48</v>
      </c>
      <c r="U552" s="2525"/>
      <c r="V552" s="1961">
        <v>100</v>
      </c>
      <c r="W552" s="1962" t="s">
        <v>2453</v>
      </c>
    </row>
    <row r="553" spans="1:23" ht="11.25" customHeight="1" x14ac:dyDescent="0.2">
      <c r="A553" s="2526" t="s">
        <v>3006</v>
      </c>
      <c r="B553" s="2526"/>
      <c r="C553" s="2526"/>
      <c r="D553" s="2526"/>
      <c r="E553" s="2526"/>
      <c r="F553" s="1960" t="s">
        <v>2112</v>
      </c>
      <c r="G553" s="2526" t="s">
        <v>3007</v>
      </c>
      <c r="H553" s="2526"/>
      <c r="I553" s="2526"/>
      <c r="J553" s="2526"/>
      <c r="L553" s="2525">
        <v>0</v>
      </c>
      <c r="M553" s="2525"/>
      <c r="N553" s="2525">
        <v>0</v>
      </c>
      <c r="O553" s="2525"/>
      <c r="P553" s="2525">
        <v>0</v>
      </c>
      <c r="Q553" s="2525"/>
      <c r="R553" s="2525">
        <v>0</v>
      </c>
      <c r="S553" s="2525"/>
      <c r="T553" s="2525">
        <v>0</v>
      </c>
      <c r="U553" s="2525"/>
      <c r="V553" s="1961">
        <v>0</v>
      </c>
      <c r="W553" s="1962" t="s">
        <v>2453</v>
      </c>
    </row>
    <row r="554" spans="1:23" ht="11.25" customHeight="1" x14ac:dyDescent="0.2">
      <c r="A554" s="2526" t="s">
        <v>3008</v>
      </c>
      <c r="B554" s="2526"/>
      <c r="C554" s="2526"/>
      <c r="D554" s="2526"/>
      <c r="E554" s="2526"/>
      <c r="F554" s="1960" t="s">
        <v>2112</v>
      </c>
      <c r="G554" s="2526" t="s">
        <v>3009</v>
      </c>
      <c r="H554" s="2526"/>
      <c r="I554" s="2526"/>
      <c r="J554" s="2526"/>
      <c r="L554" s="2525">
        <v>0</v>
      </c>
      <c r="M554" s="2525"/>
      <c r="N554" s="2525">
        <v>0</v>
      </c>
      <c r="O554" s="2525"/>
      <c r="P554" s="2525">
        <v>0</v>
      </c>
      <c r="Q554" s="2525"/>
      <c r="R554" s="2525">
        <v>0</v>
      </c>
      <c r="S554" s="2525"/>
      <c r="T554" s="2525">
        <v>0</v>
      </c>
      <c r="U554" s="2525"/>
      <c r="V554" s="1961">
        <v>0</v>
      </c>
      <c r="W554" s="1962" t="s">
        <v>2453</v>
      </c>
    </row>
    <row r="555" spans="1:23" ht="11.25" customHeight="1" x14ac:dyDescent="0.2">
      <c r="A555" s="2526" t="s">
        <v>3010</v>
      </c>
      <c r="B555" s="2526"/>
      <c r="C555" s="2526"/>
      <c r="D555" s="2526"/>
      <c r="E555" s="2526"/>
      <c r="F555" s="1960" t="s">
        <v>2112</v>
      </c>
      <c r="G555" s="2526" t="s">
        <v>3011</v>
      </c>
      <c r="H555" s="2526"/>
      <c r="I555" s="2526"/>
      <c r="J555" s="2526"/>
      <c r="L555" s="2525">
        <v>0</v>
      </c>
      <c r="M555" s="2525"/>
      <c r="N555" s="2525">
        <v>0</v>
      </c>
      <c r="O555" s="2525"/>
      <c r="P555" s="2525">
        <v>0</v>
      </c>
      <c r="Q555" s="2525"/>
      <c r="R555" s="2525">
        <v>0</v>
      </c>
      <c r="S555" s="2525"/>
      <c r="T555" s="2525">
        <v>0</v>
      </c>
      <c r="U555" s="2525"/>
      <c r="V555" s="1961">
        <v>0</v>
      </c>
      <c r="W555" s="1962" t="s">
        <v>2453</v>
      </c>
    </row>
    <row r="556" spans="1:23" ht="11.25" customHeight="1" x14ac:dyDescent="0.2">
      <c r="A556" s="2526" t="s">
        <v>3012</v>
      </c>
      <c r="B556" s="2526"/>
      <c r="C556" s="2526"/>
      <c r="D556" s="2526"/>
      <c r="E556" s="2526"/>
      <c r="F556" s="1960" t="s">
        <v>2112</v>
      </c>
      <c r="G556" s="2526" t="s">
        <v>2729</v>
      </c>
      <c r="H556" s="2526"/>
      <c r="I556" s="2526"/>
      <c r="J556" s="2526"/>
      <c r="L556" s="2525">
        <v>0</v>
      </c>
      <c r="M556" s="2525"/>
      <c r="N556" s="2525">
        <v>0</v>
      </c>
      <c r="O556" s="2525"/>
      <c r="P556" s="2525">
        <v>0</v>
      </c>
      <c r="Q556" s="2525"/>
      <c r="R556" s="2525">
        <v>0</v>
      </c>
      <c r="S556" s="2525"/>
      <c r="T556" s="2525">
        <v>0</v>
      </c>
      <c r="U556" s="2525"/>
      <c r="V556" s="1961">
        <v>0</v>
      </c>
      <c r="W556" s="1962" t="s">
        <v>2453</v>
      </c>
    </row>
    <row r="557" spans="1:23" ht="11.25" customHeight="1" x14ac:dyDescent="0.2">
      <c r="A557" s="2526" t="s">
        <v>3013</v>
      </c>
      <c r="B557" s="2526"/>
      <c r="C557" s="2526"/>
      <c r="D557" s="2526"/>
      <c r="E557" s="2526"/>
      <c r="F557" s="1960" t="s">
        <v>2212</v>
      </c>
      <c r="G557" s="2526" t="s">
        <v>3014</v>
      </c>
      <c r="H557" s="2526"/>
      <c r="I557" s="2526"/>
      <c r="J557" s="2526"/>
      <c r="L557" s="2525">
        <v>0</v>
      </c>
      <c r="M557" s="2525"/>
      <c r="N557" s="2525">
        <v>0</v>
      </c>
      <c r="O557" s="2525"/>
      <c r="P557" s="2525">
        <v>0</v>
      </c>
      <c r="Q557" s="2525"/>
      <c r="R557" s="2525">
        <v>0</v>
      </c>
      <c r="S557" s="2525"/>
      <c r="T557" s="2525">
        <v>0</v>
      </c>
      <c r="U557" s="2525"/>
      <c r="V557" s="1961">
        <v>0</v>
      </c>
      <c r="W557" s="1962" t="s">
        <v>2453</v>
      </c>
    </row>
    <row r="558" spans="1:23" ht="11.25" customHeight="1" x14ac:dyDescent="0.2">
      <c r="A558" s="2526" t="s">
        <v>3015</v>
      </c>
      <c r="B558" s="2526"/>
      <c r="C558" s="2526"/>
      <c r="D558" s="2526"/>
      <c r="E558" s="2526"/>
      <c r="F558" s="1960" t="s">
        <v>2112</v>
      </c>
      <c r="G558" s="2526" t="s">
        <v>3016</v>
      </c>
      <c r="H558" s="2526"/>
      <c r="I558" s="2526"/>
      <c r="J558" s="2526"/>
      <c r="L558" s="2525">
        <v>0</v>
      </c>
      <c r="M558" s="2525"/>
      <c r="N558" s="2525">
        <v>0</v>
      </c>
      <c r="O558" s="2525"/>
      <c r="P558" s="2525">
        <v>24644.440000000002</v>
      </c>
      <c r="Q558" s="2525"/>
      <c r="R558" s="2525">
        <v>24644.440000000002</v>
      </c>
      <c r="S558" s="2525"/>
      <c r="T558" s="2525">
        <v>30000</v>
      </c>
      <c r="U558" s="2525"/>
      <c r="V558" s="1961">
        <v>82.148133333333334</v>
      </c>
      <c r="W558" s="1962" t="s">
        <v>2453</v>
      </c>
    </row>
    <row r="559" spans="1:23" ht="11.25" customHeight="1" x14ac:dyDescent="0.2">
      <c r="A559" s="2526" t="s">
        <v>3017</v>
      </c>
      <c r="B559" s="2526"/>
      <c r="C559" s="2526"/>
      <c r="D559" s="2526"/>
      <c r="E559" s="2526"/>
      <c r="F559" s="1960" t="s">
        <v>2112</v>
      </c>
      <c r="G559" s="2526" t="s">
        <v>2690</v>
      </c>
      <c r="H559" s="2526"/>
      <c r="I559" s="2526"/>
      <c r="J559" s="2526"/>
      <c r="L559" s="2525">
        <v>0</v>
      </c>
      <c r="M559" s="2525"/>
      <c r="N559" s="2525">
        <v>0</v>
      </c>
      <c r="O559" s="2525"/>
      <c r="P559" s="2525">
        <v>292.05</v>
      </c>
      <c r="Q559" s="2525"/>
      <c r="R559" s="2525">
        <v>292.05</v>
      </c>
      <c r="S559" s="2525"/>
      <c r="T559" s="2525">
        <v>1200</v>
      </c>
      <c r="U559" s="2525"/>
      <c r="V559" s="1961">
        <v>24.337500000000002</v>
      </c>
      <c r="W559" s="1962" t="s">
        <v>2453</v>
      </c>
    </row>
    <row r="560" spans="1:23" ht="11.25" customHeight="1" x14ac:dyDescent="0.2">
      <c r="A560" s="2526" t="s">
        <v>3018</v>
      </c>
      <c r="B560" s="2526"/>
      <c r="C560" s="2526"/>
      <c r="D560" s="2526"/>
      <c r="E560" s="2526"/>
      <c r="F560" s="1960" t="s">
        <v>2112</v>
      </c>
      <c r="G560" s="2526" t="s">
        <v>2156</v>
      </c>
      <c r="H560" s="2526"/>
      <c r="I560" s="2526"/>
      <c r="J560" s="2526"/>
      <c r="L560" s="2525">
        <v>0</v>
      </c>
      <c r="M560" s="2525"/>
      <c r="N560" s="2525">
        <v>0</v>
      </c>
      <c r="O560" s="2525"/>
      <c r="P560" s="2525">
        <v>0</v>
      </c>
      <c r="Q560" s="2525"/>
      <c r="R560" s="2525">
        <v>0</v>
      </c>
      <c r="S560" s="2525"/>
      <c r="T560" s="2525">
        <v>0</v>
      </c>
      <c r="U560" s="2525"/>
      <c r="V560" s="1961">
        <v>0</v>
      </c>
      <c r="W560" s="1962" t="s">
        <v>2453</v>
      </c>
    </row>
    <row r="561" spans="1:23" ht="11.25" customHeight="1" x14ac:dyDescent="0.2">
      <c r="A561" s="2526" t="s">
        <v>3019</v>
      </c>
      <c r="B561" s="2526"/>
      <c r="C561" s="2526"/>
      <c r="D561" s="2526"/>
      <c r="E561" s="2526"/>
      <c r="F561" s="1960" t="s">
        <v>2112</v>
      </c>
      <c r="G561" s="2526" t="s">
        <v>2941</v>
      </c>
      <c r="H561" s="2526"/>
      <c r="I561" s="2526"/>
      <c r="J561" s="2526"/>
      <c r="L561" s="2525">
        <v>0</v>
      </c>
      <c r="M561" s="2525"/>
      <c r="N561" s="2525">
        <v>0</v>
      </c>
      <c r="O561" s="2525"/>
      <c r="P561" s="2525">
        <v>3982.12</v>
      </c>
      <c r="Q561" s="2525"/>
      <c r="R561" s="2525">
        <v>3982.12</v>
      </c>
      <c r="S561" s="2525"/>
      <c r="T561" s="2525">
        <v>4000</v>
      </c>
      <c r="U561" s="2525"/>
      <c r="V561" s="1961">
        <v>99.552999999999997</v>
      </c>
      <c r="W561" s="1962" t="s">
        <v>2453</v>
      </c>
    </row>
    <row r="562" spans="1:23" ht="11.25" customHeight="1" x14ac:dyDescent="0.2">
      <c r="A562" s="2526" t="s">
        <v>3020</v>
      </c>
      <c r="B562" s="2526"/>
      <c r="C562" s="2526"/>
      <c r="D562" s="2526"/>
      <c r="E562" s="2526"/>
      <c r="F562" s="1960" t="s">
        <v>2112</v>
      </c>
      <c r="G562" s="2526" t="s">
        <v>2696</v>
      </c>
      <c r="H562" s="2526"/>
      <c r="I562" s="2526"/>
      <c r="J562" s="2526"/>
      <c r="L562" s="2525">
        <v>0</v>
      </c>
      <c r="M562" s="2525"/>
      <c r="N562" s="2525">
        <v>0</v>
      </c>
      <c r="O562" s="2525"/>
      <c r="P562" s="2525">
        <v>102.60000000000001</v>
      </c>
      <c r="Q562" s="2525"/>
      <c r="R562" s="2525">
        <v>102.60000000000001</v>
      </c>
      <c r="S562" s="2525"/>
      <c r="T562" s="2525">
        <v>800</v>
      </c>
      <c r="U562" s="2525"/>
      <c r="V562" s="1961">
        <v>12.825000000000001</v>
      </c>
      <c r="W562" s="1962" t="s">
        <v>2453</v>
      </c>
    </row>
    <row r="563" spans="1:23" ht="11.25" customHeight="1" x14ac:dyDescent="0.2">
      <c r="A563" s="2526" t="s">
        <v>3021</v>
      </c>
      <c r="B563" s="2526"/>
      <c r="C563" s="2526"/>
      <c r="D563" s="2526"/>
      <c r="E563" s="2526"/>
      <c r="F563" s="1960" t="s">
        <v>2256</v>
      </c>
      <c r="G563" s="2526" t="s">
        <v>3022</v>
      </c>
      <c r="H563" s="2526"/>
      <c r="I563" s="2526"/>
      <c r="J563" s="2526"/>
      <c r="L563" s="2525">
        <v>0</v>
      </c>
      <c r="M563" s="2525"/>
      <c r="N563" s="2525">
        <v>0</v>
      </c>
      <c r="O563" s="2525"/>
      <c r="P563" s="2525">
        <v>59.53</v>
      </c>
      <c r="Q563" s="2525"/>
      <c r="R563" s="2525">
        <v>59.53</v>
      </c>
      <c r="S563" s="2525"/>
      <c r="T563" s="2525">
        <v>0</v>
      </c>
      <c r="U563" s="2525"/>
      <c r="V563" s="1961">
        <v>0</v>
      </c>
      <c r="W563" s="1962" t="s">
        <v>2453</v>
      </c>
    </row>
    <row r="564" spans="1:23" ht="11.25" customHeight="1" x14ac:dyDescent="0.2">
      <c r="A564" s="2526" t="s">
        <v>3023</v>
      </c>
      <c r="B564" s="2526"/>
      <c r="C564" s="2526"/>
      <c r="D564" s="2526"/>
      <c r="E564" s="2526"/>
      <c r="F564" s="1960" t="s">
        <v>2212</v>
      </c>
      <c r="G564" s="2526" t="s">
        <v>3024</v>
      </c>
      <c r="H564" s="2526"/>
      <c r="I564" s="2526"/>
      <c r="J564" s="2526"/>
      <c r="L564" s="2525">
        <v>0</v>
      </c>
      <c r="M564" s="2525"/>
      <c r="N564" s="2525">
        <v>0</v>
      </c>
      <c r="O564" s="2525"/>
      <c r="P564" s="2525">
        <v>0</v>
      </c>
      <c r="Q564" s="2525"/>
      <c r="R564" s="2525">
        <v>0</v>
      </c>
      <c r="S564" s="2525"/>
      <c r="T564" s="2525">
        <v>0</v>
      </c>
      <c r="U564" s="2525"/>
      <c r="V564" s="1961">
        <v>0</v>
      </c>
      <c r="W564" s="1962" t="s">
        <v>2453</v>
      </c>
    </row>
    <row r="565" spans="1:23" ht="11.25" customHeight="1" x14ac:dyDescent="0.2">
      <c r="A565" s="2526" t="s">
        <v>3025</v>
      </c>
      <c r="B565" s="2526"/>
      <c r="C565" s="2526"/>
      <c r="D565" s="2526"/>
      <c r="E565" s="2526"/>
      <c r="F565" s="1960" t="s">
        <v>2212</v>
      </c>
      <c r="G565" s="2526" t="s">
        <v>3026</v>
      </c>
      <c r="H565" s="2526"/>
      <c r="I565" s="2526"/>
      <c r="J565" s="2526"/>
      <c r="L565" s="2525">
        <v>0</v>
      </c>
      <c r="M565" s="2525"/>
      <c r="N565" s="2525">
        <v>0</v>
      </c>
      <c r="O565" s="2525"/>
      <c r="P565" s="2525">
        <v>0</v>
      </c>
      <c r="Q565" s="2525"/>
      <c r="R565" s="2525">
        <v>0</v>
      </c>
      <c r="S565" s="2525"/>
      <c r="T565" s="2525">
        <v>0</v>
      </c>
      <c r="U565" s="2525"/>
      <c r="V565" s="1961">
        <v>0</v>
      </c>
      <c r="W565" s="1962" t="s">
        <v>2453</v>
      </c>
    </row>
    <row r="566" spans="1:23" ht="11.25" customHeight="1" x14ac:dyDescent="0.2">
      <c r="A566" s="2526" t="s">
        <v>3027</v>
      </c>
      <c r="B566" s="2526"/>
      <c r="C566" s="2526"/>
      <c r="D566" s="2526"/>
      <c r="E566" s="2526"/>
      <c r="F566" s="1960" t="s">
        <v>2256</v>
      </c>
      <c r="G566" s="2526" t="s">
        <v>3028</v>
      </c>
      <c r="H566" s="2526"/>
      <c r="I566" s="2526"/>
      <c r="J566" s="2526"/>
      <c r="L566" s="2525">
        <v>0</v>
      </c>
      <c r="M566" s="2525"/>
      <c r="N566" s="2525">
        <v>0</v>
      </c>
      <c r="O566" s="2525"/>
      <c r="P566" s="2525">
        <v>424.71000000000004</v>
      </c>
      <c r="Q566" s="2525"/>
      <c r="R566" s="2525">
        <v>424.71000000000004</v>
      </c>
      <c r="S566" s="2525"/>
      <c r="T566" s="2525">
        <v>0</v>
      </c>
      <c r="U566" s="2525"/>
      <c r="V566" s="1961">
        <v>0</v>
      </c>
      <c r="W566" s="1962" t="s">
        <v>2453</v>
      </c>
    </row>
    <row r="567" spans="1:23" ht="11.25" customHeight="1" x14ac:dyDescent="0.2">
      <c r="A567" s="2526" t="s">
        <v>3029</v>
      </c>
      <c r="B567" s="2526"/>
      <c r="C567" s="2526"/>
      <c r="D567" s="2526"/>
      <c r="E567" s="2526"/>
      <c r="F567" s="1960" t="s">
        <v>2212</v>
      </c>
      <c r="G567" s="2526" t="s">
        <v>3030</v>
      </c>
      <c r="H567" s="2526"/>
      <c r="I567" s="2526"/>
      <c r="J567" s="2526"/>
      <c r="L567" s="2525">
        <v>0</v>
      </c>
      <c r="M567" s="2525"/>
      <c r="N567" s="2525">
        <v>0</v>
      </c>
      <c r="O567" s="2525"/>
      <c r="P567" s="2525">
        <v>0</v>
      </c>
      <c r="Q567" s="2525"/>
      <c r="R567" s="2525">
        <v>0</v>
      </c>
      <c r="S567" s="2525"/>
      <c r="T567" s="2525">
        <v>0</v>
      </c>
      <c r="U567" s="2525"/>
      <c r="V567" s="1961">
        <v>0</v>
      </c>
      <c r="W567" s="1962" t="s">
        <v>2453</v>
      </c>
    </row>
    <row r="568" spans="1:23" ht="11.25" customHeight="1" x14ac:dyDescent="0.2">
      <c r="A568" s="2526" t="s">
        <v>3031</v>
      </c>
      <c r="B568" s="2526"/>
      <c r="C568" s="2526"/>
      <c r="D568" s="2526"/>
      <c r="E568" s="2526"/>
      <c r="F568" s="1960" t="s">
        <v>2212</v>
      </c>
      <c r="G568" s="2526" t="s">
        <v>3032</v>
      </c>
      <c r="H568" s="2526"/>
      <c r="I568" s="2526"/>
      <c r="J568" s="2526"/>
      <c r="L568" s="2525">
        <v>0</v>
      </c>
      <c r="M568" s="2525"/>
      <c r="N568" s="2525">
        <v>0</v>
      </c>
      <c r="O568" s="2525"/>
      <c r="P568" s="2525">
        <v>0</v>
      </c>
      <c r="Q568" s="2525"/>
      <c r="R568" s="2525">
        <v>0</v>
      </c>
      <c r="S568" s="2525"/>
      <c r="T568" s="2525">
        <v>0</v>
      </c>
      <c r="U568" s="2525"/>
      <c r="V568" s="1961">
        <v>0</v>
      </c>
      <c r="W568" s="1962" t="s">
        <v>2453</v>
      </c>
    </row>
    <row r="569" spans="1:23" ht="11.25" customHeight="1" x14ac:dyDescent="0.2">
      <c r="A569" s="2526" t="s">
        <v>3033</v>
      </c>
      <c r="B569" s="2526"/>
      <c r="C569" s="2526"/>
      <c r="D569" s="2526"/>
      <c r="E569" s="2526"/>
      <c r="F569" s="1960" t="s">
        <v>2256</v>
      </c>
      <c r="G569" s="2526" t="s">
        <v>3034</v>
      </c>
      <c r="H569" s="2526"/>
      <c r="I569" s="2526"/>
      <c r="J569" s="2526"/>
      <c r="L569" s="2525">
        <v>0</v>
      </c>
      <c r="M569" s="2525"/>
      <c r="N569" s="2525">
        <v>0</v>
      </c>
      <c r="O569" s="2525"/>
      <c r="P569" s="2525">
        <v>200</v>
      </c>
      <c r="Q569" s="2525"/>
      <c r="R569" s="2525">
        <v>200</v>
      </c>
      <c r="S569" s="2525"/>
      <c r="T569" s="2525">
        <v>0</v>
      </c>
      <c r="U569" s="2525"/>
      <c r="V569" s="1961">
        <v>0</v>
      </c>
      <c r="W569" s="1962" t="s">
        <v>2453</v>
      </c>
    </row>
    <row r="570" spans="1:23" ht="11.25" customHeight="1" x14ac:dyDescent="0.2">
      <c r="A570" s="2526" t="s">
        <v>3035</v>
      </c>
      <c r="B570" s="2526"/>
      <c r="C570" s="2526"/>
      <c r="D570" s="2526"/>
      <c r="E570" s="2526"/>
      <c r="F570" s="1960" t="s">
        <v>2212</v>
      </c>
      <c r="G570" s="2526" t="s">
        <v>3036</v>
      </c>
      <c r="H570" s="2526"/>
      <c r="I570" s="2526"/>
      <c r="J570" s="2526"/>
      <c r="L570" s="2525">
        <v>0</v>
      </c>
      <c r="M570" s="2525"/>
      <c r="N570" s="2525">
        <v>0</v>
      </c>
      <c r="O570" s="2525"/>
      <c r="P570" s="2525">
        <v>0</v>
      </c>
      <c r="Q570" s="2525"/>
      <c r="R570" s="2525">
        <v>0</v>
      </c>
      <c r="S570" s="2525"/>
      <c r="T570" s="2525">
        <v>0</v>
      </c>
      <c r="U570" s="2525"/>
      <c r="V570" s="1961">
        <v>0</v>
      </c>
      <c r="W570" s="1962" t="s">
        <v>2453</v>
      </c>
    </row>
    <row r="571" spans="1:23" ht="11.25" customHeight="1" x14ac:dyDescent="0.2">
      <c r="A571" s="2526" t="s">
        <v>3037</v>
      </c>
      <c r="B571" s="2526"/>
      <c r="C571" s="2526"/>
      <c r="D571" s="2526"/>
      <c r="E571" s="2526"/>
      <c r="F571" s="1960" t="s">
        <v>2112</v>
      </c>
      <c r="G571" s="2526" t="s">
        <v>3038</v>
      </c>
      <c r="H571" s="2526"/>
      <c r="I571" s="2526"/>
      <c r="J571" s="2526"/>
      <c r="L571" s="2525">
        <v>0</v>
      </c>
      <c r="M571" s="2525"/>
      <c r="N571" s="2525">
        <v>0</v>
      </c>
      <c r="O571" s="2525"/>
      <c r="P571" s="2525">
        <v>0</v>
      </c>
      <c r="Q571" s="2525"/>
      <c r="R571" s="2525">
        <v>0</v>
      </c>
      <c r="S571" s="2525"/>
      <c r="T571" s="2525">
        <v>0</v>
      </c>
      <c r="U571" s="2525"/>
      <c r="V571" s="1961">
        <v>0</v>
      </c>
      <c r="W571" s="1962" t="s">
        <v>2453</v>
      </c>
    </row>
    <row r="572" spans="1:23" ht="11.25" customHeight="1" x14ac:dyDescent="0.2">
      <c r="A572" s="2526" t="s">
        <v>3039</v>
      </c>
      <c r="B572" s="2526"/>
      <c r="C572" s="2526"/>
      <c r="D572" s="2526"/>
      <c r="E572" s="2526"/>
      <c r="F572" s="1960" t="s">
        <v>2112</v>
      </c>
      <c r="G572" s="2526" t="s">
        <v>3040</v>
      </c>
      <c r="H572" s="2526"/>
      <c r="I572" s="2526"/>
      <c r="J572" s="2526"/>
      <c r="L572" s="2525">
        <v>0</v>
      </c>
      <c r="M572" s="2525"/>
      <c r="N572" s="2525">
        <v>0</v>
      </c>
      <c r="O572" s="2525"/>
      <c r="P572" s="2525">
        <v>1581.14</v>
      </c>
      <c r="Q572" s="2525"/>
      <c r="R572" s="2525">
        <v>1581.14</v>
      </c>
      <c r="S572" s="2525"/>
      <c r="T572" s="2525">
        <v>0</v>
      </c>
      <c r="U572" s="2525"/>
      <c r="V572" s="1961">
        <v>0</v>
      </c>
      <c r="W572" s="1962" t="s">
        <v>2453</v>
      </c>
    </row>
    <row r="573" spans="1:23" ht="11.25" customHeight="1" x14ac:dyDescent="0.2">
      <c r="A573" s="2526" t="s">
        <v>3041</v>
      </c>
      <c r="B573" s="2526"/>
      <c r="C573" s="2526"/>
      <c r="D573" s="2526"/>
      <c r="E573" s="2526"/>
      <c r="F573" s="1960" t="s">
        <v>2112</v>
      </c>
      <c r="G573" s="2526" t="s">
        <v>3042</v>
      </c>
      <c r="H573" s="2526"/>
      <c r="I573" s="2526"/>
      <c r="J573" s="2526"/>
      <c r="L573" s="2525">
        <v>0</v>
      </c>
      <c r="M573" s="2525"/>
      <c r="N573" s="2525">
        <v>0</v>
      </c>
      <c r="O573" s="2525"/>
      <c r="P573" s="2525">
        <v>0</v>
      </c>
      <c r="Q573" s="2525"/>
      <c r="R573" s="2525">
        <v>0</v>
      </c>
      <c r="S573" s="2525"/>
      <c r="T573" s="2525">
        <v>0</v>
      </c>
      <c r="U573" s="2525"/>
      <c r="V573" s="1961">
        <v>0</v>
      </c>
      <c r="W573" s="1962" t="s">
        <v>2453</v>
      </c>
    </row>
    <row r="574" spans="1:23" ht="11.25" customHeight="1" x14ac:dyDescent="0.2">
      <c r="A574" s="2526" t="s">
        <v>3043</v>
      </c>
      <c r="B574" s="2526"/>
      <c r="C574" s="2526"/>
      <c r="D574" s="2526"/>
      <c r="E574" s="2526"/>
      <c r="F574" s="1960" t="s">
        <v>2201</v>
      </c>
      <c r="G574" s="2526" t="s">
        <v>3044</v>
      </c>
      <c r="H574" s="2526"/>
      <c r="I574" s="2526"/>
      <c r="J574" s="2526"/>
      <c r="L574" s="2525">
        <v>0</v>
      </c>
      <c r="M574" s="2525"/>
      <c r="N574" s="2525">
        <v>0</v>
      </c>
      <c r="O574" s="2525"/>
      <c r="P574" s="2525">
        <v>0</v>
      </c>
      <c r="Q574" s="2525"/>
      <c r="R574" s="2525">
        <v>0</v>
      </c>
      <c r="S574" s="2525"/>
      <c r="T574" s="2525">
        <v>0</v>
      </c>
      <c r="U574" s="2525"/>
      <c r="V574" s="1961">
        <v>0</v>
      </c>
      <c r="W574" s="1962" t="s">
        <v>2453</v>
      </c>
    </row>
    <row r="575" spans="1:23" ht="11.25" customHeight="1" x14ac:dyDescent="0.2">
      <c r="A575" s="2526" t="s">
        <v>3045</v>
      </c>
      <c r="B575" s="2526"/>
      <c r="C575" s="2526"/>
      <c r="D575" s="2526"/>
      <c r="E575" s="2526"/>
      <c r="F575" s="1960" t="s">
        <v>2112</v>
      </c>
      <c r="G575" s="2526" t="s">
        <v>3046</v>
      </c>
      <c r="H575" s="2526"/>
      <c r="I575" s="2526"/>
      <c r="J575" s="2526"/>
      <c r="L575" s="2525">
        <v>0</v>
      </c>
      <c r="M575" s="2525"/>
      <c r="N575" s="2525">
        <v>0</v>
      </c>
      <c r="O575" s="2525"/>
      <c r="P575" s="2525">
        <v>0</v>
      </c>
      <c r="Q575" s="2525"/>
      <c r="R575" s="2525">
        <v>0</v>
      </c>
      <c r="S575" s="2525"/>
      <c r="T575" s="2525">
        <v>12000</v>
      </c>
      <c r="U575" s="2525"/>
      <c r="V575" s="1961">
        <v>0</v>
      </c>
      <c r="W575" s="1962" t="s">
        <v>2453</v>
      </c>
    </row>
    <row r="576" spans="1:23" ht="11.25" customHeight="1" x14ac:dyDescent="0.2">
      <c r="A576" s="2526" t="s">
        <v>3047</v>
      </c>
      <c r="B576" s="2526"/>
      <c r="C576" s="2526"/>
      <c r="D576" s="2526"/>
      <c r="E576" s="2526"/>
      <c r="F576" s="1960" t="s">
        <v>2193</v>
      </c>
      <c r="G576" s="2526" t="s">
        <v>2807</v>
      </c>
      <c r="H576" s="2526"/>
      <c r="I576" s="2526"/>
      <c r="J576" s="2526"/>
      <c r="L576" s="2525">
        <v>0</v>
      </c>
      <c r="M576" s="2525"/>
      <c r="N576" s="2525">
        <v>0</v>
      </c>
      <c r="O576" s="2525"/>
      <c r="P576" s="2525">
        <v>0</v>
      </c>
      <c r="Q576" s="2525"/>
      <c r="R576" s="2525">
        <v>0</v>
      </c>
      <c r="S576" s="2525"/>
      <c r="T576" s="2525">
        <v>0</v>
      </c>
      <c r="U576" s="2525"/>
      <c r="V576" s="1961">
        <v>0</v>
      </c>
      <c r="W576" s="1962" t="s">
        <v>2453</v>
      </c>
    </row>
    <row r="577" spans="1:23" ht="11.25" customHeight="1" x14ac:dyDescent="0.2">
      <c r="A577" s="2526" t="s">
        <v>3048</v>
      </c>
      <c r="B577" s="2526"/>
      <c r="C577" s="2526"/>
      <c r="D577" s="2526"/>
      <c r="E577" s="2526"/>
      <c r="F577" s="1960" t="s">
        <v>2112</v>
      </c>
      <c r="G577" s="2526" t="s">
        <v>3049</v>
      </c>
      <c r="H577" s="2526"/>
      <c r="I577" s="2526"/>
      <c r="J577" s="2526"/>
      <c r="L577" s="2525">
        <v>0</v>
      </c>
      <c r="M577" s="2525"/>
      <c r="N577" s="2525">
        <v>0</v>
      </c>
      <c r="O577" s="2525"/>
      <c r="P577" s="2525">
        <v>4036.85</v>
      </c>
      <c r="Q577" s="2525"/>
      <c r="R577" s="2525">
        <v>4036.85</v>
      </c>
      <c r="S577" s="2525"/>
      <c r="T577" s="2525">
        <v>15000</v>
      </c>
      <c r="U577" s="2525"/>
      <c r="V577" s="1961">
        <v>26.912333333333333</v>
      </c>
      <c r="W577" s="1962" t="s">
        <v>2453</v>
      </c>
    </row>
    <row r="578" spans="1:23" ht="11.25" customHeight="1" x14ac:dyDescent="0.2">
      <c r="A578" s="2526" t="s">
        <v>3050</v>
      </c>
      <c r="B578" s="2526"/>
      <c r="C578" s="2526"/>
      <c r="D578" s="2526"/>
      <c r="E578" s="2526"/>
      <c r="F578" s="1960" t="s">
        <v>2112</v>
      </c>
      <c r="G578" s="2526" t="s">
        <v>3051</v>
      </c>
      <c r="H578" s="2526"/>
      <c r="I578" s="2526"/>
      <c r="J578" s="2526"/>
      <c r="L578" s="2525">
        <v>0</v>
      </c>
      <c r="M578" s="2525"/>
      <c r="N578" s="2525">
        <v>0</v>
      </c>
      <c r="O578" s="2525"/>
      <c r="P578" s="2525">
        <v>0</v>
      </c>
      <c r="Q578" s="2525"/>
      <c r="R578" s="2525">
        <v>0</v>
      </c>
      <c r="S578" s="2525"/>
      <c r="T578" s="2525">
        <v>0</v>
      </c>
      <c r="U578" s="2525"/>
      <c r="V578" s="1961">
        <v>0</v>
      </c>
      <c r="W578" s="1962" t="s">
        <v>2453</v>
      </c>
    </row>
    <row r="579" spans="1:23" ht="11.25" customHeight="1" x14ac:dyDescent="0.2">
      <c r="A579" s="2526" t="s">
        <v>3052</v>
      </c>
      <c r="B579" s="2526"/>
      <c r="C579" s="2526"/>
      <c r="D579" s="2526"/>
      <c r="E579" s="2526"/>
      <c r="F579" s="1960" t="s">
        <v>972</v>
      </c>
      <c r="G579" s="2526" t="s">
        <v>3053</v>
      </c>
      <c r="H579" s="2526"/>
      <c r="I579" s="2526"/>
      <c r="J579" s="2526"/>
      <c r="L579" s="2525">
        <v>0</v>
      </c>
      <c r="M579" s="2525"/>
      <c r="N579" s="2525">
        <v>0</v>
      </c>
      <c r="O579" s="2525"/>
      <c r="P579" s="2525">
        <v>83218.27</v>
      </c>
      <c r="Q579" s="2525"/>
      <c r="R579" s="2525">
        <v>83218.27</v>
      </c>
      <c r="S579" s="2525"/>
      <c r="T579" s="2525">
        <v>120000</v>
      </c>
      <c r="U579" s="2525"/>
      <c r="V579" s="1961">
        <v>69.34855833333333</v>
      </c>
      <c r="W579" s="1962" t="s">
        <v>2453</v>
      </c>
    </row>
    <row r="580" spans="1:23" ht="11.25" customHeight="1" x14ac:dyDescent="0.2">
      <c r="A580" s="2526" t="s">
        <v>3054</v>
      </c>
      <c r="B580" s="2526"/>
      <c r="C580" s="2526"/>
      <c r="D580" s="2526"/>
      <c r="E580" s="2526"/>
      <c r="F580" s="1960" t="s">
        <v>2112</v>
      </c>
      <c r="G580" s="2526" t="s">
        <v>3055</v>
      </c>
      <c r="H580" s="2526"/>
      <c r="I580" s="2526"/>
      <c r="J580" s="2526"/>
      <c r="L580" s="2525">
        <v>0</v>
      </c>
      <c r="M580" s="2525"/>
      <c r="N580" s="2525">
        <v>0</v>
      </c>
      <c r="O580" s="2525"/>
      <c r="P580" s="2525">
        <v>0</v>
      </c>
      <c r="Q580" s="2525"/>
      <c r="R580" s="2525">
        <v>0</v>
      </c>
      <c r="S580" s="2525"/>
      <c r="T580" s="2525">
        <v>0</v>
      </c>
      <c r="U580" s="2525"/>
      <c r="V580" s="1961">
        <v>0</v>
      </c>
      <c r="W580" s="1962" t="s">
        <v>2453</v>
      </c>
    </row>
    <row r="581" spans="1:23" ht="2.25" customHeight="1" x14ac:dyDescent="0.2"/>
    <row r="582" spans="1:23" ht="13.5" customHeight="1" x14ac:dyDescent="0.2">
      <c r="A582" s="2523" t="s">
        <v>2295</v>
      </c>
      <c r="B582" s="2523"/>
      <c r="C582" s="2523"/>
      <c r="D582" s="2523"/>
      <c r="E582" s="2523"/>
      <c r="F582" s="2523"/>
      <c r="G582" s="2523"/>
      <c r="H582" s="2523"/>
      <c r="I582" s="2523"/>
      <c r="L582" s="2524">
        <v>0</v>
      </c>
      <c r="M582" s="2524"/>
      <c r="N582" s="2524">
        <v>0</v>
      </c>
      <c r="O582" s="2524"/>
      <c r="P582" s="2524">
        <v>1494252.43</v>
      </c>
      <c r="Q582" s="2524"/>
      <c r="R582" s="2524">
        <v>1494252.43</v>
      </c>
      <c r="S582" s="2524"/>
      <c r="T582" s="2524">
        <v>1467585.51</v>
      </c>
      <c r="U582" s="2524"/>
      <c r="V582" s="1963">
        <v>101.81706073126874</v>
      </c>
    </row>
    <row r="583" spans="1:23" ht="15.75" customHeight="1" x14ac:dyDescent="0.2">
      <c r="A583" s="1959"/>
      <c r="B583" s="2527" t="s">
        <v>2296</v>
      </c>
      <c r="C583" s="2527"/>
      <c r="D583" s="2527"/>
      <c r="E583" s="2527"/>
      <c r="F583" s="2527"/>
      <c r="G583" s="2527"/>
      <c r="H583" s="2527"/>
      <c r="I583" s="2527"/>
      <c r="J583" s="2527"/>
      <c r="K583" s="2527"/>
      <c r="L583" s="2527"/>
      <c r="M583" s="2527"/>
      <c r="N583" s="2527"/>
      <c r="O583" s="2527"/>
      <c r="P583" s="2527"/>
      <c r="Q583" s="2527"/>
      <c r="R583" s="2527"/>
      <c r="S583" s="2527"/>
      <c r="T583" s="2527"/>
      <c r="U583" s="2527"/>
      <c r="V583" s="2527"/>
    </row>
    <row r="584" spans="1:23" ht="11.25" customHeight="1" x14ac:dyDescent="0.2">
      <c r="A584" s="2526" t="s">
        <v>3056</v>
      </c>
      <c r="B584" s="2526"/>
      <c r="C584" s="2526"/>
      <c r="D584" s="2526"/>
      <c r="E584" s="2526"/>
      <c r="F584" s="1960" t="s">
        <v>2112</v>
      </c>
      <c r="G584" s="2526" t="s">
        <v>3057</v>
      </c>
      <c r="H584" s="2526"/>
      <c r="I584" s="2526"/>
      <c r="J584" s="2526"/>
      <c r="L584" s="2525">
        <v>0</v>
      </c>
      <c r="M584" s="2525"/>
      <c r="N584" s="2525">
        <v>0</v>
      </c>
      <c r="O584" s="2525"/>
      <c r="P584" s="2525">
        <v>565.84</v>
      </c>
      <c r="Q584" s="2525"/>
      <c r="R584" s="2525">
        <v>565.84</v>
      </c>
      <c r="S584" s="2525"/>
      <c r="T584" s="2525">
        <v>0</v>
      </c>
      <c r="U584" s="2525"/>
      <c r="V584" s="1961">
        <v>0</v>
      </c>
      <c r="W584" s="1962" t="s">
        <v>2453</v>
      </c>
    </row>
    <row r="585" spans="1:23" ht="11.25" customHeight="1" x14ac:dyDescent="0.2">
      <c r="A585" s="2526" t="s">
        <v>3058</v>
      </c>
      <c r="B585" s="2526"/>
      <c r="C585" s="2526"/>
      <c r="D585" s="2526"/>
      <c r="E585" s="2526"/>
      <c r="F585" s="1960" t="s">
        <v>2112</v>
      </c>
      <c r="G585" s="2526" t="s">
        <v>3059</v>
      </c>
      <c r="H585" s="2526"/>
      <c r="I585" s="2526"/>
      <c r="J585" s="2526"/>
      <c r="L585" s="2525">
        <v>0</v>
      </c>
      <c r="M585" s="2525"/>
      <c r="N585" s="2525">
        <v>0</v>
      </c>
      <c r="O585" s="2525"/>
      <c r="P585" s="2525">
        <v>0</v>
      </c>
      <c r="Q585" s="2525"/>
      <c r="R585" s="2525">
        <v>0</v>
      </c>
      <c r="S585" s="2525"/>
      <c r="T585" s="2525">
        <v>0</v>
      </c>
      <c r="U585" s="2525"/>
      <c r="V585" s="1961">
        <v>0</v>
      </c>
      <c r="W585" s="1962" t="s">
        <v>2453</v>
      </c>
    </row>
    <row r="586" spans="1:23" ht="11.25" customHeight="1" x14ac:dyDescent="0.2">
      <c r="A586" s="2526" t="s">
        <v>3060</v>
      </c>
      <c r="B586" s="2526"/>
      <c r="C586" s="2526"/>
      <c r="D586" s="2526"/>
      <c r="E586" s="2526"/>
      <c r="F586" s="1960" t="s">
        <v>2112</v>
      </c>
      <c r="G586" s="2526" t="s">
        <v>3061</v>
      </c>
      <c r="H586" s="2526"/>
      <c r="I586" s="2526"/>
      <c r="J586" s="2526"/>
      <c r="L586" s="2525">
        <v>0</v>
      </c>
      <c r="M586" s="2525"/>
      <c r="N586" s="2525">
        <v>0</v>
      </c>
      <c r="O586" s="2525"/>
      <c r="P586" s="2525">
        <v>64422.520000000004</v>
      </c>
      <c r="Q586" s="2525"/>
      <c r="R586" s="2525">
        <v>64422.520000000004</v>
      </c>
      <c r="S586" s="2525"/>
      <c r="T586" s="2525">
        <v>60000</v>
      </c>
      <c r="U586" s="2525"/>
      <c r="V586" s="1961">
        <v>107.37086666666669</v>
      </c>
      <c r="W586" s="1962" t="s">
        <v>2453</v>
      </c>
    </row>
    <row r="587" spans="1:23" ht="11.25" customHeight="1" x14ac:dyDescent="0.2">
      <c r="A587" s="2526" t="s">
        <v>3060</v>
      </c>
      <c r="B587" s="2526"/>
      <c r="C587" s="2526"/>
      <c r="D587" s="2526"/>
      <c r="E587" s="2526"/>
      <c r="F587" s="1960" t="s">
        <v>2212</v>
      </c>
      <c r="G587" s="2526" t="s">
        <v>3062</v>
      </c>
      <c r="H587" s="2526"/>
      <c r="I587" s="2526"/>
      <c r="J587" s="2526"/>
      <c r="L587" s="2525">
        <v>0</v>
      </c>
      <c r="M587" s="2525"/>
      <c r="N587" s="2525">
        <v>0</v>
      </c>
      <c r="O587" s="2525"/>
      <c r="P587" s="2525">
        <v>0</v>
      </c>
      <c r="Q587" s="2525"/>
      <c r="R587" s="2525">
        <v>0</v>
      </c>
      <c r="S587" s="2525"/>
      <c r="T587" s="2525">
        <v>0</v>
      </c>
      <c r="U587" s="2525"/>
      <c r="V587" s="1961">
        <v>0</v>
      </c>
      <c r="W587" s="1962" t="s">
        <v>2453</v>
      </c>
    </row>
    <row r="588" spans="1:23" ht="11.25" customHeight="1" x14ac:dyDescent="0.2">
      <c r="A588" s="2526" t="s">
        <v>3063</v>
      </c>
      <c r="B588" s="2526"/>
      <c r="C588" s="2526"/>
      <c r="D588" s="2526"/>
      <c r="E588" s="2526"/>
      <c r="F588" s="1960" t="s">
        <v>2112</v>
      </c>
      <c r="G588" s="2526" t="s">
        <v>3064</v>
      </c>
      <c r="H588" s="2526"/>
      <c r="I588" s="2526"/>
      <c r="J588" s="2526"/>
      <c r="L588" s="2525">
        <v>0</v>
      </c>
      <c r="M588" s="2525"/>
      <c r="N588" s="2525">
        <v>0</v>
      </c>
      <c r="O588" s="2525"/>
      <c r="P588" s="2525">
        <v>3334.38</v>
      </c>
      <c r="Q588" s="2525"/>
      <c r="R588" s="2525">
        <v>3334.38</v>
      </c>
      <c r="S588" s="2525"/>
      <c r="T588" s="2525">
        <v>3000</v>
      </c>
      <c r="U588" s="2525"/>
      <c r="V588" s="1961">
        <v>111.146</v>
      </c>
      <c r="W588" s="1962" t="s">
        <v>2453</v>
      </c>
    </row>
    <row r="589" spans="1:23" ht="11.25" customHeight="1" x14ac:dyDescent="0.2">
      <c r="A589" s="2526" t="s">
        <v>3065</v>
      </c>
      <c r="B589" s="2526"/>
      <c r="C589" s="2526"/>
      <c r="D589" s="2526"/>
      <c r="E589" s="2526"/>
      <c r="F589" s="1960" t="s">
        <v>2112</v>
      </c>
      <c r="G589" s="2526" t="s">
        <v>3066</v>
      </c>
      <c r="H589" s="2526"/>
      <c r="I589" s="2526"/>
      <c r="J589" s="2526"/>
      <c r="L589" s="2525">
        <v>0</v>
      </c>
      <c r="M589" s="2525"/>
      <c r="N589" s="2525">
        <v>0</v>
      </c>
      <c r="O589" s="2525"/>
      <c r="P589" s="2525">
        <v>0</v>
      </c>
      <c r="Q589" s="2525"/>
      <c r="R589" s="2525">
        <v>0</v>
      </c>
      <c r="S589" s="2525"/>
      <c r="T589" s="2525">
        <v>0</v>
      </c>
      <c r="U589" s="2525"/>
      <c r="V589" s="1961">
        <v>0</v>
      </c>
      <c r="W589" s="1962" t="s">
        <v>2453</v>
      </c>
    </row>
    <row r="590" spans="1:23" ht="11.25" customHeight="1" x14ac:dyDescent="0.2">
      <c r="A590" s="2526" t="s">
        <v>3067</v>
      </c>
      <c r="B590" s="2526"/>
      <c r="C590" s="2526"/>
      <c r="D590" s="2526"/>
      <c r="E590" s="2526"/>
      <c r="F590" s="1960" t="s">
        <v>2112</v>
      </c>
      <c r="G590" s="2526" t="s">
        <v>2976</v>
      </c>
      <c r="H590" s="2526"/>
      <c r="I590" s="2526"/>
      <c r="J590" s="2526"/>
      <c r="L590" s="2525">
        <v>0</v>
      </c>
      <c r="M590" s="2525"/>
      <c r="N590" s="2525">
        <v>0</v>
      </c>
      <c r="O590" s="2525"/>
      <c r="P590" s="2525">
        <v>36</v>
      </c>
      <c r="Q590" s="2525"/>
      <c r="R590" s="2525">
        <v>36</v>
      </c>
      <c r="S590" s="2525"/>
      <c r="T590" s="2525">
        <v>24</v>
      </c>
      <c r="U590" s="2525"/>
      <c r="V590" s="1961">
        <v>150</v>
      </c>
      <c r="W590" s="1962" t="s">
        <v>2453</v>
      </c>
    </row>
    <row r="591" spans="1:23" ht="11.25" customHeight="1" x14ac:dyDescent="0.2">
      <c r="A591" s="2526" t="s">
        <v>3068</v>
      </c>
      <c r="B591" s="2526"/>
      <c r="C591" s="2526"/>
      <c r="D591" s="2526"/>
      <c r="E591" s="2526"/>
      <c r="F591" s="1960" t="s">
        <v>2112</v>
      </c>
      <c r="G591" s="2526" t="s">
        <v>3069</v>
      </c>
      <c r="H591" s="2526"/>
      <c r="I591" s="2526"/>
      <c r="J591" s="2526"/>
      <c r="L591" s="2525">
        <v>0</v>
      </c>
      <c r="M591" s="2525"/>
      <c r="N591" s="2525">
        <v>0</v>
      </c>
      <c r="O591" s="2525"/>
      <c r="P591" s="2525">
        <v>6600</v>
      </c>
      <c r="Q591" s="2525"/>
      <c r="R591" s="2525">
        <v>6600</v>
      </c>
      <c r="S591" s="2525"/>
      <c r="T591" s="2525">
        <v>6600</v>
      </c>
      <c r="U591" s="2525"/>
      <c r="V591" s="1961">
        <v>100</v>
      </c>
      <c r="W591" s="1962" t="s">
        <v>2453</v>
      </c>
    </row>
    <row r="592" spans="1:23" ht="11.25" customHeight="1" x14ac:dyDescent="0.2">
      <c r="A592" s="2526" t="s">
        <v>3070</v>
      </c>
      <c r="B592" s="2526"/>
      <c r="C592" s="2526"/>
      <c r="D592" s="2526"/>
      <c r="E592" s="2526"/>
      <c r="F592" s="1960" t="s">
        <v>2112</v>
      </c>
      <c r="G592" s="2526" t="s">
        <v>3071</v>
      </c>
      <c r="H592" s="2526"/>
      <c r="I592" s="2526"/>
      <c r="J592" s="2526"/>
      <c r="L592" s="2525">
        <v>0</v>
      </c>
      <c r="M592" s="2525"/>
      <c r="N592" s="2525">
        <v>0</v>
      </c>
      <c r="O592" s="2525"/>
      <c r="P592" s="2525">
        <v>0</v>
      </c>
      <c r="Q592" s="2525"/>
      <c r="R592" s="2525">
        <v>0</v>
      </c>
      <c r="S592" s="2525"/>
      <c r="T592" s="2525">
        <v>0</v>
      </c>
      <c r="U592" s="2525"/>
      <c r="V592" s="1961">
        <v>0</v>
      </c>
      <c r="W592" s="1962" t="s">
        <v>2453</v>
      </c>
    </row>
    <row r="593" spans="1:23" ht="11.25" customHeight="1" x14ac:dyDescent="0.2">
      <c r="A593" s="2526" t="s">
        <v>3072</v>
      </c>
      <c r="B593" s="2526"/>
      <c r="C593" s="2526"/>
      <c r="D593" s="2526"/>
      <c r="E593" s="2526"/>
      <c r="F593" s="1960" t="s">
        <v>2112</v>
      </c>
      <c r="G593" s="2526" t="s">
        <v>3073</v>
      </c>
      <c r="H593" s="2526"/>
      <c r="I593" s="2526"/>
      <c r="J593" s="2526"/>
      <c r="L593" s="2525">
        <v>0</v>
      </c>
      <c r="M593" s="2525"/>
      <c r="N593" s="2525">
        <v>0</v>
      </c>
      <c r="O593" s="2525"/>
      <c r="P593" s="2525">
        <v>305.90000000000003</v>
      </c>
      <c r="Q593" s="2525"/>
      <c r="R593" s="2525">
        <v>305.90000000000003</v>
      </c>
      <c r="S593" s="2525"/>
      <c r="T593" s="2525">
        <v>0</v>
      </c>
      <c r="U593" s="2525"/>
      <c r="V593" s="1961">
        <v>0</v>
      </c>
      <c r="W593" s="1962" t="s">
        <v>2453</v>
      </c>
    </row>
    <row r="594" spans="1:23" ht="11.25" customHeight="1" x14ac:dyDescent="0.2">
      <c r="A594" s="2526" t="s">
        <v>3074</v>
      </c>
      <c r="B594" s="2526"/>
      <c r="C594" s="2526"/>
      <c r="D594" s="2526"/>
      <c r="E594" s="2526"/>
      <c r="F594" s="1960" t="s">
        <v>2112</v>
      </c>
      <c r="G594" s="2526" t="s">
        <v>3075</v>
      </c>
      <c r="H594" s="2526"/>
      <c r="I594" s="2526"/>
      <c r="J594" s="2526"/>
      <c r="L594" s="2525">
        <v>0</v>
      </c>
      <c r="M594" s="2525"/>
      <c r="N594" s="2525">
        <v>0</v>
      </c>
      <c r="O594" s="2525"/>
      <c r="P594" s="2525">
        <v>2415.2200000000003</v>
      </c>
      <c r="Q594" s="2525"/>
      <c r="R594" s="2525">
        <v>2415.2200000000003</v>
      </c>
      <c r="S594" s="2525"/>
      <c r="T594" s="2525">
        <v>2500</v>
      </c>
      <c r="U594" s="2525"/>
      <c r="V594" s="1961">
        <v>96.608800000000016</v>
      </c>
      <c r="W594" s="1962" t="s">
        <v>2453</v>
      </c>
    </row>
    <row r="595" spans="1:23" ht="11.25" customHeight="1" x14ac:dyDescent="0.2">
      <c r="A595" s="2526" t="s">
        <v>3076</v>
      </c>
      <c r="B595" s="2526"/>
      <c r="C595" s="2526"/>
      <c r="D595" s="2526"/>
      <c r="E595" s="2526"/>
      <c r="F595" s="1960" t="s">
        <v>2112</v>
      </c>
      <c r="G595" s="2526" t="s">
        <v>3077</v>
      </c>
      <c r="H595" s="2526"/>
      <c r="I595" s="2526"/>
      <c r="J595" s="2526"/>
      <c r="L595" s="2525">
        <v>0</v>
      </c>
      <c r="M595" s="2525"/>
      <c r="N595" s="2525">
        <v>0</v>
      </c>
      <c r="O595" s="2525"/>
      <c r="P595" s="2525">
        <v>27962.78</v>
      </c>
      <c r="Q595" s="2525"/>
      <c r="R595" s="2525">
        <v>27962.78</v>
      </c>
      <c r="S595" s="2525"/>
      <c r="T595" s="2525">
        <v>40000</v>
      </c>
      <c r="U595" s="2525"/>
      <c r="V595" s="1961">
        <v>69.906949999999995</v>
      </c>
      <c r="W595" s="1962" t="s">
        <v>2453</v>
      </c>
    </row>
    <row r="596" spans="1:23" ht="11.25" customHeight="1" x14ac:dyDescent="0.2">
      <c r="A596" s="2526" t="s">
        <v>3078</v>
      </c>
      <c r="B596" s="2526"/>
      <c r="C596" s="2526"/>
      <c r="D596" s="2526"/>
      <c r="E596" s="2526"/>
      <c r="F596" s="1960" t="s">
        <v>2112</v>
      </c>
      <c r="G596" s="2526" t="s">
        <v>3079</v>
      </c>
      <c r="H596" s="2526"/>
      <c r="I596" s="2526"/>
      <c r="J596" s="2526"/>
      <c r="L596" s="2525">
        <v>0</v>
      </c>
      <c r="M596" s="2525"/>
      <c r="N596" s="2525">
        <v>0</v>
      </c>
      <c r="O596" s="2525"/>
      <c r="P596" s="2525">
        <v>0</v>
      </c>
      <c r="Q596" s="2525"/>
      <c r="R596" s="2525">
        <v>0</v>
      </c>
      <c r="S596" s="2525"/>
      <c r="T596" s="2525">
        <v>0</v>
      </c>
      <c r="U596" s="2525"/>
      <c r="V596" s="1961">
        <v>0</v>
      </c>
      <c r="W596" s="1962" t="s">
        <v>2453</v>
      </c>
    </row>
    <row r="597" spans="1:23" ht="11.25" customHeight="1" x14ac:dyDescent="0.2">
      <c r="A597" s="2526" t="s">
        <v>3080</v>
      </c>
      <c r="B597" s="2526"/>
      <c r="C597" s="2526"/>
      <c r="D597" s="2526"/>
      <c r="E597" s="2526"/>
      <c r="F597" s="1960" t="s">
        <v>2112</v>
      </c>
      <c r="G597" s="2526" t="s">
        <v>3081</v>
      </c>
      <c r="H597" s="2526"/>
      <c r="I597" s="2526"/>
      <c r="J597" s="2526"/>
      <c r="L597" s="2525">
        <v>0</v>
      </c>
      <c r="M597" s="2525"/>
      <c r="N597" s="2525">
        <v>0</v>
      </c>
      <c r="O597" s="2525"/>
      <c r="P597" s="2525">
        <v>4841.88</v>
      </c>
      <c r="Q597" s="2525"/>
      <c r="R597" s="2525">
        <v>4841.88</v>
      </c>
      <c r="S597" s="2525"/>
      <c r="T597" s="2525">
        <v>5000</v>
      </c>
      <c r="U597" s="2525"/>
      <c r="V597" s="1961">
        <v>96.837600000000009</v>
      </c>
      <c r="W597" s="1962" t="s">
        <v>2453</v>
      </c>
    </row>
    <row r="598" spans="1:23" ht="11.25" customHeight="1" x14ac:dyDescent="0.2">
      <c r="A598" s="2526" t="s">
        <v>3082</v>
      </c>
      <c r="B598" s="2526"/>
      <c r="C598" s="2526"/>
      <c r="D598" s="2526"/>
      <c r="E598" s="2526"/>
      <c r="F598" s="1960" t="s">
        <v>2112</v>
      </c>
      <c r="G598" s="2526" t="s">
        <v>2687</v>
      </c>
      <c r="H598" s="2526"/>
      <c r="I598" s="2526"/>
      <c r="J598" s="2526"/>
      <c r="L598" s="2525">
        <v>0</v>
      </c>
      <c r="M598" s="2525"/>
      <c r="N598" s="2525">
        <v>0</v>
      </c>
      <c r="O598" s="2525"/>
      <c r="P598" s="2525">
        <v>234.74</v>
      </c>
      <c r="Q598" s="2525"/>
      <c r="R598" s="2525">
        <v>234.74</v>
      </c>
      <c r="S598" s="2525"/>
      <c r="T598" s="2525">
        <v>500</v>
      </c>
      <c r="U598" s="2525"/>
      <c r="V598" s="1961">
        <v>46.948</v>
      </c>
      <c r="W598" s="1962" t="s">
        <v>2453</v>
      </c>
    </row>
    <row r="599" spans="1:23" ht="11.25" customHeight="1" x14ac:dyDescent="0.2">
      <c r="A599" s="2526" t="s">
        <v>3083</v>
      </c>
      <c r="B599" s="2526"/>
      <c r="C599" s="2526"/>
      <c r="D599" s="2526"/>
      <c r="E599" s="2526"/>
      <c r="F599" s="1960" t="s">
        <v>2112</v>
      </c>
      <c r="G599" s="2526" t="s">
        <v>3084</v>
      </c>
      <c r="H599" s="2526"/>
      <c r="I599" s="2526"/>
      <c r="J599" s="2526"/>
      <c r="L599" s="2525">
        <v>0</v>
      </c>
      <c r="M599" s="2525"/>
      <c r="N599" s="2525">
        <v>0</v>
      </c>
      <c r="O599" s="2525"/>
      <c r="P599" s="2525">
        <v>4402.2700000000004</v>
      </c>
      <c r="Q599" s="2525"/>
      <c r="R599" s="2525">
        <v>4402.2700000000004</v>
      </c>
      <c r="S599" s="2525"/>
      <c r="T599" s="2525">
        <v>4500</v>
      </c>
      <c r="U599" s="2525"/>
      <c r="V599" s="1961">
        <v>97.828222222222237</v>
      </c>
      <c r="W599" s="1962" t="s">
        <v>2453</v>
      </c>
    </row>
    <row r="600" spans="1:23" ht="11.25" customHeight="1" x14ac:dyDescent="0.2">
      <c r="A600" s="2526" t="s">
        <v>3085</v>
      </c>
      <c r="B600" s="2526"/>
      <c r="C600" s="2526"/>
      <c r="D600" s="2526"/>
      <c r="E600" s="2526"/>
      <c r="F600" s="1960" t="s">
        <v>2112</v>
      </c>
      <c r="G600" s="2526" t="s">
        <v>3086</v>
      </c>
      <c r="H600" s="2526"/>
      <c r="I600" s="2526"/>
      <c r="J600" s="2526"/>
      <c r="L600" s="2525">
        <v>0</v>
      </c>
      <c r="M600" s="2525"/>
      <c r="N600" s="2525">
        <v>0</v>
      </c>
      <c r="O600" s="2525"/>
      <c r="P600" s="2525">
        <v>8473.380000000001</v>
      </c>
      <c r="Q600" s="2525"/>
      <c r="R600" s="2525">
        <v>8473.380000000001</v>
      </c>
      <c r="S600" s="2525"/>
      <c r="T600" s="2525">
        <v>8000</v>
      </c>
      <c r="U600" s="2525"/>
      <c r="V600" s="1961">
        <v>105.91725000000001</v>
      </c>
      <c r="W600" s="1962" t="s">
        <v>2453</v>
      </c>
    </row>
    <row r="601" spans="1:23" ht="11.25" customHeight="1" x14ac:dyDescent="0.2">
      <c r="A601" s="2526" t="s">
        <v>3087</v>
      </c>
      <c r="B601" s="2526"/>
      <c r="C601" s="2526"/>
      <c r="D601" s="2526"/>
      <c r="E601" s="2526"/>
      <c r="F601" s="1960" t="s">
        <v>2112</v>
      </c>
      <c r="G601" s="2526" t="s">
        <v>2690</v>
      </c>
      <c r="H601" s="2526"/>
      <c r="I601" s="2526"/>
      <c r="J601" s="2526"/>
      <c r="L601" s="2525">
        <v>0</v>
      </c>
      <c r="M601" s="2525"/>
      <c r="N601" s="2525">
        <v>0</v>
      </c>
      <c r="O601" s="2525"/>
      <c r="P601" s="2525">
        <v>21323.260000000002</v>
      </c>
      <c r="Q601" s="2525"/>
      <c r="R601" s="2525">
        <v>21323.260000000002</v>
      </c>
      <c r="S601" s="2525"/>
      <c r="T601" s="2525">
        <v>15000</v>
      </c>
      <c r="U601" s="2525"/>
      <c r="V601" s="1961">
        <v>142.15506666666667</v>
      </c>
      <c r="W601" s="1962" t="s">
        <v>2453</v>
      </c>
    </row>
    <row r="602" spans="1:23" ht="11.25" customHeight="1" x14ac:dyDescent="0.2">
      <c r="A602" s="2526" t="s">
        <v>3088</v>
      </c>
      <c r="B602" s="2526"/>
      <c r="C602" s="2526"/>
      <c r="D602" s="2526"/>
      <c r="E602" s="2526"/>
      <c r="F602" s="1960" t="s">
        <v>2112</v>
      </c>
      <c r="G602" s="2526" t="s">
        <v>3089</v>
      </c>
      <c r="H602" s="2526"/>
      <c r="I602" s="2526"/>
      <c r="J602" s="2526"/>
      <c r="L602" s="2525">
        <v>0</v>
      </c>
      <c r="M602" s="2525"/>
      <c r="N602" s="2525">
        <v>0</v>
      </c>
      <c r="O602" s="2525"/>
      <c r="P602" s="2525">
        <v>6754.43</v>
      </c>
      <c r="Q602" s="2525"/>
      <c r="R602" s="2525">
        <v>6754.43</v>
      </c>
      <c r="S602" s="2525"/>
      <c r="T602" s="2525">
        <v>15000</v>
      </c>
      <c r="U602" s="2525"/>
      <c r="V602" s="1961">
        <v>45.029533333333333</v>
      </c>
      <c r="W602" s="1962" t="s">
        <v>2453</v>
      </c>
    </row>
    <row r="603" spans="1:23" ht="11.25" customHeight="1" x14ac:dyDescent="0.2">
      <c r="A603" s="2526" t="s">
        <v>3090</v>
      </c>
      <c r="B603" s="2526"/>
      <c r="C603" s="2526"/>
      <c r="D603" s="2526"/>
      <c r="E603" s="2526"/>
      <c r="F603" s="1960" t="s">
        <v>2112</v>
      </c>
      <c r="G603" s="2526" t="s">
        <v>3091</v>
      </c>
      <c r="H603" s="2526"/>
      <c r="I603" s="2526"/>
      <c r="J603" s="2526"/>
      <c r="L603" s="2525">
        <v>0</v>
      </c>
      <c r="M603" s="2525"/>
      <c r="N603" s="2525">
        <v>0</v>
      </c>
      <c r="O603" s="2525"/>
      <c r="P603" s="2525">
        <v>17667.27</v>
      </c>
      <c r="Q603" s="2525"/>
      <c r="R603" s="2525">
        <v>17667.27</v>
      </c>
      <c r="S603" s="2525"/>
      <c r="T603" s="2525">
        <v>18000</v>
      </c>
      <c r="U603" s="2525"/>
      <c r="V603" s="1961">
        <v>98.151499999999999</v>
      </c>
      <c r="W603" s="1962" t="s">
        <v>2453</v>
      </c>
    </row>
    <row r="604" spans="1:23" ht="11.25" customHeight="1" x14ac:dyDescent="0.2">
      <c r="A604" s="2526" t="s">
        <v>3092</v>
      </c>
      <c r="B604" s="2526"/>
      <c r="C604" s="2526"/>
      <c r="D604" s="2526"/>
      <c r="E604" s="2526"/>
      <c r="F604" s="1960" t="s">
        <v>2112</v>
      </c>
      <c r="G604" s="2526" t="s">
        <v>2156</v>
      </c>
      <c r="H604" s="2526"/>
      <c r="I604" s="2526"/>
      <c r="J604" s="2526"/>
      <c r="L604" s="2525">
        <v>0</v>
      </c>
      <c r="M604" s="2525"/>
      <c r="N604" s="2525">
        <v>0</v>
      </c>
      <c r="O604" s="2525"/>
      <c r="P604" s="2525">
        <v>107.99000000000001</v>
      </c>
      <c r="Q604" s="2525"/>
      <c r="R604" s="2525">
        <v>107.99000000000001</v>
      </c>
      <c r="S604" s="2525"/>
      <c r="T604" s="2525">
        <v>1000</v>
      </c>
      <c r="U604" s="2525"/>
      <c r="V604" s="1961">
        <v>10.798999999999999</v>
      </c>
      <c r="W604" s="1962" t="s">
        <v>2453</v>
      </c>
    </row>
    <row r="605" spans="1:23" ht="11.25" customHeight="1" x14ac:dyDescent="0.2">
      <c r="A605" s="2526" t="s">
        <v>3093</v>
      </c>
      <c r="B605" s="2526"/>
      <c r="C605" s="2526"/>
      <c r="D605" s="2526"/>
      <c r="E605" s="2526"/>
      <c r="F605" s="1960" t="s">
        <v>2112</v>
      </c>
      <c r="G605" s="2526" t="s">
        <v>3094</v>
      </c>
      <c r="H605" s="2526"/>
      <c r="I605" s="2526"/>
      <c r="J605" s="2526"/>
      <c r="L605" s="2525">
        <v>0</v>
      </c>
      <c r="M605" s="2525"/>
      <c r="N605" s="2525">
        <v>0</v>
      </c>
      <c r="O605" s="2525"/>
      <c r="P605" s="2525">
        <v>26081.350000000002</v>
      </c>
      <c r="Q605" s="2525"/>
      <c r="R605" s="2525">
        <v>26081.350000000002</v>
      </c>
      <c r="S605" s="2525"/>
      <c r="T605" s="2525">
        <v>15000</v>
      </c>
      <c r="U605" s="2525"/>
      <c r="V605" s="1961">
        <v>521.62699999999995</v>
      </c>
      <c r="W605" s="1962" t="s">
        <v>2453</v>
      </c>
    </row>
    <row r="606" spans="1:23" ht="11.25" customHeight="1" x14ac:dyDescent="0.2">
      <c r="A606" s="2526" t="s">
        <v>3095</v>
      </c>
      <c r="B606" s="2526"/>
      <c r="C606" s="2526"/>
      <c r="D606" s="2526"/>
      <c r="E606" s="2526"/>
      <c r="F606" s="1960" t="s">
        <v>2112</v>
      </c>
      <c r="G606" s="2526" t="s">
        <v>3096</v>
      </c>
      <c r="H606" s="2526"/>
      <c r="I606" s="2526"/>
      <c r="J606" s="2526"/>
      <c r="L606" s="2525">
        <v>0</v>
      </c>
      <c r="M606" s="2525"/>
      <c r="N606" s="2525">
        <v>0</v>
      </c>
      <c r="O606" s="2525"/>
      <c r="P606" s="2525">
        <v>17340.98</v>
      </c>
      <c r="Q606" s="2525"/>
      <c r="R606" s="2525">
        <v>17340.98</v>
      </c>
      <c r="S606" s="2525"/>
      <c r="T606" s="2525">
        <v>15000</v>
      </c>
      <c r="U606" s="2525"/>
      <c r="V606" s="1961">
        <v>115.60653333333335</v>
      </c>
      <c r="W606" s="1962" t="s">
        <v>2453</v>
      </c>
    </row>
    <row r="607" spans="1:23" ht="11.25" customHeight="1" x14ac:dyDescent="0.2">
      <c r="A607" s="2526" t="s">
        <v>3097</v>
      </c>
      <c r="B607" s="2526"/>
      <c r="C607" s="2526"/>
      <c r="D607" s="2526"/>
      <c r="E607" s="2526"/>
      <c r="F607" s="1960" t="s">
        <v>2112</v>
      </c>
      <c r="G607" s="2526" t="s">
        <v>2696</v>
      </c>
      <c r="H607" s="2526"/>
      <c r="I607" s="2526"/>
      <c r="J607" s="2526"/>
      <c r="L607" s="2525">
        <v>0</v>
      </c>
      <c r="M607" s="2525"/>
      <c r="N607" s="2525">
        <v>0</v>
      </c>
      <c r="O607" s="2525"/>
      <c r="P607" s="2525">
        <v>0</v>
      </c>
      <c r="Q607" s="2525"/>
      <c r="R607" s="2525">
        <v>0</v>
      </c>
      <c r="S607" s="2525"/>
      <c r="T607" s="2525">
        <v>0</v>
      </c>
      <c r="U607" s="2525"/>
      <c r="V607" s="1961">
        <v>0</v>
      </c>
      <c r="W607" s="1962" t="s">
        <v>2453</v>
      </c>
    </row>
    <row r="608" spans="1:23" ht="11.25" customHeight="1" x14ac:dyDescent="0.2">
      <c r="A608" s="2526" t="s">
        <v>3098</v>
      </c>
      <c r="B608" s="2526"/>
      <c r="C608" s="2526"/>
      <c r="D608" s="2526"/>
      <c r="E608" s="2526"/>
      <c r="F608" s="1960" t="s">
        <v>2112</v>
      </c>
      <c r="G608" s="2526" t="s">
        <v>3099</v>
      </c>
      <c r="H608" s="2526"/>
      <c r="I608" s="2526"/>
      <c r="J608" s="2526"/>
      <c r="L608" s="2525">
        <v>0</v>
      </c>
      <c r="M608" s="2525"/>
      <c r="N608" s="2525">
        <v>0</v>
      </c>
      <c r="O608" s="2525"/>
      <c r="P608" s="2525">
        <v>27338.04</v>
      </c>
      <c r="Q608" s="2525"/>
      <c r="R608" s="2525">
        <v>27338.04</v>
      </c>
      <c r="S608" s="2525"/>
      <c r="T608" s="2525">
        <v>30000</v>
      </c>
      <c r="U608" s="2525"/>
      <c r="V608" s="1961">
        <v>91.126800000000003</v>
      </c>
      <c r="W608" s="1962" t="s">
        <v>2453</v>
      </c>
    </row>
    <row r="609" spans="1:23" ht="11.25" customHeight="1" x14ac:dyDescent="0.2">
      <c r="A609" s="2526" t="s">
        <v>3100</v>
      </c>
      <c r="B609" s="2526"/>
      <c r="C609" s="2526"/>
      <c r="D609" s="2526"/>
      <c r="E609" s="2526"/>
      <c r="F609" s="1960" t="s">
        <v>2112</v>
      </c>
      <c r="G609" s="2526" t="s">
        <v>3101</v>
      </c>
      <c r="H609" s="2526"/>
      <c r="I609" s="2526"/>
      <c r="J609" s="2526"/>
      <c r="L609" s="2525">
        <v>0</v>
      </c>
      <c r="M609" s="2525"/>
      <c r="N609" s="2525">
        <v>0</v>
      </c>
      <c r="O609" s="2525"/>
      <c r="P609" s="2525">
        <v>104</v>
      </c>
      <c r="Q609" s="2525"/>
      <c r="R609" s="2525">
        <v>104</v>
      </c>
      <c r="S609" s="2525"/>
      <c r="T609" s="2525">
        <v>0</v>
      </c>
      <c r="U609" s="2525"/>
      <c r="V609" s="1961">
        <v>0</v>
      </c>
      <c r="W609" s="1962" t="s">
        <v>2453</v>
      </c>
    </row>
    <row r="610" spans="1:23" ht="11.25" customHeight="1" x14ac:dyDescent="0.2">
      <c r="A610" s="2526" t="s">
        <v>3102</v>
      </c>
      <c r="B610" s="2526"/>
      <c r="C610" s="2526"/>
      <c r="D610" s="2526"/>
      <c r="E610" s="2526"/>
      <c r="F610" s="1960" t="s">
        <v>2112</v>
      </c>
      <c r="G610" s="2526" t="s">
        <v>3103</v>
      </c>
      <c r="H610" s="2526"/>
      <c r="I610" s="2526"/>
      <c r="J610" s="2526"/>
      <c r="L610" s="2525">
        <v>0</v>
      </c>
      <c r="M610" s="2525"/>
      <c r="N610" s="2525">
        <v>0</v>
      </c>
      <c r="O610" s="2525"/>
      <c r="P610" s="2525">
        <v>84.06</v>
      </c>
      <c r="Q610" s="2525"/>
      <c r="R610" s="2525">
        <v>84.06</v>
      </c>
      <c r="S610" s="2525"/>
      <c r="T610" s="2525">
        <v>1000</v>
      </c>
      <c r="U610" s="2525"/>
      <c r="V610" s="1961">
        <v>8.4060000000000006</v>
      </c>
      <c r="W610" s="1962" t="s">
        <v>2453</v>
      </c>
    </row>
    <row r="611" spans="1:23" ht="11.25" customHeight="1" x14ac:dyDescent="0.2">
      <c r="A611" s="2526" t="s">
        <v>3104</v>
      </c>
      <c r="B611" s="2526"/>
      <c r="C611" s="2526"/>
      <c r="D611" s="2526"/>
      <c r="E611" s="2526"/>
      <c r="F611" s="1960" t="s">
        <v>2112</v>
      </c>
      <c r="G611" s="2526" t="s">
        <v>3105</v>
      </c>
      <c r="H611" s="2526"/>
      <c r="I611" s="2526"/>
      <c r="J611" s="2526"/>
      <c r="L611" s="2525">
        <v>0</v>
      </c>
      <c r="M611" s="2525"/>
      <c r="N611" s="2525">
        <v>0</v>
      </c>
      <c r="O611" s="2525"/>
      <c r="P611" s="2525">
        <v>0</v>
      </c>
      <c r="Q611" s="2525"/>
      <c r="R611" s="2525">
        <v>0</v>
      </c>
      <c r="S611" s="2525"/>
      <c r="T611" s="2525">
        <v>0</v>
      </c>
      <c r="U611" s="2525"/>
      <c r="V611" s="1961">
        <v>0</v>
      </c>
      <c r="W611" s="1962" t="s">
        <v>2453</v>
      </c>
    </row>
    <row r="612" spans="1:23" ht="2.25" customHeight="1" x14ac:dyDescent="0.2"/>
    <row r="613" spans="1:23" ht="13.5" customHeight="1" x14ac:dyDescent="0.2">
      <c r="A613" s="2523" t="s">
        <v>2342</v>
      </c>
      <c r="B613" s="2523"/>
      <c r="C613" s="2523"/>
      <c r="D613" s="2523"/>
      <c r="E613" s="2523"/>
      <c r="F613" s="2523"/>
      <c r="G613" s="2523"/>
      <c r="H613" s="2523"/>
      <c r="I613" s="2523"/>
      <c r="L613" s="2524">
        <v>0</v>
      </c>
      <c r="M613" s="2524"/>
      <c r="N613" s="2524">
        <v>0</v>
      </c>
      <c r="O613" s="2524"/>
      <c r="P613" s="2524">
        <v>240396.29</v>
      </c>
      <c r="Q613" s="2524"/>
      <c r="R613" s="2524">
        <v>240396.29</v>
      </c>
      <c r="S613" s="2524"/>
      <c r="T613" s="2524">
        <v>230124</v>
      </c>
      <c r="U613" s="2524"/>
      <c r="V613" s="1963">
        <v>104.46380646955555</v>
      </c>
    </row>
    <row r="614" spans="1:23" ht="15.75" customHeight="1" x14ac:dyDescent="0.2">
      <c r="A614" s="1959"/>
      <c r="B614" s="2527" t="s">
        <v>2343</v>
      </c>
      <c r="C614" s="2527"/>
      <c r="D614" s="2527"/>
      <c r="E614" s="2527"/>
      <c r="F614" s="2527"/>
      <c r="G614" s="2527"/>
      <c r="H614" s="2527"/>
      <c r="I614" s="2527"/>
      <c r="J614" s="2527"/>
      <c r="K614" s="2527"/>
      <c r="L614" s="2527"/>
      <c r="M614" s="2527"/>
      <c r="N614" s="2527"/>
      <c r="O614" s="2527"/>
      <c r="P614" s="2527"/>
      <c r="Q614" s="2527"/>
      <c r="R614" s="2527"/>
      <c r="S614" s="2527"/>
      <c r="T614" s="2527"/>
      <c r="U614" s="2527"/>
      <c r="V614" s="2527"/>
    </row>
    <row r="615" spans="1:23" ht="11.25" customHeight="1" x14ac:dyDescent="0.2">
      <c r="A615" s="2526" t="s">
        <v>3106</v>
      </c>
      <c r="B615" s="2526"/>
      <c r="C615" s="2526"/>
      <c r="D615" s="2526"/>
      <c r="E615" s="2526"/>
      <c r="F615" s="1960" t="s">
        <v>2112</v>
      </c>
      <c r="G615" s="2526" t="s">
        <v>3107</v>
      </c>
      <c r="H615" s="2526"/>
      <c r="I615" s="2526"/>
      <c r="J615" s="2526"/>
      <c r="L615" s="2525">
        <v>0</v>
      </c>
      <c r="M615" s="2525"/>
      <c r="N615" s="2525">
        <v>0</v>
      </c>
      <c r="O615" s="2525"/>
      <c r="P615" s="2525">
        <v>0</v>
      </c>
      <c r="Q615" s="2525"/>
      <c r="R615" s="2525">
        <v>0</v>
      </c>
      <c r="S615" s="2525"/>
      <c r="T615" s="2525">
        <v>0</v>
      </c>
      <c r="U615" s="2525"/>
      <c r="V615" s="1961">
        <v>0</v>
      </c>
      <c r="W615" s="1962" t="s">
        <v>2453</v>
      </c>
    </row>
    <row r="616" spans="1:23" ht="11.25" customHeight="1" x14ac:dyDescent="0.2">
      <c r="A616" s="2526" t="s">
        <v>3108</v>
      </c>
      <c r="B616" s="2526"/>
      <c r="C616" s="2526"/>
      <c r="D616" s="2526"/>
      <c r="E616" s="2526"/>
      <c r="F616" s="1960" t="s">
        <v>2112</v>
      </c>
      <c r="G616" s="2526" t="s">
        <v>3109</v>
      </c>
      <c r="H616" s="2526"/>
      <c r="I616" s="2526"/>
      <c r="J616" s="2526"/>
      <c r="L616" s="2525">
        <v>0</v>
      </c>
      <c r="M616" s="2525"/>
      <c r="N616" s="2525">
        <v>0</v>
      </c>
      <c r="O616" s="2525"/>
      <c r="P616" s="2525">
        <v>0</v>
      </c>
      <c r="Q616" s="2525"/>
      <c r="R616" s="2525">
        <v>0</v>
      </c>
      <c r="S616" s="2525"/>
      <c r="T616" s="2525">
        <v>0</v>
      </c>
      <c r="U616" s="2525"/>
      <c r="V616" s="1961">
        <v>0</v>
      </c>
      <c r="W616" s="1962" t="s">
        <v>2453</v>
      </c>
    </row>
    <row r="617" spans="1:23" ht="11.25" customHeight="1" x14ac:dyDescent="0.2">
      <c r="A617" s="2526" t="s">
        <v>3110</v>
      </c>
      <c r="B617" s="2526"/>
      <c r="C617" s="2526"/>
      <c r="D617" s="2526"/>
      <c r="E617" s="2526"/>
      <c r="F617" s="1960" t="s">
        <v>2112</v>
      </c>
      <c r="G617" s="2526" t="s">
        <v>3111</v>
      </c>
      <c r="H617" s="2526"/>
      <c r="I617" s="2526"/>
      <c r="J617" s="2526"/>
      <c r="L617" s="2525">
        <v>0</v>
      </c>
      <c r="M617" s="2525"/>
      <c r="N617" s="2525">
        <v>0</v>
      </c>
      <c r="O617" s="2525"/>
      <c r="P617" s="2525">
        <v>0</v>
      </c>
      <c r="Q617" s="2525"/>
      <c r="R617" s="2525">
        <v>0</v>
      </c>
      <c r="S617" s="2525"/>
      <c r="T617" s="2525">
        <v>0</v>
      </c>
      <c r="U617" s="2525"/>
      <c r="V617" s="1961">
        <v>0</v>
      </c>
      <c r="W617" s="1962" t="s">
        <v>2453</v>
      </c>
    </row>
    <row r="618" spans="1:23" ht="11.25" customHeight="1" x14ac:dyDescent="0.2">
      <c r="A618" s="2526" t="s">
        <v>3112</v>
      </c>
      <c r="B618" s="2526"/>
      <c r="C618" s="2526"/>
      <c r="D618" s="2526"/>
      <c r="E618" s="2526"/>
      <c r="F618" s="1960" t="s">
        <v>2112</v>
      </c>
      <c r="G618" s="2526" t="s">
        <v>3113</v>
      </c>
      <c r="H618" s="2526"/>
      <c r="I618" s="2526"/>
      <c r="J618" s="2526"/>
      <c r="L618" s="2525">
        <v>0</v>
      </c>
      <c r="M618" s="2525"/>
      <c r="N618" s="2525">
        <v>0</v>
      </c>
      <c r="O618" s="2525"/>
      <c r="P618" s="2525">
        <v>0</v>
      </c>
      <c r="Q618" s="2525"/>
      <c r="R618" s="2525">
        <v>0</v>
      </c>
      <c r="S618" s="2525"/>
      <c r="T618" s="2525">
        <v>0</v>
      </c>
      <c r="U618" s="2525"/>
      <c r="V618" s="1961">
        <v>0</v>
      </c>
      <c r="W618" s="1962" t="s">
        <v>2453</v>
      </c>
    </row>
    <row r="619" spans="1:23" ht="11.25" customHeight="1" x14ac:dyDescent="0.2">
      <c r="A619" s="2526" t="s">
        <v>3114</v>
      </c>
      <c r="B619" s="2526"/>
      <c r="C619" s="2526"/>
      <c r="D619" s="2526"/>
      <c r="E619" s="2526"/>
      <c r="F619" s="1960" t="s">
        <v>2112</v>
      </c>
      <c r="G619" s="2526" t="s">
        <v>3107</v>
      </c>
      <c r="H619" s="2526"/>
      <c r="I619" s="2526"/>
      <c r="J619" s="2526"/>
      <c r="L619" s="2525">
        <v>0</v>
      </c>
      <c r="M619" s="2525"/>
      <c r="N619" s="2525">
        <v>0</v>
      </c>
      <c r="O619" s="2525"/>
      <c r="P619" s="2525">
        <v>0</v>
      </c>
      <c r="Q619" s="2525"/>
      <c r="R619" s="2525">
        <v>0</v>
      </c>
      <c r="S619" s="2525"/>
      <c r="T619" s="2525">
        <v>0</v>
      </c>
      <c r="U619" s="2525"/>
      <c r="V619" s="1961">
        <v>0</v>
      </c>
      <c r="W619" s="1962" t="s">
        <v>2453</v>
      </c>
    </row>
    <row r="620" spans="1:23" ht="11.25" customHeight="1" x14ac:dyDescent="0.2">
      <c r="A620" s="2526" t="s">
        <v>3115</v>
      </c>
      <c r="B620" s="2526"/>
      <c r="C620" s="2526"/>
      <c r="D620" s="2526"/>
      <c r="E620" s="2526"/>
      <c r="F620" s="1960" t="s">
        <v>2112</v>
      </c>
      <c r="G620" s="2526" t="s">
        <v>3116</v>
      </c>
      <c r="H620" s="2526"/>
      <c r="I620" s="2526"/>
      <c r="J620" s="2526"/>
      <c r="L620" s="2525">
        <v>0</v>
      </c>
      <c r="M620" s="2525"/>
      <c r="N620" s="2525">
        <v>0</v>
      </c>
      <c r="O620" s="2525"/>
      <c r="P620" s="2525">
        <v>0</v>
      </c>
      <c r="Q620" s="2525"/>
      <c r="R620" s="2525">
        <v>0</v>
      </c>
      <c r="S620" s="2525"/>
      <c r="T620" s="2525">
        <v>0</v>
      </c>
      <c r="U620" s="2525"/>
      <c r="V620" s="1961">
        <v>0</v>
      </c>
      <c r="W620" s="1962" t="s">
        <v>2453</v>
      </c>
    </row>
    <row r="621" spans="1:23" ht="11.25" customHeight="1" x14ac:dyDescent="0.2">
      <c r="A621" s="2526" t="s">
        <v>3117</v>
      </c>
      <c r="B621" s="2526"/>
      <c r="C621" s="2526"/>
      <c r="D621" s="2526"/>
      <c r="E621" s="2526"/>
      <c r="F621" s="1960" t="s">
        <v>2112</v>
      </c>
      <c r="G621" s="2526" t="s">
        <v>3118</v>
      </c>
      <c r="H621" s="2526"/>
      <c r="I621" s="2526"/>
      <c r="J621" s="2526"/>
      <c r="L621" s="2525">
        <v>0</v>
      </c>
      <c r="M621" s="2525"/>
      <c r="N621" s="2525">
        <v>0</v>
      </c>
      <c r="O621" s="2525"/>
      <c r="P621" s="2525">
        <v>0</v>
      </c>
      <c r="Q621" s="2525"/>
      <c r="R621" s="2525">
        <v>0</v>
      </c>
      <c r="S621" s="2525"/>
      <c r="T621" s="2525">
        <v>0</v>
      </c>
      <c r="U621" s="2525"/>
      <c r="V621" s="1961">
        <v>0</v>
      </c>
      <c r="W621" s="1962" t="s">
        <v>2453</v>
      </c>
    </row>
    <row r="622" spans="1:23" ht="2.25" customHeight="1" x14ac:dyDescent="0.2"/>
    <row r="623" spans="1:23" ht="13.5" customHeight="1" x14ac:dyDescent="0.2">
      <c r="A623" s="2523" t="s">
        <v>2358</v>
      </c>
      <c r="B623" s="2523"/>
      <c r="C623" s="2523"/>
      <c r="D623" s="2523"/>
      <c r="E623" s="2523"/>
      <c r="F623" s="2523"/>
      <c r="G623" s="2523"/>
      <c r="H623" s="2523"/>
      <c r="I623" s="2523"/>
      <c r="L623" s="2524">
        <v>0</v>
      </c>
      <c r="M623" s="2524"/>
      <c r="N623" s="2524">
        <v>0</v>
      </c>
      <c r="O623" s="2524"/>
      <c r="P623" s="2524">
        <v>0</v>
      </c>
      <c r="Q623" s="2524"/>
      <c r="R623" s="2524">
        <v>0</v>
      </c>
      <c r="S623" s="2524"/>
      <c r="T623" s="2524">
        <v>0</v>
      </c>
      <c r="U623" s="2524"/>
      <c r="V623" s="1963">
        <v>0</v>
      </c>
    </row>
    <row r="624" spans="1:23" ht="15.75" customHeight="1" x14ac:dyDescent="0.2">
      <c r="A624" s="1959"/>
      <c r="B624" s="2527" t="s">
        <v>359</v>
      </c>
      <c r="C624" s="2527"/>
      <c r="D624" s="2527"/>
      <c r="E624" s="2527"/>
      <c r="F624" s="2527"/>
      <c r="G624" s="2527"/>
      <c r="H624" s="2527"/>
      <c r="I624" s="2527"/>
      <c r="J624" s="2527"/>
      <c r="K624" s="2527"/>
      <c r="L624" s="2527"/>
      <c r="M624" s="2527"/>
      <c r="N624" s="2527"/>
      <c r="O624" s="2527"/>
      <c r="P624" s="2527"/>
      <c r="Q624" s="2527"/>
      <c r="R624" s="2527"/>
      <c r="S624" s="2527"/>
      <c r="T624" s="2527"/>
      <c r="U624" s="2527"/>
      <c r="V624" s="2527"/>
    </row>
    <row r="625" spans="1:23" ht="11.25" customHeight="1" x14ac:dyDescent="0.2">
      <c r="A625" s="2526" t="s">
        <v>3119</v>
      </c>
      <c r="B625" s="2526"/>
      <c r="C625" s="2526"/>
      <c r="D625" s="2526"/>
      <c r="E625" s="2526"/>
      <c r="F625" s="1960" t="s">
        <v>2112</v>
      </c>
      <c r="G625" s="2526" t="s">
        <v>3120</v>
      </c>
      <c r="H625" s="2526"/>
      <c r="I625" s="2526"/>
      <c r="J625" s="2526"/>
      <c r="L625" s="2525">
        <v>0</v>
      </c>
      <c r="M625" s="2525"/>
      <c r="N625" s="2525">
        <v>0</v>
      </c>
      <c r="O625" s="2525"/>
      <c r="P625" s="2525">
        <v>20794</v>
      </c>
      <c r="Q625" s="2525"/>
      <c r="R625" s="2525">
        <v>20794</v>
      </c>
      <c r="S625" s="2525"/>
      <c r="T625" s="2525">
        <v>20000</v>
      </c>
      <c r="U625" s="2525"/>
      <c r="V625" s="1961">
        <v>103.97</v>
      </c>
      <c r="W625" s="1962" t="s">
        <v>2453</v>
      </c>
    </row>
    <row r="626" spans="1:23" ht="11.25" customHeight="1" x14ac:dyDescent="0.2">
      <c r="A626" s="2526" t="s">
        <v>3121</v>
      </c>
      <c r="B626" s="2526"/>
      <c r="C626" s="2526"/>
      <c r="D626" s="2526"/>
      <c r="E626" s="2526"/>
      <c r="F626" s="1960" t="s">
        <v>2112</v>
      </c>
      <c r="G626" s="2526" t="s">
        <v>3122</v>
      </c>
      <c r="H626" s="2526"/>
      <c r="I626" s="2526"/>
      <c r="J626" s="2526"/>
      <c r="L626" s="2525">
        <v>0</v>
      </c>
      <c r="M626" s="2525"/>
      <c r="N626" s="2525">
        <v>0</v>
      </c>
      <c r="O626" s="2525"/>
      <c r="P626" s="2525">
        <v>5000.04</v>
      </c>
      <c r="Q626" s="2525"/>
      <c r="R626" s="2525">
        <v>5000.04</v>
      </c>
      <c r="S626" s="2525"/>
      <c r="T626" s="2525">
        <v>5000</v>
      </c>
      <c r="U626" s="2525"/>
      <c r="V626" s="1961">
        <v>100.0008</v>
      </c>
      <c r="W626" s="1962" t="s">
        <v>2453</v>
      </c>
    </row>
    <row r="627" spans="1:23" ht="11.25" customHeight="1" x14ac:dyDescent="0.2">
      <c r="A627" s="2526" t="s">
        <v>3123</v>
      </c>
      <c r="B627" s="2526"/>
      <c r="C627" s="2526"/>
      <c r="D627" s="2526"/>
      <c r="E627" s="2526"/>
      <c r="F627" s="1960" t="s">
        <v>2112</v>
      </c>
      <c r="G627" s="2526" t="s">
        <v>3124</v>
      </c>
      <c r="H627" s="2526"/>
      <c r="I627" s="2526"/>
      <c r="J627" s="2526"/>
      <c r="L627" s="2525">
        <v>0</v>
      </c>
      <c r="M627" s="2525"/>
      <c r="N627" s="2525">
        <v>0</v>
      </c>
      <c r="O627" s="2525"/>
      <c r="P627" s="2525">
        <v>0</v>
      </c>
      <c r="Q627" s="2525"/>
      <c r="R627" s="2525">
        <v>0</v>
      </c>
      <c r="S627" s="2525"/>
      <c r="T627" s="2525">
        <v>0</v>
      </c>
      <c r="U627" s="2525"/>
      <c r="V627" s="1961">
        <v>0</v>
      </c>
      <c r="W627" s="1962" t="s">
        <v>2453</v>
      </c>
    </row>
    <row r="628" spans="1:23" ht="11.25" customHeight="1" x14ac:dyDescent="0.2">
      <c r="A628" s="2526" t="s">
        <v>3125</v>
      </c>
      <c r="B628" s="2526"/>
      <c r="C628" s="2526"/>
      <c r="D628" s="2526"/>
      <c r="E628" s="2526"/>
      <c r="F628" s="1960" t="s">
        <v>2112</v>
      </c>
      <c r="G628" s="2526" t="s">
        <v>3126</v>
      </c>
      <c r="H628" s="2526"/>
      <c r="I628" s="2526"/>
      <c r="J628" s="2526"/>
      <c r="L628" s="2525">
        <v>0</v>
      </c>
      <c r="M628" s="2525"/>
      <c r="N628" s="2525">
        <v>0</v>
      </c>
      <c r="O628" s="2525"/>
      <c r="P628" s="2525">
        <v>0</v>
      </c>
      <c r="Q628" s="2525"/>
      <c r="R628" s="2525">
        <v>0</v>
      </c>
      <c r="S628" s="2525"/>
      <c r="T628" s="2525">
        <v>0</v>
      </c>
      <c r="U628" s="2525"/>
      <c r="V628" s="1961">
        <v>0</v>
      </c>
      <c r="W628" s="1962" t="s">
        <v>2453</v>
      </c>
    </row>
    <row r="629" spans="1:23" ht="11.25" customHeight="1" x14ac:dyDescent="0.2">
      <c r="A629" s="2526" t="s">
        <v>3127</v>
      </c>
      <c r="B629" s="2526"/>
      <c r="C629" s="2526"/>
      <c r="D629" s="2526"/>
      <c r="E629" s="2526"/>
      <c r="F629" s="1960" t="s">
        <v>2112</v>
      </c>
      <c r="G629" s="2526" t="s">
        <v>2675</v>
      </c>
      <c r="H629" s="2526"/>
      <c r="I629" s="2526"/>
      <c r="J629" s="2526"/>
      <c r="L629" s="2525">
        <v>0</v>
      </c>
      <c r="M629" s="2525"/>
      <c r="N629" s="2525">
        <v>0</v>
      </c>
      <c r="O629" s="2525"/>
      <c r="P629" s="2525">
        <v>29.04</v>
      </c>
      <c r="Q629" s="2525"/>
      <c r="R629" s="2525">
        <v>29.04</v>
      </c>
      <c r="S629" s="2525"/>
      <c r="T629" s="2525">
        <v>40</v>
      </c>
      <c r="U629" s="2525"/>
      <c r="V629" s="1961">
        <v>72.599999999999994</v>
      </c>
      <c r="W629" s="1962" t="s">
        <v>2453</v>
      </c>
    </row>
    <row r="630" spans="1:23" ht="11.25" customHeight="1" x14ac:dyDescent="0.2">
      <c r="A630" s="2526" t="s">
        <v>3128</v>
      </c>
      <c r="B630" s="2526"/>
      <c r="C630" s="2526"/>
      <c r="D630" s="2526"/>
      <c r="E630" s="2526"/>
      <c r="F630" s="1960" t="s">
        <v>2112</v>
      </c>
      <c r="G630" s="2526" t="s">
        <v>3129</v>
      </c>
      <c r="H630" s="2526"/>
      <c r="I630" s="2526"/>
      <c r="J630" s="2526"/>
      <c r="L630" s="2525">
        <v>0</v>
      </c>
      <c r="M630" s="2525"/>
      <c r="N630" s="2525">
        <v>0</v>
      </c>
      <c r="O630" s="2525"/>
      <c r="P630" s="2525">
        <v>20</v>
      </c>
      <c r="Q630" s="2525"/>
      <c r="R630" s="2525">
        <v>20</v>
      </c>
      <c r="S630" s="2525"/>
      <c r="T630" s="2525">
        <v>0</v>
      </c>
      <c r="U630" s="2525"/>
      <c r="V630" s="1961">
        <v>0</v>
      </c>
      <c r="W630" s="1962" t="s">
        <v>2453</v>
      </c>
    </row>
    <row r="631" spans="1:23" ht="11.25" customHeight="1" x14ac:dyDescent="0.2">
      <c r="A631" s="2526" t="s">
        <v>3130</v>
      </c>
      <c r="B631" s="2526"/>
      <c r="C631" s="2526"/>
      <c r="D631" s="2526"/>
      <c r="E631" s="2526"/>
      <c r="F631" s="1960" t="s">
        <v>2112</v>
      </c>
      <c r="G631" s="2526" t="s">
        <v>3131</v>
      </c>
      <c r="H631" s="2526"/>
      <c r="I631" s="2526"/>
      <c r="J631" s="2526"/>
      <c r="L631" s="2525">
        <v>0</v>
      </c>
      <c r="M631" s="2525"/>
      <c r="N631" s="2525">
        <v>0</v>
      </c>
      <c r="O631" s="2525"/>
      <c r="P631" s="2525">
        <v>5500</v>
      </c>
      <c r="Q631" s="2525"/>
      <c r="R631" s="2525">
        <v>5500</v>
      </c>
      <c r="S631" s="2525"/>
      <c r="T631" s="2525">
        <v>0</v>
      </c>
      <c r="U631" s="2525"/>
      <c r="V631" s="1961">
        <v>0</v>
      </c>
      <c r="W631" s="1962" t="s">
        <v>2453</v>
      </c>
    </row>
    <row r="632" spans="1:23" ht="11.25" customHeight="1" x14ac:dyDescent="0.2">
      <c r="A632" s="2526" t="s">
        <v>3132</v>
      </c>
      <c r="B632" s="2526"/>
      <c r="C632" s="2526"/>
      <c r="D632" s="2526"/>
      <c r="E632" s="2526"/>
      <c r="F632" s="1960" t="s">
        <v>2112</v>
      </c>
      <c r="G632" s="2526" t="s">
        <v>3133</v>
      </c>
      <c r="H632" s="2526"/>
      <c r="I632" s="2526"/>
      <c r="J632" s="2526"/>
      <c r="L632" s="2525">
        <v>0</v>
      </c>
      <c r="M632" s="2525"/>
      <c r="N632" s="2525">
        <v>0</v>
      </c>
      <c r="O632" s="2525"/>
      <c r="P632" s="2525">
        <v>0</v>
      </c>
      <c r="Q632" s="2525"/>
      <c r="R632" s="2525">
        <v>0</v>
      </c>
      <c r="S632" s="2525"/>
      <c r="T632" s="2525">
        <v>0</v>
      </c>
      <c r="U632" s="2525"/>
      <c r="V632" s="1961">
        <v>0</v>
      </c>
      <c r="W632" s="1962" t="s">
        <v>2453</v>
      </c>
    </row>
    <row r="633" spans="1:23" ht="11.25" customHeight="1" x14ac:dyDescent="0.2">
      <c r="A633" s="2526" t="s">
        <v>3134</v>
      </c>
      <c r="B633" s="2526"/>
      <c r="C633" s="2526"/>
      <c r="D633" s="2526"/>
      <c r="E633" s="2526"/>
      <c r="F633" s="1960" t="s">
        <v>2112</v>
      </c>
      <c r="G633" s="2526" t="s">
        <v>2540</v>
      </c>
      <c r="H633" s="2526"/>
      <c r="I633" s="2526"/>
      <c r="J633" s="2526"/>
      <c r="L633" s="2525">
        <v>0</v>
      </c>
      <c r="M633" s="2525"/>
      <c r="N633" s="2525">
        <v>0</v>
      </c>
      <c r="O633" s="2525"/>
      <c r="P633" s="2525">
        <v>103.08</v>
      </c>
      <c r="Q633" s="2525"/>
      <c r="R633" s="2525">
        <v>103.08</v>
      </c>
      <c r="S633" s="2525"/>
      <c r="T633" s="2525">
        <v>65</v>
      </c>
      <c r="U633" s="2525"/>
      <c r="V633" s="1961">
        <v>158.58461538461538</v>
      </c>
      <c r="W633" s="1962" t="s">
        <v>2453</v>
      </c>
    </row>
    <row r="634" spans="1:23" ht="11.25" customHeight="1" x14ac:dyDescent="0.2">
      <c r="A634" s="2526" t="s">
        <v>3135</v>
      </c>
      <c r="B634" s="2526"/>
      <c r="C634" s="2526"/>
      <c r="D634" s="2526"/>
      <c r="E634" s="2526"/>
      <c r="F634" s="1960" t="s">
        <v>2112</v>
      </c>
      <c r="G634" s="2526" t="s">
        <v>3136</v>
      </c>
      <c r="H634" s="2526"/>
      <c r="I634" s="2526"/>
      <c r="J634" s="2526"/>
      <c r="L634" s="2525">
        <v>0</v>
      </c>
      <c r="M634" s="2525"/>
      <c r="N634" s="2525">
        <v>0</v>
      </c>
      <c r="O634" s="2525"/>
      <c r="P634" s="2525">
        <v>59982.8</v>
      </c>
      <c r="Q634" s="2525"/>
      <c r="R634" s="2525">
        <v>59982.8</v>
      </c>
      <c r="S634" s="2525"/>
      <c r="T634" s="2525">
        <v>68260</v>
      </c>
      <c r="U634" s="2525"/>
      <c r="V634" s="1961">
        <v>87.874011133899799</v>
      </c>
      <c r="W634" s="1962" t="s">
        <v>2453</v>
      </c>
    </row>
    <row r="635" spans="1:23" ht="11.25" customHeight="1" x14ac:dyDescent="0.2">
      <c r="A635" s="2526" t="s">
        <v>3137</v>
      </c>
      <c r="B635" s="2526"/>
      <c r="C635" s="2526"/>
      <c r="D635" s="2526"/>
      <c r="E635" s="2526"/>
      <c r="F635" s="1960" t="s">
        <v>2112</v>
      </c>
      <c r="G635" s="2526" t="s">
        <v>3138</v>
      </c>
      <c r="H635" s="2526"/>
      <c r="I635" s="2526"/>
      <c r="J635" s="2526"/>
      <c r="L635" s="2525">
        <v>0</v>
      </c>
      <c r="M635" s="2525"/>
      <c r="N635" s="2525">
        <v>0</v>
      </c>
      <c r="O635" s="2525"/>
      <c r="P635" s="2525">
        <v>0</v>
      </c>
      <c r="Q635" s="2525"/>
      <c r="R635" s="2525">
        <v>0</v>
      </c>
      <c r="S635" s="2525"/>
      <c r="T635" s="2525">
        <v>0</v>
      </c>
      <c r="U635" s="2525"/>
      <c r="V635" s="1961">
        <v>0</v>
      </c>
      <c r="W635" s="1962" t="s">
        <v>2453</v>
      </c>
    </row>
    <row r="636" spans="1:23" ht="11.25" customHeight="1" x14ac:dyDescent="0.2">
      <c r="A636" s="2526" t="s">
        <v>3139</v>
      </c>
      <c r="B636" s="2526"/>
      <c r="C636" s="2526"/>
      <c r="D636" s="2526"/>
      <c r="E636" s="2526"/>
      <c r="F636" s="1960" t="s">
        <v>2112</v>
      </c>
      <c r="G636" s="2526" t="s">
        <v>3140</v>
      </c>
      <c r="H636" s="2526"/>
      <c r="I636" s="2526"/>
      <c r="J636" s="2526"/>
      <c r="L636" s="2525">
        <v>0</v>
      </c>
      <c r="M636" s="2525"/>
      <c r="N636" s="2525">
        <v>0</v>
      </c>
      <c r="O636" s="2525"/>
      <c r="P636" s="2525">
        <v>4343.1000000000004</v>
      </c>
      <c r="Q636" s="2525"/>
      <c r="R636" s="2525">
        <v>4343.1000000000004</v>
      </c>
      <c r="S636" s="2525"/>
      <c r="T636" s="2525">
        <v>10000</v>
      </c>
      <c r="U636" s="2525"/>
      <c r="V636" s="1961">
        <v>43.430999999999997</v>
      </c>
      <c r="W636" s="1962" t="s">
        <v>2453</v>
      </c>
    </row>
    <row r="637" spans="1:23" ht="11.25" customHeight="1" x14ac:dyDescent="0.2">
      <c r="A637" s="2526" t="s">
        <v>3141</v>
      </c>
      <c r="B637" s="2526"/>
      <c r="C637" s="2526"/>
      <c r="D637" s="2526"/>
      <c r="E637" s="2526"/>
      <c r="F637" s="1960" t="s">
        <v>2112</v>
      </c>
      <c r="G637" s="2526" t="s">
        <v>3142</v>
      </c>
      <c r="H637" s="2526"/>
      <c r="I637" s="2526"/>
      <c r="J637" s="2526"/>
      <c r="L637" s="2525">
        <v>0</v>
      </c>
      <c r="M637" s="2525"/>
      <c r="N637" s="2525">
        <v>0</v>
      </c>
      <c r="O637" s="2525"/>
      <c r="P637" s="2525">
        <v>0</v>
      </c>
      <c r="Q637" s="2525"/>
      <c r="R637" s="2525">
        <v>0</v>
      </c>
      <c r="S637" s="2525"/>
      <c r="T637" s="2525">
        <v>0</v>
      </c>
      <c r="U637" s="2525"/>
      <c r="V637" s="1961">
        <v>0</v>
      </c>
      <c r="W637" s="1962" t="s">
        <v>2453</v>
      </c>
    </row>
    <row r="638" spans="1:23" ht="11.25" customHeight="1" x14ac:dyDescent="0.2">
      <c r="A638" s="2526" t="s">
        <v>3143</v>
      </c>
      <c r="B638" s="2526"/>
      <c r="C638" s="2526"/>
      <c r="D638" s="2526"/>
      <c r="E638" s="2526"/>
      <c r="F638" s="1960" t="s">
        <v>2112</v>
      </c>
      <c r="G638" s="2526" t="s">
        <v>3144</v>
      </c>
      <c r="H638" s="2526"/>
      <c r="I638" s="2526"/>
      <c r="J638" s="2526"/>
      <c r="L638" s="2525">
        <v>0</v>
      </c>
      <c r="M638" s="2525"/>
      <c r="N638" s="2525">
        <v>0</v>
      </c>
      <c r="O638" s="2525"/>
      <c r="P638" s="2525">
        <v>0</v>
      </c>
      <c r="Q638" s="2525"/>
      <c r="R638" s="2525">
        <v>0</v>
      </c>
      <c r="S638" s="2525"/>
      <c r="T638" s="2525">
        <v>0</v>
      </c>
      <c r="U638" s="2525"/>
      <c r="V638" s="1961">
        <v>0</v>
      </c>
      <c r="W638" s="1962" t="s">
        <v>2453</v>
      </c>
    </row>
    <row r="639" spans="1:23" ht="11.25" customHeight="1" x14ac:dyDescent="0.2">
      <c r="A639" s="2526" t="s">
        <v>3145</v>
      </c>
      <c r="B639" s="2526"/>
      <c r="C639" s="2526"/>
      <c r="D639" s="2526"/>
      <c r="E639" s="2526"/>
      <c r="F639" s="1960" t="s">
        <v>2212</v>
      </c>
      <c r="G639" s="2526" t="s">
        <v>3146</v>
      </c>
      <c r="H639" s="2526"/>
      <c r="I639" s="2526"/>
      <c r="J639" s="2526"/>
      <c r="L639" s="2525">
        <v>0</v>
      </c>
      <c r="M639" s="2525"/>
      <c r="N639" s="2525">
        <v>0</v>
      </c>
      <c r="O639" s="2525"/>
      <c r="P639" s="2525">
        <v>6049.62</v>
      </c>
      <c r="Q639" s="2525"/>
      <c r="R639" s="2525">
        <v>6049.62</v>
      </c>
      <c r="S639" s="2525"/>
      <c r="T639" s="2525">
        <v>7700</v>
      </c>
      <c r="U639" s="2525"/>
      <c r="V639" s="1961">
        <v>78.566493506493501</v>
      </c>
      <c r="W639" s="1962" t="s">
        <v>2453</v>
      </c>
    </row>
    <row r="640" spans="1:23" ht="11.25" customHeight="1" x14ac:dyDescent="0.2">
      <c r="A640" s="2526" t="s">
        <v>3147</v>
      </c>
      <c r="B640" s="2526"/>
      <c r="C640" s="2526"/>
      <c r="D640" s="2526"/>
      <c r="E640" s="2526"/>
      <c r="F640" s="1960" t="s">
        <v>2112</v>
      </c>
      <c r="G640" s="2526" t="s">
        <v>3148</v>
      </c>
      <c r="H640" s="2526"/>
      <c r="I640" s="2526"/>
      <c r="J640" s="2526"/>
      <c r="L640" s="2525">
        <v>0</v>
      </c>
      <c r="M640" s="2525"/>
      <c r="N640" s="2525">
        <v>0</v>
      </c>
      <c r="O640" s="2525"/>
      <c r="P640" s="2525">
        <v>20915.34</v>
      </c>
      <c r="Q640" s="2525"/>
      <c r="R640" s="2525">
        <v>20915.34</v>
      </c>
      <c r="S640" s="2525"/>
      <c r="T640" s="2525">
        <v>22000</v>
      </c>
      <c r="U640" s="2525"/>
      <c r="V640" s="1961">
        <v>95.069727272727292</v>
      </c>
      <c r="W640" s="1962" t="s">
        <v>2453</v>
      </c>
    </row>
    <row r="641" spans="1:23" ht="11.25" customHeight="1" x14ac:dyDescent="0.2">
      <c r="A641" s="2526" t="s">
        <v>3149</v>
      </c>
      <c r="B641" s="2526"/>
      <c r="C641" s="2526"/>
      <c r="D641" s="2526"/>
      <c r="E641" s="2526"/>
      <c r="F641" s="1960" t="s">
        <v>2112</v>
      </c>
      <c r="G641" s="2526" t="s">
        <v>3150</v>
      </c>
      <c r="H641" s="2526"/>
      <c r="I641" s="2526"/>
      <c r="J641" s="2526"/>
      <c r="L641" s="2525">
        <v>0</v>
      </c>
      <c r="M641" s="2525"/>
      <c r="N641" s="2525">
        <v>0</v>
      </c>
      <c r="O641" s="2525"/>
      <c r="P641" s="2525">
        <v>0</v>
      </c>
      <c r="Q641" s="2525"/>
      <c r="R641" s="2525">
        <v>0</v>
      </c>
      <c r="S641" s="2525"/>
      <c r="T641" s="2525">
        <v>0</v>
      </c>
      <c r="U641" s="2525"/>
      <c r="V641" s="1961">
        <v>0</v>
      </c>
      <c r="W641" s="1962" t="s">
        <v>2453</v>
      </c>
    </row>
    <row r="642" spans="1:23" ht="11.25" customHeight="1" x14ac:dyDescent="0.2">
      <c r="A642" s="2526" t="s">
        <v>3151</v>
      </c>
      <c r="B642" s="2526"/>
      <c r="C642" s="2526"/>
      <c r="D642" s="2526"/>
      <c r="E642" s="2526"/>
      <c r="F642" s="1960" t="s">
        <v>2112</v>
      </c>
      <c r="G642" s="2526" t="s">
        <v>3152</v>
      </c>
      <c r="H642" s="2526"/>
      <c r="I642" s="2526"/>
      <c r="J642" s="2526"/>
      <c r="L642" s="2525">
        <v>0</v>
      </c>
      <c r="M642" s="2525"/>
      <c r="N642" s="2525">
        <v>0</v>
      </c>
      <c r="O642" s="2525"/>
      <c r="P642" s="2525">
        <v>3504.94</v>
      </c>
      <c r="Q642" s="2525"/>
      <c r="R642" s="2525">
        <v>3504.94</v>
      </c>
      <c r="S642" s="2525"/>
      <c r="T642" s="2525">
        <v>3500</v>
      </c>
      <c r="U642" s="2525"/>
      <c r="V642" s="1961">
        <v>100.14114285714287</v>
      </c>
      <c r="W642" s="1962" t="s">
        <v>2453</v>
      </c>
    </row>
    <row r="643" spans="1:23" ht="11.25" customHeight="1" x14ac:dyDescent="0.2">
      <c r="A643" s="2526" t="s">
        <v>3153</v>
      </c>
      <c r="B643" s="2526"/>
      <c r="C643" s="2526"/>
      <c r="D643" s="2526"/>
      <c r="E643" s="2526"/>
      <c r="F643" s="1960" t="s">
        <v>2112</v>
      </c>
      <c r="G643" s="2526" t="s">
        <v>3154</v>
      </c>
      <c r="H643" s="2526"/>
      <c r="I643" s="2526"/>
      <c r="J643" s="2526"/>
      <c r="L643" s="2525">
        <v>0</v>
      </c>
      <c r="M643" s="2525"/>
      <c r="N643" s="2525">
        <v>0</v>
      </c>
      <c r="O643" s="2525"/>
      <c r="P643" s="2525">
        <v>5051.45</v>
      </c>
      <c r="Q643" s="2525"/>
      <c r="R643" s="2525">
        <v>5051.45</v>
      </c>
      <c r="S643" s="2525"/>
      <c r="T643" s="2525">
        <v>5000</v>
      </c>
      <c r="U643" s="2525"/>
      <c r="V643" s="1961">
        <v>101.029</v>
      </c>
      <c r="W643" s="1962" t="s">
        <v>2453</v>
      </c>
    </row>
    <row r="644" spans="1:23" ht="11.25" customHeight="1" x14ac:dyDescent="0.2">
      <c r="A644" s="2526" t="s">
        <v>3155</v>
      </c>
      <c r="B644" s="2526"/>
      <c r="C644" s="2526"/>
      <c r="D644" s="2526"/>
      <c r="E644" s="2526"/>
      <c r="F644" s="1960" t="s">
        <v>2112</v>
      </c>
      <c r="G644" s="2526" t="s">
        <v>3156</v>
      </c>
      <c r="H644" s="2526"/>
      <c r="I644" s="2526"/>
      <c r="J644" s="2526"/>
      <c r="L644" s="2525">
        <v>0</v>
      </c>
      <c r="M644" s="2525"/>
      <c r="N644" s="2525">
        <v>0</v>
      </c>
      <c r="O644" s="2525"/>
      <c r="P644" s="2525">
        <v>2373.87</v>
      </c>
      <c r="Q644" s="2525"/>
      <c r="R644" s="2525">
        <v>2373.87</v>
      </c>
      <c r="S644" s="2525"/>
      <c r="T644" s="2525">
        <v>3000</v>
      </c>
      <c r="U644" s="2525"/>
      <c r="V644" s="1961">
        <v>79.129000000000005</v>
      </c>
      <c r="W644" s="1962" t="s">
        <v>2453</v>
      </c>
    </row>
    <row r="645" spans="1:23" ht="11.25" customHeight="1" x14ac:dyDescent="0.2">
      <c r="A645" s="2526" t="s">
        <v>3157</v>
      </c>
      <c r="B645" s="2526"/>
      <c r="C645" s="2526"/>
      <c r="D645" s="2526"/>
      <c r="E645" s="2526"/>
      <c r="F645" s="1960" t="s">
        <v>2112</v>
      </c>
      <c r="G645" s="2526" t="s">
        <v>3158</v>
      </c>
      <c r="H645" s="2526"/>
      <c r="I645" s="2526"/>
      <c r="J645" s="2526"/>
      <c r="L645" s="2525">
        <v>0</v>
      </c>
      <c r="M645" s="2525"/>
      <c r="N645" s="2525">
        <v>0</v>
      </c>
      <c r="O645" s="2525"/>
      <c r="P645" s="2525">
        <v>2672.51</v>
      </c>
      <c r="Q645" s="2525"/>
      <c r="R645" s="2525">
        <v>2672.51</v>
      </c>
      <c r="S645" s="2525"/>
      <c r="T645" s="2525">
        <v>3000</v>
      </c>
      <c r="U645" s="2525"/>
      <c r="V645" s="1961">
        <v>89.083666666666673</v>
      </c>
      <c r="W645" s="1962" t="s">
        <v>2453</v>
      </c>
    </row>
    <row r="646" spans="1:23" ht="11.25" customHeight="1" x14ac:dyDescent="0.2">
      <c r="A646" s="2526" t="s">
        <v>3159</v>
      </c>
      <c r="B646" s="2526"/>
      <c r="C646" s="2526"/>
      <c r="D646" s="2526"/>
      <c r="E646" s="2526"/>
      <c r="F646" s="1960" t="s">
        <v>2112</v>
      </c>
      <c r="G646" s="2526" t="s">
        <v>3160</v>
      </c>
      <c r="H646" s="2526"/>
      <c r="I646" s="2526"/>
      <c r="J646" s="2526"/>
      <c r="L646" s="2525">
        <v>0</v>
      </c>
      <c r="M646" s="2525"/>
      <c r="N646" s="2525">
        <v>0</v>
      </c>
      <c r="O646" s="2525"/>
      <c r="P646" s="2525">
        <v>741.77</v>
      </c>
      <c r="Q646" s="2525"/>
      <c r="R646" s="2525">
        <v>741.77</v>
      </c>
      <c r="S646" s="2525"/>
      <c r="T646" s="2525">
        <v>20000</v>
      </c>
      <c r="U646" s="2525"/>
      <c r="V646" s="1961">
        <v>3.70885</v>
      </c>
      <c r="W646" s="1962" t="s">
        <v>2453</v>
      </c>
    </row>
    <row r="647" spans="1:23" ht="11.25" customHeight="1" x14ac:dyDescent="0.2">
      <c r="A647" s="2526" t="s">
        <v>3161</v>
      </c>
      <c r="B647" s="2526"/>
      <c r="C647" s="2526"/>
      <c r="D647" s="2526"/>
      <c r="E647" s="2526"/>
      <c r="F647" s="1960" t="s">
        <v>2112</v>
      </c>
      <c r="G647" s="2526" t="s">
        <v>2743</v>
      </c>
      <c r="H647" s="2526"/>
      <c r="I647" s="2526"/>
      <c r="J647" s="2526"/>
      <c r="L647" s="2525">
        <v>0</v>
      </c>
      <c r="M647" s="2525"/>
      <c r="N647" s="2525">
        <v>0</v>
      </c>
      <c r="O647" s="2525"/>
      <c r="P647" s="2525">
        <v>465.15000000000003</v>
      </c>
      <c r="Q647" s="2525"/>
      <c r="R647" s="2525">
        <v>465.15000000000003</v>
      </c>
      <c r="S647" s="2525"/>
      <c r="T647" s="2525">
        <v>0</v>
      </c>
      <c r="U647" s="2525"/>
      <c r="V647" s="1961">
        <v>0</v>
      </c>
      <c r="W647" s="1962" t="s">
        <v>2453</v>
      </c>
    </row>
    <row r="648" spans="1:23" ht="11.25" customHeight="1" x14ac:dyDescent="0.2">
      <c r="A648" s="2526" t="s">
        <v>3162</v>
      </c>
      <c r="B648" s="2526"/>
      <c r="C648" s="2526"/>
      <c r="D648" s="2526"/>
      <c r="E648" s="2526"/>
      <c r="F648" s="1960" t="s">
        <v>2112</v>
      </c>
      <c r="G648" s="2526" t="s">
        <v>3163</v>
      </c>
      <c r="H648" s="2526"/>
      <c r="I648" s="2526"/>
      <c r="J648" s="2526"/>
      <c r="L648" s="2525">
        <v>0</v>
      </c>
      <c r="M648" s="2525"/>
      <c r="N648" s="2525">
        <v>0</v>
      </c>
      <c r="O648" s="2525"/>
      <c r="P648" s="2525">
        <v>0</v>
      </c>
      <c r="Q648" s="2525"/>
      <c r="R648" s="2525">
        <v>0</v>
      </c>
      <c r="S648" s="2525"/>
      <c r="T648" s="2525">
        <v>0</v>
      </c>
      <c r="U648" s="2525"/>
      <c r="V648" s="1961">
        <v>0</v>
      </c>
      <c r="W648" s="1962" t="s">
        <v>2453</v>
      </c>
    </row>
    <row r="649" spans="1:23" ht="11.25" customHeight="1" x14ac:dyDescent="0.2">
      <c r="A649" s="2526" t="s">
        <v>3164</v>
      </c>
      <c r="B649" s="2526"/>
      <c r="C649" s="2526"/>
      <c r="D649" s="2526"/>
      <c r="E649" s="2526"/>
      <c r="F649" s="1960" t="s">
        <v>2112</v>
      </c>
      <c r="G649" s="2526" t="s">
        <v>3165</v>
      </c>
      <c r="H649" s="2526"/>
      <c r="I649" s="2526"/>
      <c r="J649" s="2526"/>
      <c r="L649" s="2525">
        <v>0</v>
      </c>
      <c r="M649" s="2525"/>
      <c r="N649" s="2525">
        <v>0</v>
      </c>
      <c r="O649" s="2525"/>
      <c r="P649" s="2525">
        <v>0</v>
      </c>
      <c r="Q649" s="2525"/>
      <c r="R649" s="2525">
        <v>0</v>
      </c>
      <c r="S649" s="2525"/>
      <c r="T649" s="2525">
        <v>0</v>
      </c>
      <c r="U649" s="2525"/>
      <c r="V649" s="1961">
        <v>0</v>
      </c>
      <c r="W649" s="1962" t="s">
        <v>2453</v>
      </c>
    </row>
    <row r="650" spans="1:23" ht="2.25" customHeight="1" x14ac:dyDescent="0.2"/>
    <row r="651" spans="1:23" ht="13.5" customHeight="1" x14ac:dyDescent="0.2">
      <c r="A651" s="2523" t="s">
        <v>2393</v>
      </c>
      <c r="B651" s="2523"/>
      <c r="C651" s="2523"/>
      <c r="D651" s="2523"/>
      <c r="E651" s="2523"/>
      <c r="F651" s="2523"/>
      <c r="G651" s="2523"/>
      <c r="H651" s="2523"/>
      <c r="I651" s="2523"/>
      <c r="L651" s="2524">
        <v>0</v>
      </c>
      <c r="M651" s="2524"/>
      <c r="N651" s="2524">
        <v>0</v>
      </c>
      <c r="O651" s="2524"/>
      <c r="P651" s="2524">
        <v>137546.71</v>
      </c>
      <c r="Q651" s="2524"/>
      <c r="R651" s="2524">
        <v>137546.71</v>
      </c>
      <c r="S651" s="2524"/>
      <c r="T651" s="2524">
        <v>167565</v>
      </c>
      <c r="U651" s="2524"/>
      <c r="V651" s="1963">
        <v>82.085584698475216</v>
      </c>
    </row>
    <row r="652" spans="1:23" ht="15.75" customHeight="1" x14ac:dyDescent="0.2">
      <c r="A652" s="1959"/>
      <c r="B652" s="2527" t="s">
        <v>2394</v>
      </c>
      <c r="C652" s="2527"/>
      <c r="D652" s="2527"/>
      <c r="E652" s="2527"/>
      <c r="F652" s="2527"/>
      <c r="G652" s="2527"/>
      <c r="H652" s="2527"/>
      <c r="I652" s="2527"/>
      <c r="J652" s="2527"/>
      <c r="K652" s="2527"/>
      <c r="L652" s="2527"/>
      <c r="M652" s="2527"/>
      <c r="N652" s="2527"/>
      <c r="O652" s="2527"/>
      <c r="P652" s="2527"/>
      <c r="Q652" s="2527"/>
      <c r="R652" s="2527"/>
      <c r="S652" s="2527"/>
      <c r="T652" s="2527"/>
      <c r="U652" s="2527"/>
      <c r="V652" s="2527"/>
    </row>
    <row r="653" spans="1:23" ht="11.25" customHeight="1" x14ac:dyDescent="0.2">
      <c r="A653" s="2526" t="s">
        <v>3166</v>
      </c>
      <c r="B653" s="2526"/>
      <c r="C653" s="2526"/>
      <c r="D653" s="2526"/>
      <c r="E653" s="2526"/>
      <c r="F653" s="1960" t="s">
        <v>2112</v>
      </c>
      <c r="G653" s="2526" t="s">
        <v>3167</v>
      </c>
      <c r="H653" s="2526"/>
      <c r="I653" s="2526"/>
      <c r="J653" s="2526"/>
      <c r="L653" s="2525">
        <v>0</v>
      </c>
      <c r="M653" s="2525"/>
      <c r="N653" s="2525">
        <v>0</v>
      </c>
      <c r="O653" s="2525"/>
      <c r="P653" s="2525">
        <v>0</v>
      </c>
      <c r="Q653" s="2525"/>
      <c r="R653" s="2525">
        <v>0</v>
      </c>
      <c r="S653" s="2525"/>
      <c r="T653" s="2525">
        <v>0</v>
      </c>
      <c r="U653" s="2525"/>
      <c r="V653" s="1961">
        <v>0</v>
      </c>
      <c r="W653" s="1962" t="s">
        <v>2453</v>
      </c>
    </row>
    <row r="654" spans="1:23" ht="11.25" customHeight="1" x14ac:dyDescent="0.2">
      <c r="A654" s="2526" t="s">
        <v>3168</v>
      </c>
      <c r="B654" s="2526"/>
      <c r="C654" s="2526"/>
      <c r="D654" s="2526"/>
      <c r="E654" s="2526"/>
      <c r="F654" s="1960" t="s">
        <v>2112</v>
      </c>
      <c r="G654" s="2526" t="s">
        <v>3169</v>
      </c>
      <c r="H654" s="2526"/>
      <c r="I654" s="2526"/>
      <c r="J654" s="2526"/>
      <c r="L654" s="2525">
        <v>0</v>
      </c>
      <c r="M654" s="2525"/>
      <c r="N654" s="2525">
        <v>0</v>
      </c>
      <c r="O654" s="2525"/>
      <c r="P654" s="2525">
        <v>-12.24</v>
      </c>
      <c r="Q654" s="2525"/>
      <c r="R654" s="2525">
        <v>-12.24</v>
      </c>
      <c r="S654" s="2525"/>
      <c r="T654" s="2525">
        <v>2000</v>
      </c>
      <c r="U654" s="2525"/>
      <c r="V654" s="1961">
        <v>-0.61199999999999999</v>
      </c>
      <c r="W654" s="1962" t="s">
        <v>2453</v>
      </c>
    </row>
    <row r="655" spans="1:23" ht="11.25" customHeight="1" x14ac:dyDescent="0.2">
      <c r="A655" s="2526" t="s">
        <v>3170</v>
      </c>
      <c r="B655" s="2526"/>
      <c r="C655" s="2526"/>
      <c r="D655" s="2526"/>
      <c r="E655" s="2526"/>
      <c r="F655" s="1960" t="s">
        <v>2112</v>
      </c>
      <c r="G655" s="2526" t="s">
        <v>3171</v>
      </c>
      <c r="H655" s="2526"/>
      <c r="I655" s="2526"/>
      <c r="J655" s="2526"/>
      <c r="L655" s="2525">
        <v>0</v>
      </c>
      <c r="M655" s="2525"/>
      <c r="N655" s="2525">
        <v>0</v>
      </c>
      <c r="O655" s="2525"/>
      <c r="P655" s="2525">
        <v>207.11</v>
      </c>
      <c r="Q655" s="2525"/>
      <c r="R655" s="2525">
        <v>207.11</v>
      </c>
      <c r="S655" s="2525"/>
      <c r="T655" s="2525">
        <v>0</v>
      </c>
      <c r="U655" s="2525"/>
      <c r="V655" s="1961">
        <v>0</v>
      </c>
      <c r="W655" s="1962" t="s">
        <v>2453</v>
      </c>
    </row>
    <row r="656" spans="1:23" ht="11.25" customHeight="1" x14ac:dyDescent="0.2">
      <c r="A656" s="2526" t="s">
        <v>3172</v>
      </c>
      <c r="B656" s="2526"/>
      <c r="C656" s="2526"/>
      <c r="D656" s="2526"/>
      <c r="E656" s="2526"/>
      <c r="F656" s="1960" t="s">
        <v>2112</v>
      </c>
      <c r="G656" s="2526" t="s">
        <v>3173</v>
      </c>
      <c r="H656" s="2526"/>
      <c r="I656" s="2526"/>
      <c r="J656" s="2526"/>
      <c r="L656" s="2525">
        <v>0</v>
      </c>
      <c r="M656" s="2525"/>
      <c r="N656" s="2525">
        <v>0</v>
      </c>
      <c r="O656" s="2525"/>
      <c r="P656" s="2525">
        <v>0</v>
      </c>
      <c r="Q656" s="2525"/>
      <c r="R656" s="2525">
        <v>0</v>
      </c>
      <c r="S656" s="2525"/>
      <c r="T656" s="2525">
        <v>0</v>
      </c>
      <c r="U656" s="2525"/>
      <c r="V656" s="1961">
        <v>0</v>
      </c>
      <c r="W656" s="1962" t="s">
        <v>2453</v>
      </c>
    </row>
    <row r="657" spans="1:23" ht="11.25" customHeight="1" x14ac:dyDescent="0.2">
      <c r="A657" s="2526" t="s">
        <v>3174</v>
      </c>
      <c r="B657" s="2526"/>
      <c r="C657" s="2526"/>
      <c r="D657" s="2526"/>
      <c r="E657" s="2526"/>
      <c r="F657" s="1960" t="s">
        <v>2112</v>
      </c>
      <c r="G657" s="2526" t="s">
        <v>3175</v>
      </c>
      <c r="H657" s="2526"/>
      <c r="I657" s="2526"/>
      <c r="J657" s="2526"/>
      <c r="L657" s="2525">
        <v>0</v>
      </c>
      <c r="M657" s="2525"/>
      <c r="N657" s="2525">
        <v>0</v>
      </c>
      <c r="O657" s="2525"/>
      <c r="P657" s="2525">
        <v>7907.26</v>
      </c>
      <c r="Q657" s="2525"/>
      <c r="R657" s="2525">
        <v>7907.26</v>
      </c>
      <c r="S657" s="2525"/>
      <c r="T657" s="2525">
        <v>7900</v>
      </c>
      <c r="U657" s="2525"/>
      <c r="V657" s="1961">
        <v>100.09189873417724</v>
      </c>
      <c r="W657" s="1962" t="s">
        <v>2453</v>
      </c>
    </row>
    <row r="658" spans="1:23" ht="11.25" customHeight="1" x14ac:dyDescent="0.2">
      <c r="A658" s="2526" t="s">
        <v>3174</v>
      </c>
      <c r="B658" s="2526"/>
      <c r="C658" s="2526"/>
      <c r="D658" s="2526"/>
      <c r="E658" s="2526"/>
      <c r="F658" s="1960" t="s">
        <v>1709</v>
      </c>
      <c r="G658" s="2526" t="s">
        <v>3176</v>
      </c>
      <c r="H658" s="2526"/>
      <c r="I658" s="2526"/>
      <c r="J658" s="2526"/>
      <c r="L658" s="2525">
        <v>0</v>
      </c>
      <c r="M658" s="2525"/>
      <c r="N658" s="2525">
        <v>0</v>
      </c>
      <c r="O658" s="2525"/>
      <c r="P658" s="2525">
        <v>0</v>
      </c>
      <c r="Q658" s="2525"/>
      <c r="R658" s="2525">
        <v>0</v>
      </c>
      <c r="S658" s="2525"/>
      <c r="T658" s="2525">
        <v>0</v>
      </c>
      <c r="U658" s="2525"/>
      <c r="V658" s="1961">
        <v>0</v>
      </c>
      <c r="W658" s="1962" t="s">
        <v>2453</v>
      </c>
    </row>
    <row r="659" spans="1:23" ht="11.25" customHeight="1" x14ac:dyDescent="0.2">
      <c r="A659" s="2526" t="s">
        <v>3174</v>
      </c>
      <c r="B659" s="2526"/>
      <c r="C659" s="2526"/>
      <c r="D659" s="2526"/>
      <c r="E659" s="2526"/>
      <c r="F659" s="1960" t="s">
        <v>1442</v>
      </c>
      <c r="G659" s="2526" t="s">
        <v>3177</v>
      </c>
      <c r="H659" s="2526"/>
      <c r="I659" s="2526"/>
      <c r="J659" s="2526"/>
      <c r="L659" s="2525">
        <v>0</v>
      </c>
      <c r="M659" s="2525"/>
      <c r="N659" s="2525">
        <v>0</v>
      </c>
      <c r="O659" s="2525"/>
      <c r="P659" s="2525">
        <v>0</v>
      </c>
      <c r="Q659" s="2525"/>
      <c r="R659" s="2525">
        <v>0</v>
      </c>
      <c r="S659" s="2525"/>
      <c r="T659" s="2525">
        <v>0</v>
      </c>
      <c r="U659" s="2525"/>
      <c r="V659" s="1961">
        <v>0</v>
      </c>
      <c r="W659" s="1962" t="s">
        <v>2453</v>
      </c>
    </row>
    <row r="660" spans="1:23" ht="11.25" customHeight="1" x14ac:dyDescent="0.2">
      <c r="A660" s="2526" t="s">
        <v>3174</v>
      </c>
      <c r="B660" s="2526"/>
      <c r="C660" s="2526"/>
      <c r="D660" s="2526"/>
      <c r="E660" s="2526"/>
      <c r="F660" s="1960" t="s">
        <v>2236</v>
      </c>
      <c r="G660" s="2526" t="s">
        <v>3178</v>
      </c>
      <c r="H660" s="2526"/>
      <c r="I660" s="2526"/>
      <c r="J660" s="2526"/>
      <c r="L660" s="2525">
        <v>0</v>
      </c>
      <c r="M660" s="2525"/>
      <c r="N660" s="2525">
        <v>0</v>
      </c>
      <c r="O660" s="2525"/>
      <c r="P660" s="2525">
        <v>0</v>
      </c>
      <c r="Q660" s="2525"/>
      <c r="R660" s="2525">
        <v>0</v>
      </c>
      <c r="S660" s="2525"/>
      <c r="T660" s="2525">
        <v>224</v>
      </c>
      <c r="U660" s="2525"/>
      <c r="V660" s="1961">
        <v>0</v>
      </c>
      <c r="W660" s="1962" t="s">
        <v>2453</v>
      </c>
    </row>
    <row r="661" spans="1:23" ht="11.25" customHeight="1" x14ac:dyDescent="0.2">
      <c r="A661" s="2526" t="s">
        <v>3179</v>
      </c>
      <c r="B661" s="2526"/>
      <c r="C661" s="2526"/>
      <c r="D661" s="2526"/>
      <c r="E661" s="2526"/>
      <c r="F661" s="1960" t="s">
        <v>2112</v>
      </c>
      <c r="G661" s="2526" t="s">
        <v>3180</v>
      </c>
      <c r="H661" s="2526"/>
      <c r="I661" s="2526"/>
      <c r="J661" s="2526"/>
      <c r="L661" s="2525">
        <v>0</v>
      </c>
      <c r="M661" s="2525"/>
      <c r="N661" s="2525">
        <v>0</v>
      </c>
      <c r="O661" s="2525"/>
      <c r="P661" s="2525">
        <v>0</v>
      </c>
      <c r="Q661" s="2525"/>
      <c r="R661" s="2525">
        <v>0</v>
      </c>
      <c r="S661" s="2525"/>
      <c r="T661" s="2525">
        <v>0</v>
      </c>
      <c r="U661" s="2525"/>
      <c r="V661" s="1961">
        <v>0</v>
      </c>
      <c r="W661" s="1962" t="s">
        <v>2453</v>
      </c>
    </row>
    <row r="662" spans="1:23" ht="11.25" customHeight="1" x14ac:dyDescent="0.2">
      <c r="A662" s="2526" t="s">
        <v>3181</v>
      </c>
      <c r="B662" s="2526"/>
      <c r="C662" s="2526"/>
      <c r="D662" s="2526"/>
      <c r="E662" s="2526"/>
      <c r="F662" s="1960" t="s">
        <v>53</v>
      </c>
      <c r="G662" s="2526" t="s">
        <v>3182</v>
      </c>
      <c r="H662" s="2526"/>
      <c r="I662" s="2526"/>
      <c r="J662" s="2526"/>
      <c r="L662" s="2525">
        <v>0</v>
      </c>
      <c r="M662" s="2525"/>
      <c r="N662" s="2525">
        <v>0</v>
      </c>
      <c r="O662" s="2525"/>
      <c r="P662" s="2525">
        <v>0</v>
      </c>
      <c r="Q662" s="2525"/>
      <c r="R662" s="2525">
        <v>0</v>
      </c>
      <c r="S662" s="2525"/>
      <c r="T662" s="2525">
        <v>0</v>
      </c>
      <c r="U662" s="2525"/>
      <c r="V662" s="1961">
        <v>0</v>
      </c>
      <c r="W662" s="1962" t="s">
        <v>2453</v>
      </c>
    </row>
    <row r="663" spans="1:23" ht="11.25" customHeight="1" x14ac:dyDescent="0.2">
      <c r="A663" s="2526" t="s">
        <v>3183</v>
      </c>
      <c r="B663" s="2526"/>
      <c r="C663" s="2526"/>
      <c r="D663" s="2526"/>
      <c r="E663" s="2526"/>
      <c r="F663" s="1960" t="s">
        <v>2212</v>
      </c>
      <c r="G663" s="2526" t="s">
        <v>3184</v>
      </c>
      <c r="H663" s="2526"/>
      <c r="I663" s="2526"/>
      <c r="J663" s="2526"/>
      <c r="L663" s="2525">
        <v>0</v>
      </c>
      <c r="M663" s="2525"/>
      <c r="N663" s="2525">
        <v>0</v>
      </c>
      <c r="O663" s="2525"/>
      <c r="P663" s="2525">
        <v>800.1</v>
      </c>
      <c r="Q663" s="2525"/>
      <c r="R663" s="2525">
        <v>800.1</v>
      </c>
      <c r="S663" s="2525"/>
      <c r="T663" s="2525">
        <v>900</v>
      </c>
      <c r="U663" s="2525"/>
      <c r="V663" s="1961">
        <v>88.9</v>
      </c>
      <c r="W663" s="1962" t="s">
        <v>2453</v>
      </c>
    </row>
    <row r="664" spans="1:23" ht="11.25" customHeight="1" x14ac:dyDescent="0.2">
      <c r="A664" s="2526" t="s">
        <v>3185</v>
      </c>
      <c r="B664" s="2526"/>
      <c r="C664" s="2526"/>
      <c r="D664" s="2526"/>
      <c r="E664" s="2526"/>
      <c r="F664" s="1960" t="s">
        <v>2212</v>
      </c>
      <c r="G664" s="2526" t="s">
        <v>3186</v>
      </c>
      <c r="H664" s="2526"/>
      <c r="I664" s="2526"/>
      <c r="J664" s="2526"/>
      <c r="L664" s="2525">
        <v>0</v>
      </c>
      <c r="M664" s="2525"/>
      <c r="N664" s="2525">
        <v>0</v>
      </c>
      <c r="O664" s="2525"/>
      <c r="P664" s="2525">
        <v>558</v>
      </c>
      <c r="Q664" s="2525"/>
      <c r="R664" s="2525">
        <v>558</v>
      </c>
      <c r="S664" s="2525"/>
      <c r="T664" s="2525">
        <v>689</v>
      </c>
      <c r="U664" s="2525"/>
      <c r="V664" s="1961">
        <v>80.986937590711179</v>
      </c>
      <c r="W664" s="1962" t="s">
        <v>2453</v>
      </c>
    </row>
    <row r="665" spans="1:23" ht="11.25" customHeight="1" x14ac:dyDescent="0.2">
      <c r="A665" s="2526" t="s">
        <v>3187</v>
      </c>
      <c r="B665" s="2526"/>
      <c r="C665" s="2526"/>
      <c r="D665" s="2526"/>
      <c r="E665" s="2526"/>
      <c r="F665" s="1960" t="s">
        <v>2212</v>
      </c>
      <c r="G665" s="2526" t="s">
        <v>3188</v>
      </c>
      <c r="H665" s="2526"/>
      <c r="I665" s="2526"/>
      <c r="J665" s="2526"/>
      <c r="L665" s="2525">
        <v>0</v>
      </c>
      <c r="M665" s="2525"/>
      <c r="N665" s="2525">
        <v>0</v>
      </c>
      <c r="O665" s="2525"/>
      <c r="P665" s="2525">
        <v>483.22</v>
      </c>
      <c r="Q665" s="2525"/>
      <c r="R665" s="2525">
        <v>483.22</v>
      </c>
      <c r="S665" s="2525"/>
      <c r="T665" s="2525">
        <v>375</v>
      </c>
      <c r="U665" s="2525"/>
      <c r="V665" s="1961">
        <v>128.85866666666666</v>
      </c>
      <c r="W665" s="1962" t="s">
        <v>2453</v>
      </c>
    </row>
    <row r="666" spans="1:23" ht="11.25" customHeight="1" x14ac:dyDescent="0.2">
      <c r="A666" s="2526" t="s">
        <v>3189</v>
      </c>
      <c r="B666" s="2526"/>
      <c r="C666" s="2526"/>
      <c r="D666" s="2526"/>
      <c r="E666" s="2526"/>
      <c r="F666" s="1960" t="s">
        <v>2212</v>
      </c>
      <c r="G666" s="2526" t="s">
        <v>3190</v>
      </c>
      <c r="H666" s="2526"/>
      <c r="I666" s="2526"/>
      <c r="J666" s="2526"/>
      <c r="L666" s="2525">
        <v>0</v>
      </c>
      <c r="M666" s="2525"/>
      <c r="N666" s="2525">
        <v>0</v>
      </c>
      <c r="O666" s="2525"/>
      <c r="P666" s="2525">
        <v>0</v>
      </c>
      <c r="Q666" s="2525"/>
      <c r="R666" s="2525">
        <v>0</v>
      </c>
      <c r="S666" s="2525"/>
      <c r="T666" s="2525">
        <v>50</v>
      </c>
      <c r="U666" s="2525"/>
      <c r="V666" s="1961">
        <v>0</v>
      </c>
      <c r="W666" s="1962" t="s">
        <v>2453</v>
      </c>
    </row>
    <row r="667" spans="1:23" ht="11.25" customHeight="1" x14ac:dyDescent="0.2">
      <c r="A667" s="2526" t="s">
        <v>3191</v>
      </c>
      <c r="B667" s="2526"/>
      <c r="C667" s="2526"/>
      <c r="D667" s="2526"/>
      <c r="E667" s="2526"/>
      <c r="F667" s="1960" t="s">
        <v>2112</v>
      </c>
      <c r="G667" s="2526" t="s">
        <v>3192</v>
      </c>
      <c r="H667" s="2526"/>
      <c r="I667" s="2526"/>
      <c r="J667" s="2526"/>
      <c r="L667" s="2525">
        <v>0</v>
      </c>
      <c r="M667" s="2525"/>
      <c r="N667" s="2525">
        <v>0</v>
      </c>
      <c r="O667" s="2525"/>
      <c r="P667" s="2525">
        <v>3592.85</v>
      </c>
      <c r="Q667" s="2525"/>
      <c r="R667" s="2525">
        <v>3592.85</v>
      </c>
      <c r="S667" s="2525"/>
      <c r="T667" s="2525">
        <v>3000</v>
      </c>
      <c r="U667" s="2525"/>
      <c r="V667" s="1961">
        <v>119.76166666666668</v>
      </c>
      <c r="W667" s="1962" t="s">
        <v>2453</v>
      </c>
    </row>
    <row r="668" spans="1:23" ht="11.25" customHeight="1" x14ac:dyDescent="0.2">
      <c r="A668" s="2526" t="s">
        <v>3193</v>
      </c>
      <c r="B668" s="2526"/>
      <c r="C668" s="2526"/>
      <c r="D668" s="2526"/>
      <c r="E668" s="2526"/>
      <c r="F668" s="1960" t="s">
        <v>2112</v>
      </c>
      <c r="G668" s="2526" t="s">
        <v>3194</v>
      </c>
      <c r="H668" s="2526"/>
      <c r="I668" s="2526"/>
      <c r="J668" s="2526"/>
      <c r="L668" s="2525">
        <v>0</v>
      </c>
      <c r="M668" s="2525"/>
      <c r="N668" s="2525">
        <v>0</v>
      </c>
      <c r="O668" s="2525"/>
      <c r="P668" s="2525">
        <v>2619.19</v>
      </c>
      <c r="Q668" s="2525"/>
      <c r="R668" s="2525">
        <v>2619.19</v>
      </c>
      <c r="S668" s="2525"/>
      <c r="T668" s="2525">
        <v>2250</v>
      </c>
      <c r="U668" s="2525"/>
      <c r="V668" s="1961">
        <v>116.40844444444446</v>
      </c>
      <c r="W668" s="1962" t="s">
        <v>2453</v>
      </c>
    </row>
    <row r="669" spans="1:23" ht="11.25" customHeight="1" x14ac:dyDescent="0.2">
      <c r="A669" s="2526" t="s">
        <v>3195</v>
      </c>
      <c r="B669" s="2526"/>
      <c r="C669" s="2526"/>
      <c r="D669" s="2526"/>
      <c r="E669" s="2526"/>
      <c r="F669" s="1960" t="s">
        <v>2112</v>
      </c>
      <c r="G669" s="2526" t="s">
        <v>3196</v>
      </c>
      <c r="H669" s="2526"/>
      <c r="I669" s="2526"/>
      <c r="J669" s="2526"/>
      <c r="L669" s="2525">
        <v>0</v>
      </c>
      <c r="M669" s="2525"/>
      <c r="N669" s="2525">
        <v>0</v>
      </c>
      <c r="O669" s="2525"/>
      <c r="P669" s="2525">
        <v>1195.55</v>
      </c>
      <c r="Q669" s="2525"/>
      <c r="R669" s="2525">
        <v>1195.55</v>
      </c>
      <c r="S669" s="2525"/>
      <c r="T669" s="2525">
        <v>650</v>
      </c>
      <c r="U669" s="2525"/>
      <c r="V669" s="1961">
        <v>183.93076923076927</v>
      </c>
      <c r="W669" s="1962" t="s">
        <v>2453</v>
      </c>
    </row>
    <row r="670" spans="1:23" ht="11.25" customHeight="1" x14ac:dyDescent="0.2">
      <c r="A670" s="2526" t="s">
        <v>3197</v>
      </c>
      <c r="B670" s="2526"/>
      <c r="C670" s="2526"/>
      <c r="D670" s="2526"/>
      <c r="E670" s="2526"/>
      <c r="F670" s="1960" t="s">
        <v>2256</v>
      </c>
      <c r="G670" s="2526" t="s">
        <v>3198</v>
      </c>
      <c r="H670" s="2526"/>
      <c r="I670" s="2526"/>
      <c r="J670" s="2526"/>
      <c r="L670" s="2525">
        <v>0</v>
      </c>
      <c r="M670" s="2525"/>
      <c r="N670" s="2525">
        <v>0</v>
      </c>
      <c r="O670" s="2525"/>
      <c r="P670" s="2525">
        <v>2473.7400000000002</v>
      </c>
      <c r="Q670" s="2525"/>
      <c r="R670" s="2525">
        <v>2473.7400000000002</v>
      </c>
      <c r="S670" s="2525"/>
      <c r="T670" s="2525">
        <v>0</v>
      </c>
      <c r="U670" s="2525"/>
      <c r="V670" s="1961">
        <v>0</v>
      </c>
      <c r="W670" s="1962" t="s">
        <v>2453</v>
      </c>
    </row>
    <row r="671" spans="1:23" ht="11.25" customHeight="1" x14ac:dyDescent="0.2">
      <c r="A671" s="2526" t="s">
        <v>3199</v>
      </c>
      <c r="B671" s="2526"/>
      <c r="C671" s="2526"/>
      <c r="D671" s="2526"/>
      <c r="E671" s="2526"/>
      <c r="F671" s="1960" t="s">
        <v>2256</v>
      </c>
      <c r="G671" s="2526" t="s">
        <v>3200</v>
      </c>
      <c r="H671" s="2526"/>
      <c r="I671" s="2526"/>
      <c r="J671" s="2526"/>
      <c r="L671" s="2525">
        <v>0</v>
      </c>
      <c r="M671" s="2525"/>
      <c r="N671" s="2525">
        <v>0</v>
      </c>
      <c r="O671" s="2525"/>
      <c r="P671" s="2525">
        <v>1674</v>
      </c>
      <c r="Q671" s="2525"/>
      <c r="R671" s="2525">
        <v>1674</v>
      </c>
      <c r="S671" s="2525"/>
      <c r="T671" s="2525">
        <v>2100</v>
      </c>
      <c r="U671" s="2525"/>
      <c r="V671" s="1961">
        <v>79.714285714285708</v>
      </c>
      <c r="W671" s="1962" t="s">
        <v>2453</v>
      </c>
    </row>
    <row r="672" spans="1:23" ht="11.25" customHeight="1" x14ac:dyDescent="0.2">
      <c r="A672" s="2526" t="s">
        <v>3201</v>
      </c>
      <c r="B672" s="2526"/>
      <c r="C672" s="2526"/>
      <c r="D672" s="2526"/>
      <c r="E672" s="2526"/>
      <c r="F672" s="1960" t="s">
        <v>2256</v>
      </c>
      <c r="G672" s="2526" t="s">
        <v>3202</v>
      </c>
      <c r="H672" s="2526"/>
      <c r="I672" s="2526"/>
      <c r="J672" s="2526"/>
      <c r="L672" s="2525">
        <v>0</v>
      </c>
      <c r="M672" s="2525"/>
      <c r="N672" s="2525">
        <v>0</v>
      </c>
      <c r="O672" s="2525"/>
      <c r="P672" s="2525">
        <v>419.91</v>
      </c>
      <c r="Q672" s="2525"/>
      <c r="R672" s="2525">
        <v>419.91</v>
      </c>
      <c r="S672" s="2525"/>
      <c r="T672" s="2525">
        <v>0</v>
      </c>
      <c r="U672" s="2525"/>
      <c r="V672" s="1961">
        <v>0</v>
      </c>
      <c r="W672" s="1962" t="s">
        <v>2453</v>
      </c>
    </row>
    <row r="673" spans="1:23" ht="11.25" customHeight="1" x14ac:dyDescent="0.2">
      <c r="A673" s="2526" t="s">
        <v>3201</v>
      </c>
      <c r="B673" s="2526"/>
      <c r="C673" s="2526"/>
      <c r="D673" s="2526"/>
      <c r="E673" s="2526"/>
      <c r="F673" s="1960" t="s">
        <v>2112</v>
      </c>
      <c r="G673" s="2526" t="s">
        <v>3203</v>
      </c>
      <c r="H673" s="2526"/>
      <c r="I673" s="2526"/>
      <c r="J673" s="2526"/>
      <c r="L673" s="2525">
        <v>0</v>
      </c>
      <c r="M673" s="2525"/>
      <c r="N673" s="2525">
        <v>0</v>
      </c>
      <c r="O673" s="2525"/>
      <c r="P673" s="2525">
        <v>0</v>
      </c>
      <c r="Q673" s="2525"/>
      <c r="R673" s="2525">
        <v>0</v>
      </c>
      <c r="S673" s="2525"/>
      <c r="T673" s="2525">
        <v>0</v>
      </c>
      <c r="U673" s="2525"/>
      <c r="V673" s="1961">
        <v>0</v>
      </c>
      <c r="W673" s="1962" t="s">
        <v>2453</v>
      </c>
    </row>
    <row r="674" spans="1:23" ht="11.25" customHeight="1" x14ac:dyDescent="0.2">
      <c r="A674" s="2526" t="s">
        <v>3204</v>
      </c>
      <c r="B674" s="2526"/>
      <c r="C674" s="2526"/>
      <c r="D674" s="2526"/>
      <c r="E674" s="2526"/>
      <c r="F674" s="1960" t="s">
        <v>1017</v>
      </c>
      <c r="G674" s="2526" t="s">
        <v>3205</v>
      </c>
      <c r="H674" s="2526"/>
      <c r="I674" s="2526"/>
      <c r="J674" s="2526"/>
      <c r="L674" s="2525">
        <v>0</v>
      </c>
      <c r="M674" s="2525"/>
      <c r="N674" s="2525">
        <v>0</v>
      </c>
      <c r="O674" s="2525"/>
      <c r="P674" s="2525">
        <v>0</v>
      </c>
      <c r="Q674" s="2525"/>
      <c r="R674" s="2525">
        <v>0</v>
      </c>
      <c r="S674" s="2525"/>
      <c r="T674" s="2525">
        <v>0</v>
      </c>
      <c r="U674" s="2525"/>
      <c r="V674" s="1961">
        <v>0</v>
      </c>
      <c r="W674" s="1962" t="s">
        <v>2453</v>
      </c>
    </row>
    <row r="675" spans="1:23" ht="11.25" customHeight="1" x14ac:dyDescent="0.2">
      <c r="A675" s="2526" t="s">
        <v>3206</v>
      </c>
      <c r="B675" s="2526"/>
      <c r="C675" s="2526"/>
      <c r="D675" s="2526"/>
      <c r="E675" s="2526"/>
      <c r="F675" s="1960" t="s">
        <v>1017</v>
      </c>
      <c r="G675" s="2526" t="s">
        <v>3207</v>
      </c>
      <c r="H675" s="2526"/>
      <c r="I675" s="2526"/>
      <c r="J675" s="2526"/>
      <c r="L675" s="2525">
        <v>0</v>
      </c>
      <c r="M675" s="2525"/>
      <c r="N675" s="2525">
        <v>0</v>
      </c>
      <c r="O675" s="2525"/>
      <c r="P675" s="2525">
        <v>0</v>
      </c>
      <c r="Q675" s="2525"/>
      <c r="R675" s="2525">
        <v>0</v>
      </c>
      <c r="S675" s="2525"/>
      <c r="T675" s="2525">
        <v>0</v>
      </c>
      <c r="U675" s="2525"/>
      <c r="V675" s="1961">
        <v>0</v>
      </c>
      <c r="W675" s="1962" t="s">
        <v>2453</v>
      </c>
    </row>
    <row r="676" spans="1:23" ht="11.25" customHeight="1" x14ac:dyDescent="0.2">
      <c r="A676" s="2526" t="s">
        <v>3208</v>
      </c>
      <c r="B676" s="2526"/>
      <c r="C676" s="2526"/>
      <c r="D676" s="2526"/>
      <c r="E676" s="2526"/>
      <c r="F676" s="1960" t="s">
        <v>1017</v>
      </c>
      <c r="G676" s="2526" t="s">
        <v>3209</v>
      </c>
      <c r="H676" s="2526"/>
      <c r="I676" s="2526"/>
      <c r="J676" s="2526"/>
      <c r="L676" s="2525">
        <v>0</v>
      </c>
      <c r="M676" s="2525"/>
      <c r="N676" s="2525">
        <v>0</v>
      </c>
      <c r="O676" s="2525"/>
      <c r="P676" s="2525">
        <v>0</v>
      </c>
      <c r="Q676" s="2525"/>
      <c r="R676" s="2525">
        <v>0</v>
      </c>
      <c r="S676" s="2525"/>
      <c r="T676" s="2525">
        <v>0</v>
      </c>
      <c r="U676" s="2525"/>
      <c r="V676" s="1961">
        <v>0</v>
      </c>
      <c r="W676" s="1962" t="s">
        <v>2453</v>
      </c>
    </row>
    <row r="677" spans="1:23" ht="11.25" customHeight="1" x14ac:dyDescent="0.2">
      <c r="A677" s="2526" t="s">
        <v>3210</v>
      </c>
      <c r="B677" s="2526"/>
      <c r="C677" s="2526"/>
      <c r="D677" s="2526"/>
      <c r="E677" s="2526"/>
      <c r="F677" s="1960" t="s">
        <v>2112</v>
      </c>
      <c r="G677" s="2526" t="s">
        <v>3211</v>
      </c>
      <c r="H677" s="2526"/>
      <c r="I677" s="2526"/>
      <c r="J677" s="2526"/>
      <c r="L677" s="2525">
        <v>0</v>
      </c>
      <c r="M677" s="2525"/>
      <c r="N677" s="2525">
        <v>0</v>
      </c>
      <c r="O677" s="2525"/>
      <c r="P677" s="2525">
        <v>0</v>
      </c>
      <c r="Q677" s="2525"/>
      <c r="R677" s="2525">
        <v>0</v>
      </c>
      <c r="S677" s="2525"/>
      <c r="T677" s="2525">
        <v>100</v>
      </c>
      <c r="U677" s="2525"/>
      <c r="V677" s="1961">
        <v>0</v>
      </c>
      <c r="W677" s="1962" t="s">
        <v>2453</v>
      </c>
    </row>
    <row r="678" spans="1:23" ht="11.25" customHeight="1" x14ac:dyDescent="0.2">
      <c r="A678" s="2526" t="s">
        <v>3212</v>
      </c>
      <c r="B678" s="2526"/>
      <c r="C678" s="2526"/>
      <c r="D678" s="2526"/>
      <c r="E678" s="2526"/>
      <c r="F678" s="1960" t="s">
        <v>2112</v>
      </c>
      <c r="G678" s="2526" t="s">
        <v>3213</v>
      </c>
      <c r="H678" s="2526"/>
      <c r="I678" s="2526"/>
      <c r="J678" s="2526"/>
      <c r="L678" s="2525">
        <v>0</v>
      </c>
      <c r="M678" s="2525"/>
      <c r="N678" s="2525">
        <v>0</v>
      </c>
      <c r="O678" s="2525"/>
      <c r="P678" s="2525">
        <v>300.39</v>
      </c>
      <c r="Q678" s="2525"/>
      <c r="R678" s="2525">
        <v>300.39</v>
      </c>
      <c r="S678" s="2525"/>
      <c r="T678" s="2525">
        <v>200</v>
      </c>
      <c r="U678" s="2525"/>
      <c r="V678" s="1961">
        <v>150.19499999999999</v>
      </c>
      <c r="W678" s="1962" t="s">
        <v>2453</v>
      </c>
    </row>
    <row r="679" spans="1:23" ht="11.25" customHeight="1" x14ac:dyDescent="0.2">
      <c r="A679" s="2526" t="s">
        <v>3214</v>
      </c>
      <c r="B679" s="2526"/>
      <c r="C679" s="2526"/>
      <c r="D679" s="2526"/>
      <c r="E679" s="2526"/>
      <c r="F679" s="1960" t="s">
        <v>2112</v>
      </c>
      <c r="G679" s="2526" t="s">
        <v>3215</v>
      </c>
      <c r="H679" s="2526"/>
      <c r="I679" s="2526"/>
      <c r="J679" s="2526"/>
      <c r="L679" s="2525">
        <v>0</v>
      </c>
      <c r="M679" s="2525"/>
      <c r="N679" s="2525">
        <v>0</v>
      </c>
      <c r="O679" s="2525"/>
      <c r="P679" s="2525">
        <v>320.65000000000003</v>
      </c>
      <c r="Q679" s="2525"/>
      <c r="R679" s="2525">
        <v>320.65000000000003</v>
      </c>
      <c r="S679" s="2525"/>
      <c r="T679" s="2525">
        <v>150</v>
      </c>
      <c r="U679" s="2525"/>
      <c r="V679" s="1961">
        <v>213.76666666666668</v>
      </c>
      <c r="W679" s="1962" t="s">
        <v>2453</v>
      </c>
    </row>
    <row r="680" spans="1:23" ht="11.25" customHeight="1" x14ac:dyDescent="0.2">
      <c r="A680" s="2526" t="s">
        <v>3216</v>
      </c>
      <c r="B680" s="2526"/>
      <c r="C680" s="2526"/>
      <c r="D680" s="2526"/>
      <c r="E680" s="2526"/>
      <c r="F680" s="1960" t="s">
        <v>2112</v>
      </c>
      <c r="G680" s="2526" t="s">
        <v>3217</v>
      </c>
      <c r="H680" s="2526"/>
      <c r="I680" s="2526"/>
      <c r="J680" s="2526"/>
      <c r="L680" s="2525">
        <v>0</v>
      </c>
      <c r="M680" s="2525"/>
      <c r="N680" s="2525">
        <v>0</v>
      </c>
      <c r="O680" s="2525"/>
      <c r="P680" s="2525">
        <v>0</v>
      </c>
      <c r="Q680" s="2525"/>
      <c r="R680" s="2525">
        <v>0</v>
      </c>
      <c r="S680" s="2525"/>
      <c r="T680" s="2525">
        <v>0</v>
      </c>
      <c r="U680" s="2525"/>
      <c r="V680" s="1961">
        <v>0</v>
      </c>
      <c r="W680" s="1962" t="s">
        <v>2453</v>
      </c>
    </row>
    <row r="681" spans="1:23" ht="11.25" customHeight="1" x14ac:dyDescent="0.2">
      <c r="A681" s="2526" t="s">
        <v>3216</v>
      </c>
      <c r="B681" s="2526"/>
      <c r="C681" s="2526"/>
      <c r="D681" s="2526"/>
      <c r="E681" s="2526"/>
      <c r="F681" s="1960" t="s">
        <v>2212</v>
      </c>
      <c r="G681" s="2526" t="s">
        <v>3218</v>
      </c>
      <c r="H681" s="2526"/>
      <c r="I681" s="2526"/>
      <c r="J681" s="2526"/>
      <c r="L681" s="2525">
        <v>0</v>
      </c>
      <c r="M681" s="2525"/>
      <c r="N681" s="2525">
        <v>0</v>
      </c>
      <c r="O681" s="2525"/>
      <c r="P681" s="2525">
        <v>0</v>
      </c>
      <c r="Q681" s="2525"/>
      <c r="R681" s="2525">
        <v>0</v>
      </c>
      <c r="S681" s="2525"/>
      <c r="T681" s="2525">
        <v>0</v>
      </c>
      <c r="U681" s="2525"/>
      <c r="V681" s="1961">
        <v>0</v>
      </c>
      <c r="W681" s="1962" t="s">
        <v>2453</v>
      </c>
    </row>
    <row r="682" spans="1:23" ht="11.25" customHeight="1" x14ac:dyDescent="0.2">
      <c r="A682" s="2526" t="s">
        <v>3219</v>
      </c>
      <c r="B682" s="2526"/>
      <c r="C682" s="2526"/>
      <c r="D682" s="2526"/>
      <c r="E682" s="2526"/>
      <c r="F682" s="1960" t="s">
        <v>2236</v>
      </c>
      <c r="G682" s="2526" t="s">
        <v>3220</v>
      </c>
      <c r="H682" s="2526"/>
      <c r="I682" s="2526"/>
      <c r="J682" s="2526"/>
      <c r="L682" s="2525">
        <v>0</v>
      </c>
      <c r="M682" s="2525"/>
      <c r="N682" s="2525">
        <v>0</v>
      </c>
      <c r="O682" s="2525"/>
      <c r="P682" s="2525">
        <v>0</v>
      </c>
      <c r="Q682" s="2525"/>
      <c r="R682" s="2525">
        <v>0</v>
      </c>
      <c r="S682" s="2525"/>
      <c r="T682" s="2525">
        <v>0</v>
      </c>
      <c r="U682" s="2525"/>
      <c r="V682" s="1961">
        <v>0</v>
      </c>
      <c r="W682" s="1962" t="s">
        <v>2453</v>
      </c>
    </row>
    <row r="683" spans="1:23" ht="11.25" customHeight="1" x14ac:dyDescent="0.2">
      <c r="A683" s="2526" t="s">
        <v>3221</v>
      </c>
      <c r="B683" s="2526"/>
      <c r="C683" s="2526"/>
      <c r="D683" s="2526"/>
      <c r="E683" s="2526"/>
      <c r="F683" s="1960" t="s">
        <v>2112</v>
      </c>
      <c r="G683" s="2526" t="s">
        <v>3222</v>
      </c>
      <c r="H683" s="2526"/>
      <c r="I683" s="2526"/>
      <c r="J683" s="2526"/>
      <c r="L683" s="2525">
        <v>0</v>
      </c>
      <c r="M683" s="2525"/>
      <c r="N683" s="2525">
        <v>0</v>
      </c>
      <c r="O683" s="2525"/>
      <c r="P683" s="2525">
        <v>0</v>
      </c>
      <c r="Q683" s="2525"/>
      <c r="R683" s="2525">
        <v>0</v>
      </c>
      <c r="S683" s="2525"/>
      <c r="T683" s="2525">
        <v>0</v>
      </c>
      <c r="U683" s="2525"/>
      <c r="V683" s="1961">
        <v>0</v>
      </c>
      <c r="W683" s="1962" t="s">
        <v>2453</v>
      </c>
    </row>
    <row r="684" spans="1:23" ht="11.25" customHeight="1" x14ac:dyDescent="0.2">
      <c r="A684" s="2526" t="s">
        <v>3223</v>
      </c>
      <c r="B684" s="2526"/>
      <c r="C684" s="2526"/>
      <c r="D684" s="2526"/>
      <c r="E684" s="2526"/>
      <c r="F684" s="1960" t="s">
        <v>2112</v>
      </c>
      <c r="G684" s="2526" t="s">
        <v>3224</v>
      </c>
      <c r="H684" s="2526"/>
      <c r="I684" s="2526"/>
      <c r="J684" s="2526"/>
      <c r="L684" s="2525">
        <v>0</v>
      </c>
      <c r="M684" s="2525"/>
      <c r="N684" s="2525">
        <v>0</v>
      </c>
      <c r="O684" s="2525"/>
      <c r="P684" s="2525">
        <v>0</v>
      </c>
      <c r="Q684" s="2525"/>
      <c r="R684" s="2525">
        <v>0</v>
      </c>
      <c r="S684" s="2525"/>
      <c r="T684" s="2525">
        <v>0</v>
      </c>
      <c r="U684" s="2525"/>
      <c r="V684" s="1961">
        <v>0</v>
      </c>
      <c r="W684" s="1962" t="s">
        <v>2453</v>
      </c>
    </row>
    <row r="685" spans="1:23" ht="11.25" customHeight="1" x14ac:dyDescent="0.2">
      <c r="A685" s="2526" t="s">
        <v>3225</v>
      </c>
      <c r="B685" s="2526"/>
      <c r="C685" s="2526"/>
      <c r="D685" s="2526"/>
      <c r="E685" s="2526"/>
      <c r="F685" s="1960" t="s">
        <v>2112</v>
      </c>
      <c r="G685" s="2526" t="s">
        <v>3226</v>
      </c>
      <c r="H685" s="2526"/>
      <c r="I685" s="2526"/>
      <c r="J685" s="2526"/>
      <c r="L685" s="2525">
        <v>0</v>
      </c>
      <c r="M685" s="2525"/>
      <c r="N685" s="2525">
        <v>0</v>
      </c>
      <c r="O685" s="2525"/>
      <c r="P685" s="2525">
        <v>22.56</v>
      </c>
      <c r="Q685" s="2525"/>
      <c r="R685" s="2525">
        <v>22.56</v>
      </c>
      <c r="S685" s="2525"/>
      <c r="T685" s="2525">
        <v>40</v>
      </c>
      <c r="U685" s="2525"/>
      <c r="V685" s="1961">
        <v>56.4</v>
      </c>
      <c r="W685" s="1962" t="s">
        <v>2453</v>
      </c>
    </row>
    <row r="686" spans="1:23" ht="11.25" customHeight="1" x14ac:dyDescent="0.2">
      <c r="A686" s="2526" t="s">
        <v>3227</v>
      </c>
      <c r="B686" s="2526"/>
      <c r="C686" s="2526"/>
      <c r="D686" s="2526"/>
      <c r="E686" s="2526"/>
      <c r="F686" s="1960" t="s">
        <v>2112</v>
      </c>
      <c r="G686" s="2526" t="s">
        <v>3228</v>
      </c>
      <c r="H686" s="2526"/>
      <c r="I686" s="2526"/>
      <c r="J686" s="2526"/>
      <c r="L686" s="2525">
        <v>0</v>
      </c>
      <c r="M686" s="2525"/>
      <c r="N686" s="2525">
        <v>0</v>
      </c>
      <c r="O686" s="2525"/>
      <c r="P686" s="2525">
        <v>0</v>
      </c>
      <c r="Q686" s="2525"/>
      <c r="R686" s="2525">
        <v>0</v>
      </c>
      <c r="S686" s="2525"/>
      <c r="T686" s="2525">
        <v>0</v>
      </c>
      <c r="U686" s="2525"/>
      <c r="V686" s="1961">
        <v>0</v>
      </c>
      <c r="W686" s="1962" t="s">
        <v>2453</v>
      </c>
    </row>
    <row r="687" spans="1:23" ht="11.25" customHeight="1" x14ac:dyDescent="0.2">
      <c r="A687" s="2526" t="s">
        <v>3229</v>
      </c>
      <c r="B687" s="2526"/>
      <c r="C687" s="2526"/>
      <c r="D687" s="2526"/>
      <c r="E687" s="2526"/>
      <c r="F687" s="1960" t="s">
        <v>2112</v>
      </c>
      <c r="G687" s="2526" t="s">
        <v>3230</v>
      </c>
      <c r="H687" s="2526"/>
      <c r="I687" s="2526"/>
      <c r="J687" s="2526"/>
      <c r="L687" s="2525">
        <v>0</v>
      </c>
      <c r="M687" s="2525"/>
      <c r="N687" s="2525">
        <v>0</v>
      </c>
      <c r="O687" s="2525"/>
      <c r="P687" s="2525">
        <v>14.88</v>
      </c>
      <c r="Q687" s="2525"/>
      <c r="R687" s="2525">
        <v>14.88</v>
      </c>
      <c r="S687" s="2525"/>
      <c r="T687" s="2525">
        <v>25</v>
      </c>
      <c r="U687" s="2525"/>
      <c r="V687" s="1961">
        <v>59.52</v>
      </c>
      <c r="W687" s="1962" t="s">
        <v>2453</v>
      </c>
    </row>
    <row r="688" spans="1:23" ht="11.25" customHeight="1" x14ac:dyDescent="0.2">
      <c r="A688" s="2526" t="s">
        <v>3231</v>
      </c>
      <c r="B688" s="2526"/>
      <c r="C688" s="2526"/>
      <c r="D688" s="2526"/>
      <c r="E688" s="2526"/>
      <c r="F688" s="1960" t="s">
        <v>2112</v>
      </c>
      <c r="G688" s="2526" t="s">
        <v>3232</v>
      </c>
      <c r="H688" s="2526"/>
      <c r="I688" s="2526"/>
      <c r="J688" s="2526"/>
      <c r="L688" s="2525">
        <v>0</v>
      </c>
      <c r="M688" s="2525"/>
      <c r="N688" s="2525">
        <v>0</v>
      </c>
      <c r="O688" s="2525"/>
      <c r="P688" s="2525">
        <v>3.52</v>
      </c>
      <c r="Q688" s="2525"/>
      <c r="R688" s="2525">
        <v>3.52</v>
      </c>
      <c r="S688" s="2525"/>
      <c r="T688" s="2525">
        <v>10</v>
      </c>
      <c r="U688" s="2525"/>
      <c r="V688" s="1961">
        <v>35.200000000000003</v>
      </c>
      <c r="W688" s="1962" t="s">
        <v>2453</v>
      </c>
    </row>
    <row r="689" spans="1:23" ht="11.25" customHeight="1" x14ac:dyDescent="0.2">
      <c r="A689" s="2526" t="s">
        <v>3233</v>
      </c>
      <c r="B689" s="2526"/>
      <c r="C689" s="2526"/>
      <c r="D689" s="2526"/>
      <c r="E689" s="2526"/>
      <c r="F689" s="1960" t="s">
        <v>2112</v>
      </c>
      <c r="G689" s="2526" t="s">
        <v>3234</v>
      </c>
      <c r="H689" s="2526"/>
      <c r="I689" s="2526"/>
      <c r="J689" s="2526"/>
      <c r="L689" s="2525">
        <v>0</v>
      </c>
      <c r="M689" s="2525"/>
      <c r="N689" s="2525">
        <v>0</v>
      </c>
      <c r="O689" s="2525"/>
      <c r="P689" s="2525">
        <v>119.04</v>
      </c>
      <c r="Q689" s="2525"/>
      <c r="R689" s="2525">
        <v>119.04</v>
      </c>
      <c r="S689" s="2525"/>
      <c r="T689" s="2525">
        <v>125</v>
      </c>
      <c r="U689" s="2525"/>
      <c r="V689" s="1961">
        <v>95.232000000000014</v>
      </c>
      <c r="W689" s="1962" t="s">
        <v>2453</v>
      </c>
    </row>
    <row r="690" spans="1:23" ht="11.25" customHeight="1" x14ac:dyDescent="0.2">
      <c r="A690" s="2526" t="s">
        <v>3235</v>
      </c>
      <c r="B690" s="2526"/>
      <c r="C690" s="2526"/>
      <c r="D690" s="2526"/>
      <c r="E690" s="2526"/>
      <c r="F690" s="1960" t="s">
        <v>2112</v>
      </c>
      <c r="G690" s="2526" t="s">
        <v>3236</v>
      </c>
      <c r="H690" s="2526"/>
      <c r="I690" s="2526"/>
      <c r="J690" s="2526"/>
      <c r="L690" s="2525">
        <v>0</v>
      </c>
      <c r="M690" s="2525"/>
      <c r="N690" s="2525">
        <v>0</v>
      </c>
      <c r="O690" s="2525"/>
      <c r="P690" s="2525">
        <v>27.84</v>
      </c>
      <c r="Q690" s="2525"/>
      <c r="R690" s="2525">
        <v>27.84</v>
      </c>
      <c r="S690" s="2525"/>
      <c r="T690" s="2525">
        <v>40</v>
      </c>
      <c r="U690" s="2525"/>
      <c r="V690" s="1961">
        <v>69.599999999999994</v>
      </c>
      <c r="W690" s="1962" t="s">
        <v>2453</v>
      </c>
    </row>
    <row r="691" spans="1:23" ht="11.25" customHeight="1" x14ac:dyDescent="0.2">
      <c r="A691" s="2526" t="s">
        <v>3237</v>
      </c>
      <c r="B691" s="2526"/>
      <c r="C691" s="2526"/>
      <c r="D691" s="2526"/>
      <c r="E691" s="2526"/>
      <c r="F691" s="1960" t="s">
        <v>2112</v>
      </c>
      <c r="G691" s="2526" t="s">
        <v>3238</v>
      </c>
      <c r="H691" s="2526"/>
      <c r="I691" s="2526"/>
      <c r="J691" s="2526"/>
      <c r="L691" s="2525">
        <v>0</v>
      </c>
      <c r="M691" s="2525"/>
      <c r="N691" s="2525">
        <v>0</v>
      </c>
      <c r="O691" s="2525"/>
      <c r="P691" s="2525">
        <v>1384.56</v>
      </c>
      <c r="Q691" s="2525"/>
      <c r="R691" s="2525">
        <v>1384.56</v>
      </c>
      <c r="S691" s="2525"/>
      <c r="T691" s="2525">
        <v>1000</v>
      </c>
      <c r="U691" s="2525"/>
      <c r="V691" s="1961">
        <v>138.45599999999999</v>
      </c>
      <c r="W691" s="1962" t="s">
        <v>2453</v>
      </c>
    </row>
    <row r="692" spans="1:23" ht="11.25" customHeight="1" x14ac:dyDescent="0.2">
      <c r="A692" s="2526" t="s">
        <v>3237</v>
      </c>
      <c r="B692" s="2526"/>
      <c r="C692" s="2526"/>
      <c r="D692" s="2526"/>
      <c r="E692" s="2526"/>
      <c r="F692" s="1960" t="s">
        <v>2212</v>
      </c>
      <c r="G692" s="2526" t="s">
        <v>3239</v>
      </c>
      <c r="H692" s="2526"/>
      <c r="I692" s="2526"/>
      <c r="J692" s="2526"/>
      <c r="L692" s="2525">
        <v>0</v>
      </c>
      <c r="M692" s="2525"/>
      <c r="N692" s="2525">
        <v>0</v>
      </c>
      <c r="O692" s="2525"/>
      <c r="P692" s="2525">
        <v>0</v>
      </c>
      <c r="Q692" s="2525"/>
      <c r="R692" s="2525">
        <v>0</v>
      </c>
      <c r="S692" s="2525"/>
      <c r="T692" s="2525">
        <v>0</v>
      </c>
      <c r="U692" s="2525"/>
      <c r="V692" s="1961">
        <v>0</v>
      </c>
      <c r="W692" s="1962" t="s">
        <v>2453</v>
      </c>
    </row>
    <row r="693" spans="1:23" ht="11.25" customHeight="1" x14ac:dyDescent="0.2">
      <c r="A693" s="2526" t="s">
        <v>3240</v>
      </c>
      <c r="B693" s="2526"/>
      <c r="C693" s="2526"/>
      <c r="D693" s="2526"/>
      <c r="E693" s="2526"/>
      <c r="F693" s="1960" t="s">
        <v>2112</v>
      </c>
      <c r="G693" s="2526" t="s">
        <v>3241</v>
      </c>
      <c r="H693" s="2526"/>
      <c r="I693" s="2526"/>
      <c r="J693" s="2526"/>
      <c r="L693" s="2525">
        <v>0</v>
      </c>
      <c r="M693" s="2525"/>
      <c r="N693" s="2525">
        <v>0</v>
      </c>
      <c r="O693" s="2525"/>
      <c r="P693" s="2525">
        <v>930</v>
      </c>
      <c r="Q693" s="2525"/>
      <c r="R693" s="2525">
        <v>930</v>
      </c>
      <c r="S693" s="2525"/>
      <c r="T693" s="2525">
        <v>950</v>
      </c>
      <c r="U693" s="2525"/>
      <c r="V693" s="1961">
        <v>97.894736842105274</v>
      </c>
      <c r="W693" s="1962" t="s">
        <v>2453</v>
      </c>
    </row>
    <row r="694" spans="1:23" ht="11.25" customHeight="1" x14ac:dyDescent="0.2">
      <c r="A694" s="2526" t="s">
        <v>3240</v>
      </c>
      <c r="B694" s="2526"/>
      <c r="C694" s="2526"/>
      <c r="D694" s="2526"/>
      <c r="E694" s="2526"/>
      <c r="F694" s="1960" t="s">
        <v>2212</v>
      </c>
      <c r="G694" s="2526" t="s">
        <v>3242</v>
      </c>
      <c r="H694" s="2526"/>
      <c r="I694" s="2526"/>
      <c r="J694" s="2526"/>
      <c r="L694" s="2525">
        <v>0</v>
      </c>
      <c r="M694" s="2525"/>
      <c r="N694" s="2525">
        <v>0</v>
      </c>
      <c r="O694" s="2525"/>
      <c r="P694" s="2525">
        <v>0</v>
      </c>
      <c r="Q694" s="2525"/>
      <c r="R694" s="2525">
        <v>0</v>
      </c>
      <c r="S694" s="2525"/>
      <c r="T694" s="2525">
        <v>0</v>
      </c>
      <c r="U694" s="2525"/>
      <c r="V694" s="1961">
        <v>0</v>
      </c>
      <c r="W694" s="1962" t="s">
        <v>2453</v>
      </c>
    </row>
    <row r="695" spans="1:23" ht="11.25" customHeight="1" x14ac:dyDescent="0.2">
      <c r="A695" s="2526" t="s">
        <v>3243</v>
      </c>
      <c r="B695" s="2526"/>
      <c r="C695" s="2526"/>
      <c r="D695" s="2526"/>
      <c r="E695" s="2526"/>
      <c r="F695" s="1960" t="s">
        <v>2112</v>
      </c>
      <c r="G695" s="2526" t="s">
        <v>3244</v>
      </c>
      <c r="H695" s="2526"/>
      <c r="I695" s="2526"/>
      <c r="J695" s="2526"/>
      <c r="L695" s="2525">
        <v>0</v>
      </c>
      <c r="M695" s="2525"/>
      <c r="N695" s="2525">
        <v>0</v>
      </c>
      <c r="O695" s="2525"/>
      <c r="P695" s="2525">
        <v>1336.1100000000001</v>
      </c>
      <c r="Q695" s="2525"/>
      <c r="R695" s="2525">
        <v>1336.1100000000001</v>
      </c>
      <c r="S695" s="2525"/>
      <c r="T695" s="2525">
        <v>1400</v>
      </c>
      <c r="U695" s="2525"/>
      <c r="V695" s="1961">
        <v>95.436428571428593</v>
      </c>
      <c r="W695" s="1962" t="s">
        <v>2453</v>
      </c>
    </row>
    <row r="696" spans="1:23" ht="11.25" customHeight="1" x14ac:dyDescent="0.2">
      <c r="A696" s="2526" t="s">
        <v>3243</v>
      </c>
      <c r="B696" s="2526"/>
      <c r="C696" s="2526"/>
      <c r="D696" s="2526"/>
      <c r="E696" s="2526"/>
      <c r="F696" s="1960" t="s">
        <v>2212</v>
      </c>
      <c r="G696" s="2526" t="s">
        <v>3245</v>
      </c>
      <c r="H696" s="2526"/>
      <c r="I696" s="2526"/>
      <c r="J696" s="2526"/>
      <c r="L696" s="2525">
        <v>0</v>
      </c>
      <c r="M696" s="2525"/>
      <c r="N696" s="2525">
        <v>0</v>
      </c>
      <c r="O696" s="2525"/>
      <c r="P696" s="2525">
        <v>0</v>
      </c>
      <c r="Q696" s="2525"/>
      <c r="R696" s="2525">
        <v>0</v>
      </c>
      <c r="S696" s="2525"/>
      <c r="T696" s="2525">
        <v>0</v>
      </c>
      <c r="U696" s="2525"/>
      <c r="V696" s="1961">
        <v>0</v>
      </c>
      <c r="W696" s="1962" t="s">
        <v>2453</v>
      </c>
    </row>
    <row r="697" spans="1:23" ht="11.25" customHeight="1" x14ac:dyDescent="0.2">
      <c r="A697" s="2526" t="s">
        <v>3246</v>
      </c>
      <c r="B697" s="2526"/>
      <c r="C697" s="2526"/>
      <c r="D697" s="2526"/>
      <c r="E697" s="2526"/>
      <c r="F697" s="1960" t="s">
        <v>2256</v>
      </c>
      <c r="G697" s="2526" t="s">
        <v>3247</v>
      </c>
      <c r="H697" s="2526"/>
      <c r="I697" s="2526"/>
      <c r="J697" s="2526"/>
      <c r="L697" s="2525">
        <v>0</v>
      </c>
      <c r="M697" s="2525"/>
      <c r="N697" s="2525">
        <v>0</v>
      </c>
      <c r="O697" s="2525"/>
      <c r="P697" s="2525">
        <v>0</v>
      </c>
      <c r="Q697" s="2525"/>
      <c r="R697" s="2525">
        <v>0</v>
      </c>
      <c r="S697" s="2525"/>
      <c r="T697" s="2525">
        <v>0</v>
      </c>
      <c r="U697" s="2525"/>
      <c r="V697" s="1961">
        <v>0</v>
      </c>
      <c r="W697" s="1962" t="s">
        <v>2453</v>
      </c>
    </row>
    <row r="698" spans="1:23" ht="11.25" customHeight="1" x14ac:dyDescent="0.2">
      <c r="A698" s="2526" t="s">
        <v>3248</v>
      </c>
      <c r="B698" s="2526"/>
      <c r="C698" s="2526"/>
      <c r="D698" s="2526"/>
      <c r="E698" s="2526"/>
      <c r="F698" s="1960" t="s">
        <v>2112</v>
      </c>
      <c r="G698" s="2526" t="s">
        <v>3249</v>
      </c>
      <c r="H698" s="2526"/>
      <c r="I698" s="2526"/>
      <c r="J698" s="2526"/>
      <c r="L698" s="2525">
        <v>0</v>
      </c>
      <c r="M698" s="2525"/>
      <c r="N698" s="2525">
        <v>0</v>
      </c>
      <c r="O698" s="2525"/>
      <c r="P698" s="2525">
        <v>622.51</v>
      </c>
      <c r="Q698" s="2525"/>
      <c r="R698" s="2525">
        <v>622.51</v>
      </c>
      <c r="S698" s="2525"/>
      <c r="T698" s="2525">
        <v>750</v>
      </c>
      <c r="U698" s="2525"/>
      <c r="V698" s="1961">
        <v>83.001333333333335</v>
      </c>
      <c r="W698" s="1962" t="s">
        <v>2453</v>
      </c>
    </row>
    <row r="699" spans="1:23" ht="11.25" customHeight="1" x14ac:dyDescent="0.2">
      <c r="A699" s="2526" t="s">
        <v>3250</v>
      </c>
      <c r="B699" s="2526"/>
      <c r="C699" s="2526"/>
      <c r="D699" s="2526"/>
      <c r="E699" s="2526"/>
      <c r="F699" s="1960" t="s">
        <v>2112</v>
      </c>
      <c r="G699" s="2526" t="s">
        <v>3251</v>
      </c>
      <c r="H699" s="2526"/>
      <c r="I699" s="2526"/>
      <c r="J699" s="2526"/>
      <c r="L699" s="2525">
        <v>0</v>
      </c>
      <c r="M699" s="2525"/>
      <c r="N699" s="2525">
        <v>0</v>
      </c>
      <c r="O699" s="2525"/>
      <c r="P699" s="2525">
        <v>417.34000000000003</v>
      </c>
      <c r="Q699" s="2525"/>
      <c r="R699" s="2525">
        <v>417.34000000000003</v>
      </c>
      <c r="S699" s="2525"/>
      <c r="T699" s="2525">
        <v>425</v>
      </c>
      <c r="U699" s="2525"/>
      <c r="V699" s="1961">
        <v>98.197647058823534</v>
      </c>
      <c r="W699" s="1962" t="s">
        <v>2453</v>
      </c>
    </row>
    <row r="700" spans="1:23" ht="11.25" customHeight="1" x14ac:dyDescent="0.2">
      <c r="A700" s="2526" t="s">
        <v>3252</v>
      </c>
      <c r="B700" s="2526"/>
      <c r="C700" s="2526"/>
      <c r="D700" s="2526"/>
      <c r="E700" s="2526"/>
      <c r="F700" s="1960" t="s">
        <v>2112</v>
      </c>
      <c r="G700" s="2526" t="s">
        <v>3253</v>
      </c>
      <c r="H700" s="2526"/>
      <c r="I700" s="2526"/>
      <c r="J700" s="2526"/>
      <c r="L700" s="2525">
        <v>0</v>
      </c>
      <c r="M700" s="2525"/>
      <c r="N700" s="2525">
        <v>0</v>
      </c>
      <c r="O700" s="2525"/>
      <c r="P700" s="2525">
        <v>228.28</v>
      </c>
      <c r="Q700" s="2525"/>
      <c r="R700" s="2525">
        <v>228.28</v>
      </c>
      <c r="S700" s="2525"/>
      <c r="T700" s="2525">
        <v>250</v>
      </c>
      <c r="U700" s="2525"/>
      <c r="V700" s="1961">
        <v>91.311999999999998</v>
      </c>
      <c r="W700" s="1962" t="s">
        <v>2453</v>
      </c>
    </row>
    <row r="701" spans="1:23" ht="11.25" customHeight="1" x14ac:dyDescent="0.2">
      <c r="A701" s="2526" t="s">
        <v>3254</v>
      </c>
      <c r="B701" s="2526"/>
      <c r="C701" s="2526"/>
      <c r="D701" s="2526"/>
      <c r="E701" s="2526"/>
      <c r="F701" s="1960" t="s">
        <v>2112</v>
      </c>
      <c r="G701" s="2526" t="s">
        <v>3255</v>
      </c>
      <c r="H701" s="2526"/>
      <c r="I701" s="2526"/>
      <c r="J701" s="2526"/>
      <c r="L701" s="2525">
        <v>0</v>
      </c>
      <c r="M701" s="2525"/>
      <c r="N701" s="2525">
        <v>0</v>
      </c>
      <c r="O701" s="2525"/>
      <c r="P701" s="2525">
        <v>411.6</v>
      </c>
      <c r="Q701" s="2525"/>
      <c r="R701" s="2525">
        <v>411.6</v>
      </c>
      <c r="S701" s="2525"/>
      <c r="T701" s="2525">
        <v>250</v>
      </c>
      <c r="U701" s="2525"/>
      <c r="V701" s="1961">
        <v>164.64000000000001</v>
      </c>
      <c r="W701" s="1962" t="s">
        <v>2453</v>
      </c>
    </row>
    <row r="702" spans="1:23" ht="11.25" customHeight="1" x14ac:dyDescent="0.2">
      <c r="A702" s="2526" t="s">
        <v>3256</v>
      </c>
      <c r="B702" s="2526"/>
      <c r="C702" s="2526"/>
      <c r="D702" s="2526"/>
      <c r="E702" s="2526"/>
      <c r="F702" s="1960" t="s">
        <v>2112</v>
      </c>
      <c r="G702" s="2526" t="s">
        <v>3255</v>
      </c>
      <c r="H702" s="2526"/>
      <c r="I702" s="2526"/>
      <c r="J702" s="2526"/>
      <c r="L702" s="2525">
        <v>0</v>
      </c>
      <c r="M702" s="2525"/>
      <c r="N702" s="2525">
        <v>0</v>
      </c>
      <c r="O702" s="2525"/>
      <c r="P702" s="2525">
        <v>36.25</v>
      </c>
      <c r="Q702" s="2525"/>
      <c r="R702" s="2525">
        <v>36.25</v>
      </c>
      <c r="S702" s="2525"/>
      <c r="T702" s="2525">
        <v>0</v>
      </c>
      <c r="U702" s="2525"/>
      <c r="V702" s="1961">
        <v>0</v>
      </c>
      <c r="W702" s="1962" t="s">
        <v>2453</v>
      </c>
    </row>
    <row r="703" spans="1:23" ht="11.25" customHeight="1" x14ac:dyDescent="0.2">
      <c r="A703" s="2526" t="s">
        <v>3257</v>
      </c>
      <c r="B703" s="2526"/>
      <c r="C703" s="2526"/>
      <c r="D703" s="2526"/>
      <c r="E703" s="2526"/>
      <c r="F703" s="1960" t="s">
        <v>2112</v>
      </c>
      <c r="G703" s="2526" t="s">
        <v>3258</v>
      </c>
      <c r="H703" s="2526"/>
      <c r="I703" s="2526"/>
      <c r="J703" s="2526"/>
      <c r="L703" s="2525">
        <v>0</v>
      </c>
      <c r="M703" s="2525"/>
      <c r="N703" s="2525">
        <v>0</v>
      </c>
      <c r="O703" s="2525"/>
      <c r="P703" s="2525">
        <v>0</v>
      </c>
      <c r="Q703" s="2525"/>
      <c r="R703" s="2525">
        <v>0</v>
      </c>
      <c r="S703" s="2525"/>
      <c r="T703" s="2525">
        <v>0</v>
      </c>
      <c r="U703" s="2525"/>
      <c r="V703" s="1961">
        <v>0</v>
      </c>
      <c r="W703" s="1962" t="s">
        <v>2453</v>
      </c>
    </row>
    <row r="704" spans="1:23" ht="11.25" customHeight="1" x14ac:dyDescent="0.2">
      <c r="A704" s="2526" t="s">
        <v>3259</v>
      </c>
      <c r="B704" s="2526"/>
      <c r="C704" s="2526"/>
      <c r="D704" s="2526"/>
      <c r="E704" s="2526"/>
      <c r="F704" s="1960" t="s">
        <v>2112</v>
      </c>
      <c r="G704" s="2526" t="s">
        <v>3260</v>
      </c>
      <c r="H704" s="2526"/>
      <c r="I704" s="2526"/>
      <c r="J704" s="2526"/>
      <c r="L704" s="2525">
        <v>0</v>
      </c>
      <c r="M704" s="2525"/>
      <c r="N704" s="2525">
        <v>0</v>
      </c>
      <c r="O704" s="2525"/>
      <c r="P704" s="2525">
        <v>1990.21</v>
      </c>
      <c r="Q704" s="2525"/>
      <c r="R704" s="2525">
        <v>1990.21</v>
      </c>
      <c r="S704" s="2525"/>
      <c r="T704" s="2525">
        <v>2050</v>
      </c>
      <c r="U704" s="2525"/>
      <c r="V704" s="1961">
        <v>97.083414634146337</v>
      </c>
      <c r="W704" s="1962" t="s">
        <v>2453</v>
      </c>
    </row>
    <row r="705" spans="1:23" ht="11.25" customHeight="1" x14ac:dyDescent="0.2">
      <c r="A705" s="2526" t="s">
        <v>3261</v>
      </c>
      <c r="B705" s="2526"/>
      <c r="C705" s="2526"/>
      <c r="D705" s="2526"/>
      <c r="E705" s="2526"/>
      <c r="F705" s="1960" t="s">
        <v>2112</v>
      </c>
      <c r="G705" s="2526" t="s">
        <v>3262</v>
      </c>
      <c r="H705" s="2526"/>
      <c r="I705" s="2526"/>
      <c r="J705" s="2526"/>
      <c r="L705" s="2525">
        <v>0</v>
      </c>
      <c r="M705" s="2525"/>
      <c r="N705" s="2525">
        <v>0</v>
      </c>
      <c r="O705" s="2525"/>
      <c r="P705" s="2525">
        <v>1337.33</v>
      </c>
      <c r="Q705" s="2525"/>
      <c r="R705" s="2525">
        <v>1337.33</v>
      </c>
      <c r="S705" s="2525"/>
      <c r="T705" s="2525">
        <v>1350</v>
      </c>
      <c r="U705" s="2525"/>
      <c r="V705" s="1961">
        <v>99.061481481481479</v>
      </c>
      <c r="W705" s="1962" t="s">
        <v>2453</v>
      </c>
    </row>
    <row r="706" spans="1:23" ht="11.25" customHeight="1" x14ac:dyDescent="0.2">
      <c r="A706" s="2526" t="s">
        <v>3263</v>
      </c>
      <c r="B706" s="2526"/>
      <c r="C706" s="2526"/>
      <c r="D706" s="2526"/>
      <c r="E706" s="2526"/>
      <c r="F706" s="1960" t="s">
        <v>2112</v>
      </c>
      <c r="G706" s="2526" t="s">
        <v>3264</v>
      </c>
      <c r="H706" s="2526"/>
      <c r="I706" s="2526"/>
      <c r="J706" s="2526"/>
      <c r="L706" s="2525">
        <v>0</v>
      </c>
      <c r="M706" s="2525"/>
      <c r="N706" s="2525">
        <v>0</v>
      </c>
      <c r="O706" s="2525"/>
      <c r="P706" s="2525">
        <v>312.74</v>
      </c>
      <c r="Q706" s="2525"/>
      <c r="R706" s="2525">
        <v>312.74</v>
      </c>
      <c r="S706" s="2525"/>
      <c r="T706" s="2525">
        <v>310</v>
      </c>
      <c r="U706" s="2525"/>
      <c r="V706" s="1961">
        <v>100.88387096774196</v>
      </c>
      <c r="W706" s="1962" t="s">
        <v>2453</v>
      </c>
    </row>
    <row r="707" spans="1:23" ht="11.25" customHeight="1" x14ac:dyDescent="0.2">
      <c r="A707" s="2526" t="s">
        <v>3265</v>
      </c>
      <c r="B707" s="2526"/>
      <c r="C707" s="2526"/>
      <c r="D707" s="2526"/>
      <c r="E707" s="2526"/>
      <c r="F707" s="1960" t="s">
        <v>2112</v>
      </c>
      <c r="G707" s="2526" t="s">
        <v>3266</v>
      </c>
      <c r="H707" s="2526"/>
      <c r="I707" s="2526"/>
      <c r="J707" s="2526"/>
      <c r="L707" s="2525">
        <v>0</v>
      </c>
      <c r="M707" s="2525"/>
      <c r="N707" s="2525">
        <v>0</v>
      </c>
      <c r="O707" s="2525"/>
      <c r="P707" s="2525">
        <v>4904.8</v>
      </c>
      <c r="Q707" s="2525"/>
      <c r="R707" s="2525">
        <v>4904.8</v>
      </c>
      <c r="S707" s="2525"/>
      <c r="T707" s="2525">
        <v>5000</v>
      </c>
      <c r="U707" s="2525"/>
      <c r="V707" s="1961">
        <v>98.096000000000004</v>
      </c>
      <c r="W707" s="1962" t="s">
        <v>2453</v>
      </c>
    </row>
    <row r="708" spans="1:23" ht="11.25" customHeight="1" x14ac:dyDescent="0.2">
      <c r="A708" s="2526" t="s">
        <v>3267</v>
      </c>
      <c r="B708" s="2526"/>
      <c r="C708" s="2526"/>
      <c r="D708" s="2526"/>
      <c r="E708" s="2526"/>
      <c r="F708" s="1960" t="s">
        <v>2112</v>
      </c>
      <c r="G708" s="2526" t="s">
        <v>3268</v>
      </c>
      <c r="H708" s="2526"/>
      <c r="I708" s="2526"/>
      <c r="J708" s="2526"/>
      <c r="L708" s="2525">
        <v>0</v>
      </c>
      <c r="M708" s="2525"/>
      <c r="N708" s="2525">
        <v>0</v>
      </c>
      <c r="O708" s="2525"/>
      <c r="P708" s="2525">
        <v>4200.91</v>
      </c>
      <c r="Q708" s="2525"/>
      <c r="R708" s="2525">
        <v>4200.91</v>
      </c>
      <c r="S708" s="2525"/>
      <c r="T708" s="2525">
        <v>3400</v>
      </c>
      <c r="U708" s="2525"/>
      <c r="V708" s="1961">
        <v>123.55617647058824</v>
      </c>
      <c r="W708" s="1962" t="s">
        <v>2453</v>
      </c>
    </row>
    <row r="709" spans="1:23" ht="11.25" customHeight="1" x14ac:dyDescent="0.2">
      <c r="A709" s="2526" t="s">
        <v>3267</v>
      </c>
      <c r="B709" s="2526"/>
      <c r="C709" s="2526"/>
      <c r="D709" s="2526"/>
      <c r="E709" s="2526"/>
      <c r="F709" s="1960" t="s">
        <v>2212</v>
      </c>
      <c r="G709" s="2526" t="s">
        <v>3269</v>
      </c>
      <c r="H709" s="2526"/>
      <c r="I709" s="2526"/>
      <c r="J709" s="2526"/>
      <c r="L709" s="2525">
        <v>0</v>
      </c>
      <c r="M709" s="2525"/>
      <c r="N709" s="2525">
        <v>0</v>
      </c>
      <c r="O709" s="2525"/>
      <c r="P709" s="2525">
        <v>0</v>
      </c>
      <c r="Q709" s="2525"/>
      <c r="R709" s="2525">
        <v>0</v>
      </c>
      <c r="S709" s="2525"/>
      <c r="T709" s="2525">
        <v>0</v>
      </c>
      <c r="U709" s="2525"/>
      <c r="V709" s="1961">
        <v>0</v>
      </c>
      <c r="W709" s="1962" t="s">
        <v>2453</v>
      </c>
    </row>
    <row r="710" spans="1:23" ht="11.25" customHeight="1" x14ac:dyDescent="0.2">
      <c r="A710" s="2526" t="s">
        <v>3270</v>
      </c>
      <c r="B710" s="2526"/>
      <c r="C710" s="2526"/>
      <c r="D710" s="2526"/>
      <c r="E710" s="2526"/>
      <c r="F710" s="1960" t="s">
        <v>2112</v>
      </c>
      <c r="G710" s="2526" t="s">
        <v>3271</v>
      </c>
      <c r="H710" s="2526"/>
      <c r="I710" s="2526"/>
      <c r="J710" s="2526"/>
      <c r="L710" s="2525">
        <v>0</v>
      </c>
      <c r="M710" s="2525"/>
      <c r="N710" s="2525">
        <v>0</v>
      </c>
      <c r="O710" s="2525"/>
      <c r="P710" s="2525">
        <v>982.5</v>
      </c>
      <c r="Q710" s="2525"/>
      <c r="R710" s="2525">
        <v>982.5</v>
      </c>
      <c r="S710" s="2525"/>
      <c r="T710" s="2525">
        <v>900</v>
      </c>
      <c r="U710" s="2525"/>
      <c r="V710" s="1961">
        <v>109.16666666666669</v>
      </c>
      <c r="W710" s="1962" t="s">
        <v>2453</v>
      </c>
    </row>
    <row r="711" spans="1:23" ht="11.25" customHeight="1" x14ac:dyDescent="0.2">
      <c r="A711" s="2526" t="s">
        <v>3270</v>
      </c>
      <c r="B711" s="2526"/>
      <c r="C711" s="2526"/>
      <c r="D711" s="2526"/>
      <c r="E711" s="2526"/>
      <c r="F711" s="1960" t="s">
        <v>2212</v>
      </c>
      <c r="G711" s="2526" t="s">
        <v>3272</v>
      </c>
      <c r="H711" s="2526"/>
      <c r="I711" s="2526"/>
      <c r="J711" s="2526"/>
      <c r="L711" s="2525">
        <v>0</v>
      </c>
      <c r="M711" s="2525"/>
      <c r="N711" s="2525">
        <v>0</v>
      </c>
      <c r="O711" s="2525"/>
      <c r="P711" s="2525">
        <v>0</v>
      </c>
      <c r="Q711" s="2525"/>
      <c r="R711" s="2525">
        <v>0</v>
      </c>
      <c r="S711" s="2525"/>
      <c r="T711" s="2525">
        <v>0</v>
      </c>
      <c r="U711" s="2525"/>
      <c r="V711" s="1961">
        <v>0</v>
      </c>
      <c r="W711" s="1962" t="s">
        <v>2453</v>
      </c>
    </row>
    <row r="712" spans="1:23" ht="11.25" customHeight="1" x14ac:dyDescent="0.2">
      <c r="A712" s="2526" t="s">
        <v>3273</v>
      </c>
      <c r="B712" s="2526"/>
      <c r="C712" s="2526"/>
      <c r="D712" s="2526"/>
      <c r="E712" s="2526"/>
      <c r="F712" s="1960" t="s">
        <v>2112</v>
      </c>
      <c r="G712" s="2526" t="s">
        <v>3274</v>
      </c>
      <c r="H712" s="2526"/>
      <c r="I712" s="2526"/>
      <c r="J712" s="2526"/>
      <c r="L712" s="2525">
        <v>0</v>
      </c>
      <c r="M712" s="2525"/>
      <c r="N712" s="2525">
        <v>0</v>
      </c>
      <c r="O712" s="2525"/>
      <c r="P712" s="2525">
        <v>1802.08</v>
      </c>
      <c r="Q712" s="2525"/>
      <c r="R712" s="2525">
        <v>1802.08</v>
      </c>
      <c r="S712" s="2525"/>
      <c r="T712" s="2525">
        <v>1900</v>
      </c>
      <c r="U712" s="2525"/>
      <c r="V712" s="1961">
        <v>94.846315789473678</v>
      </c>
      <c r="W712" s="1962" t="s">
        <v>2453</v>
      </c>
    </row>
    <row r="713" spans="1:23" ht="11.25" customHeight="1" x14ac:dyDescent="0.2">
      <c r="A713" s="2526" t="s">
        <v>3275</v>
      </c>
      <c r="B713" s="2526"/>
      <c r="C713" s="2526"/>
      <c r="D713" s="2526"/>
      <c r="E713" s="2526"/>
      <c r="F713" s="1960" t="s">
        <v>2112</v>
      </c>
      <c r="G713" s="2526" t="s">
        <v>3276</v>
      </c>
      <c r="H713" s="2526"/>
      <c r="I713" s="2526"/>
      <c r="J713" s="2526"/>
      <c r="L713" s="2525">
        <v>0</v>
      </c>
      <c r="M713" s="2525"/>
      <c r="N713" s="2525">
        <v>0</v>
      </c>
      <c r="O713" s="2525"/>
      <c r="P713" s="2525">
        <v>1289.25</v>
      </c>
      <c r="Q713" s="2525"/>
      <c r="R713" s="2525">
        <v>1289.25</v>
      </c>
      <c r="S713" s="2525"/>
      <c r="T713" s="2525">
        <v>1500</v>
      </c>
      <c r="U713" s="2525"/>
      <c r="V713" s="1961">
        <v>85.95</v>
      </c>
      <c r="W713" s="1962" t="s">
        <v>2453</v>
      </c>
    </row>
    <row r="714" spans="1:23" ht="11.25" customHeight="1" x14ac:dyDescent="0.2">
      <c r="A714" s="2526" t="s">
        <v>3277</v>
      </c>
      <c r="B714" s="2526"/>
      <c r="C714" s="2526"/>
      <c r="D714" s="2526"/>
      <c r="E714" s="2526"/>
      <c r="F714" s="1960" t="s">
        <v>2112</v>
      </c>
      <c r="G714" s="2526" t="s">
        <v>3278</v>
      </c>
      <c r="H714" s="2526"/>
      <c r="I714" s="2526"/>
      <c r="J714" s="2526"/>
      <c r="L714" s="2525">
        <v>0</v>
      </c>
      <c r="M714" s="2525"/>
      <c r="N714" s="2525">
        <v>0</v>
      </c>
      <c r="O714" s="2525"/>
      <c r="P714" s="2525">
        <v>374</v>
      </c>
      <c r="Q714" s="2525"/>
      <c r="R714" s="2525">
        <v>374</v>
      </c>
      <c r="S714" s="2525"/>
      <c r="T714" s="2525">
        <v>300</v>
      </c>
      <c r="U714" s="2525"/>
      <c r="V714" s="1961">
        <v>124.66666666666669</v>
      </c>
      <c r="W714" s="1962" t="s">
        <v>2453</v>
      </c>
    </row>
    <row r="715" spans="1:23" ht="11.25" customHeight="1" x14ac:dyDescent="0.2">
      <c r="A715" s="2526" t="s">
        <v>3279</v>
      </c>
      <c r="B715" s="2526"/>
      <c r="C715" s="2526"/>
      <c r="D715" s="2526"/>
      <c r="E715" s="2526"/>
      <c r="F715" s="1960" t="s">
        <v>2112</v>
      </c>
      <c r="G715" s="2526" t="s">
        <v>3280</v>
      </c>
      <c r="H715" s="2526"/>
      <c r="I715" s="2526"/>
      <c r="J715" s="2526"/>
      <c r="L715" s="2525">
        <v>0</v>
      </c>
      <c r="M715" s="2525"/>
      <c r="N715" s="2525">
        <v>0</v>
      </c>
      <c r="O715" s="2525"/>
      <c r="P715" s="2525">
        <v>2677.61</v>
      </c>
      <c r="Q715" s="2525"/>
      <c r="R715" s="2525">
        <v>2677.61</v>
      </c>
      <c r="S715" s="2525"/>
      <c r="T715" s="2525">
        <v>2550</v>
      </c>
      <c r="U715" s="2525"/>
      <c r="V715" s="1961">
        <v>105.00431372549019</v>
      </c>
      <c r="W715" s="1962" t="s">
        <v>2453</v>
      </c>
    </row>
    <row r="716" spans="1:23" ht="11.25" customHeight="1" x14ac:dyDescent="0.2">
      <c r="A716" s="2526" t="s">
        <v>3281</v>
      </c>
      <c r="B716" s="2526"/>
      <c r="C716" s="2526"/>
      <c r="D716" s="2526"/>
      <c r="E716" s="2526"/>
      <c r="F716" s="1960" t="s">
        <v>2112</v>
      </c>
      <c r="G716" s="2526" t="s">
        <v>3282</v>
      </c>
      <c r="H716" s="2526"/>
      <c r="I716" s="2526"/>
      <c r="J716" s="2526"/>
      <c r="L716" s="2525">
        <v>0</v>
      </c>
      <c r="M716" s="2525"/>
      <c r="N716" s="2525">
        <v>0</v>
      </c>
      <c r="O716" s="2525"/>
      <c r="P716" s="2525">
        <v>1859.33</v>
      </c>
      <c r="Q716" s="2525"/>
      <c r="R716" s="2525">
        <v>1859.33</v>
      </c>
      <c r="S716" s="2525"/>
      <c r="T716" s="2525">
        <v>1650</v>
      </c>
      <c r="U716" s="2525"/>
      <c r="V716" s="1961">
        <v>112.68666666666667</v>
      </c>
      <c r="W716" s="1962" t="s">
        <v>2453</v>
      </c>
    </row>
    <row r="717" spans="1:23" ht="11.25" customHeight="1" x14ac:dyDescent="0.2">
      <c r="A717" s="2526" t="s">
        <v>3283</v>
      </c>
      <c r="B717" s="2526"/>
      <c r="C717" s="2526"/>
      <c r="D717" s="2526"/>
      <c r="E717" s="2526"/>
      <c r="F717" s="1960" t="s">
        <v>2112</v>
      </c>
      <c r="G717" s="2526" t="s">
        <v>3284</v>
      </c>
      <c r="H717" s="2526"/>
      <c r="I717" s="2526"/>
      <c r="J717" s="2526"/>
      <c r="L717" s="2525">
        <v>0</v>
      </c>
      <c r="M717" s="2525"/>
      <c r="N717" s="2525">
        <v>0</v>
      </c>
      <c r="O717" s="2525"/>
      <c r="P717" s="2525">
        <v>434.88</v>
      </c>
      <c r="Q717" s="2525"/>
      <c r="R717" s="2525">
        <v>434.88</v>
      </c>
      <c r="S717" s="2525"/>
      <c r="T717" s="2525">
        <v>390</v>
      </c>
      <c r="U717" s="2525"/>
      <c r="V717" s="1961">
        <v>111.50769230769231</v>
      </c>
      <c r="W717" s="1962" t="s">
        <v>2453</v>
      </c>
    </row>
    <row r="718" spans="1:23" ht="11.25" customHeight="1" x14ac:dyDescent="0.2">
      <c r="A718" s="2526" t="s">
        <v>3285</v>
      </c>
      <c r="B718" s="2526"/>
      <c r="C718" s="2526"/>
      <c r="D718" s="2526"/>
      <c r="E718" s="2526"/>
      <c r="F718" s="1960" t="s">
        <v>2212</v>
      </c>
      <c r="G718" s="2526" t="s">
        <v>3286</v>
      </c>
      <c r="H718" s="2526"/>
      <c r="I718" s="2526"/>
      <c r="J718" s="2526"/>
      <c r="L718" s="2525">
        <v>0</v>
      </c>
      <c r="M718" s="2525"/>
      <c r="N718" s="2525">
        <v>0</v>
      </c>
      <c r="O718" s="2525"/>
      <c r="P718" s="2525">
        <v>0</v>
      </c>
      <c r="Q718" s="2525"/>
      <c r="R718" s="2525">
        <v>0</v>
      </c>
      <c r="S718" s="2525"/>
      <c r="T718" s="2525">
        <v>0</v>
      </c>
      <c r="U718" s="2525"/>
      <c r="V718" s="1961">
        <v>0</v>
      </c>
      <c r="W718" s="1962" t="s">
        <v>2453</v>
      </c>
    </row>
    <row r="719" spans="1:23" ht="11.25" customHeight="1" x14ac:dyDescent="0.2">
      <c r="A719" s="2526" t="s">
        <v>3287</v>
      </c>
      <c r="B719" s="2526"/>
      <c r="C719" s="2526"/>
      <c r="D719" s="2526"/>
      <c r="E719" s="2526"/>
      <c r="F719" s="1960" t="s">
        <v>2212</v>
      </c>
      <c r="G719" s="2526" t="s">
        <v>3288</v>
      </c>
      <c r="H719" s="2526"/>
      <c r="I719" s="2526"/>
      <c r="J719" s="2526"/>
      <c r="L719" s="2525">
        <v>0</v>
      </c>
      <c r="M719" s="2525"/>
      <c r="N719" s="2525">
        <v>0</v>
      </c>
      <c r="O719" s="2525"/>
      <c r="P719" s="2525">
        <v>0</v>
      </c>
      <c r="Q719" s="2525"/>
      <c r="R719" s="2525">
        <v>0</v>
      </c>
      <c r="S719" s="2525"/>
      <c r="T719" s="2525">
        <v>0</v>
      </c>
      <c r="U719" s="2525"/>
      <c r="V719" s="1961">
        <v>0</v>
      </c>
      <c r="W719" s="1962" t="s">
        <v>2453</v>
      </c>
    </row>
    <row r="720" spans="1:23" ht="11.25" customHeight="1" x14ac:dyDescent="0.2">
      <c r="A720" s="2526" t="s">
        <v>3289</v>
      </c>
      <c r="B720" s="2526"/>
      <c r="C720" s="2526"/>
      <c r="D720" s="2526"/>
      <c r="E720" s="2526"/>
      <c r="F720" s="1960" t="s">
        <v>2212</v>
      </c>
      <c r="G720" s="2526" t="s">
        <v>3290</v>
      </c>
      <c r="H720" s="2526"/>
      <c r="I720" s="2526"/>
      <c r="J720" s="2526"/>
      <c r="L720" s="2525">
        <v>0</v>
      </c>
      <c r="M720" s="2525"/>
      <c r="N720" s="2525">
        <v>0</v>
      </c>
      <c r="O720" s="2525"/>
      <c r="P720" s="2525">
        <v>0</v>
      </c>
      <c r="Q720" s="2525"/>
      <c r="R720" s="2525">
        <v>0</v>
      </c>
      <c r="S720" s="2525"/>
      <c r="T720" s="2525">
        <v>0</v>
      </c>
      <c r="U720" s="2525"/>
      <c r="V720" s="1961">
        <v>0</v>
      </c>
      <c r="W720" s="1962" t="s">
        <v>2453</v>
      </c>
    </row>
    <row r="721" spans="1:23" ht="11.25" customHeight="1" x14ac:dyDescent="0.2">
      <c r="A721" s="2526" t="s">
        <v>3291</v>
      </c>
      <c r="B721" s="2526"/>
      <c r="C721" s="2526"/>
      <c r="D721" s="2526"/>
      <c r="E721" s="2526"/>
      <c r="F721" s="1960" t="s">
        <v>2112</v>
      </c>
      <c r="G721" s="2526" t="s">
        <v>3292</v>
      </c>
      <c r="H721" s="2526"/>
      <c r="I721" s="2526"/>
      <c r="J721" s="2526"/>
      <c r="L721" s="2525">
        <v>0</v>
      </c>
      <c r="M721" s="2525"/>
      <c r="N721" s="2525">
        <v>0</v>
      </c>
      <c r="O721" s="2525"/>
      <c r="P721" s="2525">
        <v>24.2</v>
      </c>
      <c r="Q721" s="2525"/>
      <c r="R721" s="2525">
        <v>24.2</v>
      </c>
      <c r="S721" s="2525"/>
      <c r="T721" s="2525">
        <v>0</v>
      </c>
      <c r="U721" s="2525"/>
      <c r="V721" s="1961">
        <v>0</v>
      </c>
      <c r="W721" s="1962" t="s">
        <v>2453</v>
      </c>
    </row>
    <row r="722" spans="1:23" ht="11.25" customHeight="1" x14ac:dyDescent="0.2">
      <c r="A722" s="2526" t="s">
        <v>3293</v>
      </c>
      <c r="B722" s="2526"/>
      <c r="C722" s="2526"/>
      <c r="D722" s="2526"/>
      <c r="E722" s="2526"/>
      <c r="F722" s="1960" t="s">
        <v>2112</v>
      </c>
      <c r="G722" s="2526" t="s">
        <v>3294</v>
      </c>
      <c r="H722" s="2526"/>
      <c r="I722" s="2526"/>
      <c r="J722" s="2526"/>
      <c r="L722" s="2525">
        <v>0</v>
      </c>
      <c r="M722" s="2525"/>
      <c r="N722" s="2525">
        <v>0</v>
      </c>
      <c r="O722" s="2525"/>
      <c r="P722" s="2525">
        <v>1695</v>
      </c>
      <c r="Q722" s="2525"/>
      <c r="R722" s="2525">
        <v>1695</v>
      </c>
      <c r="S722" s="2525"/>
      <c r="T722" s="2525">
        <v>0</v>
      </c>
      <c r="U722" s="2525"/>
      <c r="V722" s="1961">
        <v>0</v>
      </c>
      <c r="W722" s="1962" t="s">
        <v>2453</v>
      </c>
    </row>
    <row r="723" spans="1:23" ht="11.25" customHeight="1" x14ac:dyDescent="0.2">
      <c r="A723" s="2526" t="s">
        <v>3295</v>
      </c>
      <c r="B723" s="2526"/>
      <c r="C723" s="2526"/>
      <c r="D723" s="2526"/>
      <c r="E723" s="2526"/>
      <c r="F723" s="1960" t="s">
        <v>2112</v>
      </c>
      <c r="G723" s="2526" t="s">
        <v>3296</v>
      </c>
      <c r="H723" s="2526"/>
      <c r="I723" s="2526"/>
      <c r="J723" s="2526"/>
      <c r="L723" s="2525">
        <v>0</v>
      </c>
      <c r="M723" s="2525"/>
      <c r="N723" s="2525">
        <v>0</v>
      </c>
      <c r="O723" s="2525"/>
      <c r="P723" s="2525">
        <v>396.46000000000004</v>
      </c>
      <c r="Q723" s="2525"/>
      <c r="R723" s="2525">
        <v>396.46000000000004</v>
      </c>
      <c r="S723" s="2525"/>
      <c r="T723" s="2525">
        <v>0</v>
      </c>
      <c r="U723" s="2525"/>
      <c r="V723" s="1961">
        <v>0</v>
      </c>
      <c r="W723" s="1962" t="s">
        <v>2453</v>
      </c>
    </row>
    <row r="724" spans="1:23" ht="11.25" customHeight="1" x14ac:dyDescent="0.2">
      <c r="A724" s="2526" t="s">
        <v>3297</v>
      </c>
      <c r="B724" s="2526"/>
      <c r="C724" s="2526"/>
      <c r="D724" s="2526"/>
      <c r="E724" s="2526"/>
      <c r="F724" s="1960" t="s">
        <v>2112</v>
      </c>
      <c r="G724" s="2526" t="s">
        <v>3298</v>
      </c>
      <c r="H724" s="2526"/>
      <c r="I724" s="2526"/>
      <c r="J724" s="2526"/>
      <c r="L724" s="2525">
        <v>0</v>
      </c>
      <c r="M724" s="2525"/>
      <c r="N724" s="2525">
        <v>0</v>
      </c>
      <c r="O724" s="2525"/>
      <c r="P724" s="2525">
        <v>0</v>
      </c>
      <c r="Q724" s="2525"/>
      <c r="R724" s="2525">
        <v>0</v>
      </c>
      <c r="S724" s="2525"/>
      <c r="T724" s="2525">
        <v>0</v>
      </c>
      <c r="U724" s="2525"/>
      <c r="V724" s="1961">
        <v>0</v>
      </c>
      <c r="W724" s="1962" t="s">
        <v>2453</v>
      </c>
    </row>
    <row r="725" spans="1:23" ht="11.25" customHeight="1" x14ac:dyDescent="0.2">
      <c r="A725" s="2526" t="s">
        <v>3299</v>
      </c>
      <c r="B725" s="2526"/>
      <c r="C725" s="2526"/>
      <c r="D725" s="2526"/>
      <c r="E725" s="2526"/>
      <c r="F725" s="1960" t="s">
        <v>2112</v>
      </c>
      <c r="G725" s="2526" t="s">
        <v>3300</v>
      </c>
      <c r="H725" s="2526"/>
      <c r="I725" s="2526"/>
      <c r="J725" s="2526"/>
      <c r="L725" s="2525">
        <v>0</v>
      </c>
      <c r="M725" s="2525"/>
      <c r="N725" s="2525">
        <v>0</v>
      </c>
      <c r="O725" s="2525"/>
      <c r="P725" s="2525">
        <v>0</v>
      </c>
      <c r="Q725" s="2525"/>
      <c r="R725" s="2525">
        <v>0</v>
      </c>
      <c r="S725" s="2525"/>
      <c r="T725" s="2525">
        <v>0</v>
      </c>
      <c r="U725" s="2525"/>
      <c r="V725" s="1961">
        <v>0</v>
      </c>
      <c r="W725" s="1962" t="s">
        <v>2453</v>
      </c>
    </row>
    <row r="726" spans="1:23" ht="2.25" customHeight="1" x14ac:dyDescent="0.2"/>
    <row r="727" spans="1:23" ht="13.5" customHeight="1" x14ac:dyDescent="0.2">
      <c r="A727" s="2523" t="s">
        <v>2406</v>
      </c>
      <c r="B727" s="2523"/>
      <c r="C727" s="2523"/>
      <c r="D727" s="2523"/>
      <c r="E727" s="2523"/>
      <c r="F727" s="2523"/>
      <c r="G727" s="2523"/>
      <c r="H727" s="2523"/>
      <c r="I727" s="2523"/>
      <c r="L727" s="2524">
        <v>0</v>
      </c>
      <c r="M727" s="2524"/>
      <c r="N727" s="2524">
        <v>0</v>
      </c>
      <c r="O727" s="2524"/>
      <c r="P727" s="2524">
        <v>52375.520000000004</v>
      </c>
      <c r="Q727" s="2524"/>
      <c r="R727" s="2524">
        <v>52375.520000000004</v>
      </c>
      <c r="S727" s="2524"/>
      <c r="T727" s="2524">
        <v>47153</v>
      </c>
      <c r="U727" s="2524"/>
      <c r="V727" s="1963">
        <v>111.07568977583611</v>
      </c>
    </row>
    <row r="728" spans="1:23" ht="15.75" customHeight="1" x14ac:dyDescent="0.2">
      <c r="A728" s="1959"/>
      <c r="B728" s="2527" t="s">
        <v>2407</v>
      </c>
      <c r="C728" s="2527"/>
      <c r="D728" s="2527"/>
      <c r="E728" s="2527"/>
      <c r="F728" s="2527"/>
      <c r="G728" s="2527"/>
      <c r="H728" s="2527"/>
      <c r="I728" s="2527"/>
      <c r="J728" s="2527"/>
      <c r="K728" s="2527"/>
      <c r="L728" s="2527"/>
      <c r="M728" s="2527"/>
      <c r="N728" s="2527"/>
      <c r="O728" s="2527"/>
      <c r="P728" s="2527"/>
      <c r="Q728" s="2527"/>
      <c r="R728" s="2527"/>
      <c r="S728" s="2527"/>
      <c r="T728" s="2527"/>
      <c r="U728" s="2527"/>
      <c r="V728" s="2527"/>
    </row>
    <row r="729" spans="1:23" ht="11.25" customHeight="1" x14ac:dyDescent="0.2">
      <c r="A729" s="2526" t="s">
        <v>3301</v>
      </c>
      <c r="B729" s="2526"/>
      <c r="C729" s="2526"/>
      <c r="D729" s="2526"/>
      <c r="E729" s="2526"/>
      <c r="F729" s="1960" t="s">
        <v>2112</v>
      </c>
      <c r="G729" s="2526" t="s">
        <v>3302</v>
      </c>
      <c r="H729" s="2526"/>
      <c r="I729" s="2526"/>
      <c r="J729" s="2526"/>
      <c r="L729" s="2525">
        <v>0</v>
      </c>
      <c r="M729" s="2525"/>
      <c r="N729" s="2525">
        <v>0</v>
      </c>
      <c r="O729" s="2525"/>
      <c r="P729" s="2525">
        <v>0</v>
      </c>
      <c r="Q729" s="2525"/>
      <c r="R729" s="2525">
        <v>0</v>
      </c>
      <c r="S729" s="2525"/>
      <c r="T729" s="2525">
        <v>55000</v>
      </c>
      <c r="U729" s="2525"/>
      <c r="V729" s="1961">
        <v>0</v>
      </c>
      <c r="W729" s="1962" t="s">
        <v>2453</v>
      </c>
    </row>
    <row r="730" spans="1:23" ht="11.25" customHeight="1" x14ac:dyDescent="0.2">
      <c r="A730" s="2526" t="s">
        <v>3303</v>
      </c>
      <c r="B730" s="2526"/>
      <c r="C730" s="2526"/>
      <c r="D730" s="2526"/>
      <c r="E730" s="2526"/>
      <c r="F730" s="1960" t="s">
        <v>2112</v>
      </c>
      <c r="G730" s="2526" t="s">
        <v>3304</v>
      </c>
      <c r="H730" s="2526"/>
      <c r="I730" s="2526"/>
      <c r="J730" s="2526"/>
      <c r="L730" s="2525">
        <v>0</v>
      </c>
      <c r="M730" s="2525"/>
      <c r="N730" s="2525">
        <v>0</v>
      </c>
      <c r="O730" s="2525"/>
      <c r="P730" s="2525">
        <v>0</v>
      </c>
      <c r="Q730" s="2525"/>
      <c r="R730" s="2525">
        <v>0</v>
      </c>
      <c r="S730" s="2525"/>
      <c r="T730" s="2525">
        <v>0</v>
      </c>
      <c r="U730" s="2525"/>
      <c r="V730" s="1961">
        <v>0</v>
      </c>
      <c r="W730" s="1962" t="s">
        <v>2453</v>
      </c>
    </row>
    <row r="731" spans="1:23" ht="11.25" customHeight="1" x14ac:dyDescent="0.2">
      <c r="A731" s="2526" t="s">
        <v>3305</v>
      </c>
      <c r="B731" s="2526"/>
      <c r="C731" s="2526"/>
      <c r="D731" s="2526"/>
      <c r="E731" s="2526"/>
      <c r="F731" s="1960" t="s">
        <v>2112</v>
      </c>
      <c r="G731" s="2526" t="s">
        <v>3306</v>
      </c>
      <c r="H731" s="2526"/>
      <c r="I731" s="2526"/>
      <c r="J731" s="2526"/>
      <c r="L731" s="2525">
        <v>0</v>
      </c>
      <c r="M731" s="2525"/>
      <c r="N731" s="2525">
        <v>0</v>
      </c>
      <c r="O731" s="2525"/>
      <c r="P731" s="2525">
        <v>0</v>
      </c>
      <c r="Q731" s="2525"/>
      <c r="R731" s="2525">
        <v>0</v>
      </c>
      <c r="S731" s="2525"/>
      <c r="T731" s="2525">
        <v>0</v>
      </c>
      <c r="U731" s="2525"/>
      <c r="V731" s="1961">
        <v>0</v>
      </c>
      <c r="W731" s="1962" t="s">
        <v>2453</v>
      </c>
    </row>
    <row r="732" spans="1:23" ht="11.25" customHeight="1" x14ac:dyDescent="0.2">
      <c r="A732" s="2526" t="s">
        <v>3307</v>
      </c>
      <c r="B732" s="2526"/>
      <c r="C732" s="2526"/>
      <c r="D732" s="2526"/>
      <c r="E732" s="2526"/>
      <c r="F732" s="1960" t="s">
        <v>2112</v>
      </c>
      <c r="G732" s="2526" t="s">
        <v>3113</v>
      </c>
      <c r="H732" s="2526"/>
      <c r="I732" s="2526"/>
      <c r="J732" s="2526"/>
      <c r="L732" s="2525">
        <v>0</v>
      </c>
      <c r="M732" s="2525"/>
      <c r="N732" s="2525">
        <v>0</v>
      </c>
      <c r="O732" s="2525"/>
      <c r="P732" s="2525">
        <v>0</v>
      </c>
      <c r="Q732" s="2525"/>
      <c r="R732" s="2525">
        <v>0</v>
      </c>
      <c r="S732" s="2525"/>
      <c r="T732" s="2525">
        <v>0</v>
      </c>
      <c r="U732" s="2525"/>
      <c r="V732" s="1961">
        <v>0</v>
      </c>
      <c r="W732" s="1962" t="s">
        <v>2453</v>
      </c>
    </row>
    <row r="733" spans="1:23" ht="11.25" customHeight="1" x14ac:dyDescent="0.2">
      <c r="A733" s="2526" t="s">
        <v>3308</v>
      </c>
      <c r="B733" s="2526"/>
      <c r="C733" s="2526"/>
      <c r="D733" s="2526"/>
      <c r="E733" s="2526"/>
      <c r="F733" s="1960" t="s">
        <v>2112</v>
      </c>
      <c r="G733" s="2526" t="s">
        <v>3309</v>
      </c>
      <c r="H733" s="2526"/>
      <c r="I733" s="2526"/>
      <c r="J733" s="2526"/>
      <c r="L733" s="2525">
        <v>0</v>
      </c>
      <c r="M733" s="2525"/>
      <c r="N733" s="2525">
        <v>0</v>
      </c>
      <c r="O733" s="2525"/>
      <c r="P733" s="2525">
        <v>0</v>
      </c>
      <c r="Q733" s="2525"/>
      <c r="R733" s="2525">
        <v>0</v>
      </c>
      <c r="S733" s="2525"/>
      <c r="T733" s="2525">
        <v>0</v>
      </c>
      <c r="U733" s="2525"/>
      <c r="V733" s="1961">
        <v>0</v>
      </c>
      <c r="W733" s="1962" t="s">
        <v>2453</v>
      </c>
    </row>
    <row r="734" spans="1:23" ht="2.25" customHeight="1" x14ac:dyDescent="0.2"/>
    <row r="735" spans="1:23" ht="13.5" customHeight="1" x14ac:dyDescent="0.2">
      <c r="A735" s="2523" t="s">
        <v>2422</v>
      </c>
      <c r="B735" s="2523"/>
      <c r="C735" s="2523"/>
      <c r="D735" s="2523"/>
      <c r="E735" s="2523"/>
      <c r="F735" s="2523"/>
      <c r="G735" s="2523"/>
      <c r="H735" s="2523"/>
      <c r="I735" s="2523"/>
      <c r="L735" s="2524">
        <v>0</v>
      </c>
      <c r="M735" s="2524"/>
      <c r="N735" s="2524">
        <v>0</v>
      </c>
      <c r="O735" s="2524"/>
      <c r="P735" s="2524">
        <v>0</v>
      </c>
      <c r="Q735" s="2524"/>
      <c r="R735" s="2524">
        <v>0</v>
      </c>
      <c r="S735" s="2524"/>
      <c r="T735" s="2524">
        <v>55000</v>
      </c>
      <c r="U735" s="2524"/>
      <c r="V735" s="1963">
        <v>0</v>
      </c>
    </row>
    <row r="736" spans="1:23" ht="15.75" customHeight="1" x14ac:dyDescent="0.2">
      <c r="A736" s="1959"/>
      <c r="B736" s="2527" t="s">
        <v>2432</v>
      </c>
      <c r="C736" s="2527"/>
      <c r="D736" s="2527"/>
      <c r="E736" s="2527"/>
      <c r="F736" s="2527"/>
      <c r="G736" s="2527"/>
      <c r="H736" s="2527"/>
      <c r="I736" s="2527"/>
      <c r="J736" s="2527"/>
      <c r="K736" s="2527"/>
      <c r="L736" s="2527"/>
      <c r="M736" s="2527"/>
      <c r="N736" s="2527"/>
      <c r="O736" s="2527"/>
      <c r="P736" s="2527"/>
      <c r="Q736" s="2527"/>
      <c r="R736" s="2527"/>
      <c r="S736" s="2527"/>
      <c r="T736" s="2527"/>
      <c r="U736" s="2527"/>
      <c r="V736" s="2527"/>
    </row>
    <row r="737" spans="1:23" ht="11.25" customHeight="1" x14ac:dyDescent="0.2">
      <c r="A737" s="2526" t="s">
        <v>3310</v>
      </c>
      <c r="B737" s="2526"/>
      <c r="C737" s="2526"/>
      <c r="D737" s="2526"/>
      <c r="E737" s="2526"/>
      <c r="F737" s="1960" t="s">
        <v>2112</v>
      </c>
      <c r="G737" s="2526" t="s">
        <v>2887</v>
      </c>
      <c r="H737" s="2526"/>
      <c r="I737" s="2526"/>
      <c r="J737" s="2526"/>
      <c r="L737" s="2525">
        <v>0</v>
      </c>
      <c r="M737" s="2525"/>
      <c r="N737" s="2525">
        <v>0</v>
      </c>
      <c r="O737" s="2525"/>
      <c r="P737" s="2525">
        <v>1487</v>
      </c>
      <c r="Q737" s="2525"/>
      <c r="R737" s="2525">
        <v>1487</v>
      </c>
      <c r="S737" s="2525"/>
      <c r="T737" s="2525">
        <v>13000</v>
      </c>
      <c r="U737" s="2525"/>
      <c r="V737" s="1961">
        <v>11.438461538461539</v>
      </c>
      <c r="W737" s="1962" t="s">
        <v>2453</v>
      </c>
    </row>
    <row r="738" spans="1:23" ht="11.25" customHeight="1" x14ac:dyDescent="0.2">
      <c r="A738" s="2526" t="s">
        <v>3311</v>
      </c>
      <c r="B738" s="2526"/>
      <c r="C738" s="2526"/>
      <c r="D738" s="2526"/>
      <c r="E738" s="2526"/>
      <c r="F738" s="1960" t="s">
        <v>2112</v>
      </c>
      <c r="G738" s="2526" t="s">
        <v>3312</v>
      </c>
      <c r="H738" s="2526"/>
      <c r="I738" s="2526"/>
      <c r="J738" s="2526"/>
      <c r="L738" s="2525">
        <v>0</v>
      </c>
      <c r="M738" s="2525"/>
      <c r="N738" s="2525">
        <v>0</v>
      </c>
      <c r="O738" s="2525"/>
      <c r="P738" s="2525">
        <v>19773</v>
      </c>
      <c r="Q738" s="2525"/>
      <c r="R738" s="2525">
        <v>19773</v>
      </c>
      <c r="S738" s="2525"/>
      <c r="T738" s="2525">
        <v>18000</v>
      </c>
      <c r="U738" s="2525"/>
      <c r="V738" s="1961">
        <v>109.85000000000001</v>
      </c>
      <c r="W738" s="1962" t="s">
        <v>2453</v>
      </c>
    </row>
    <row r="739" spans="1:23" ht="11.25" customHeight="1" x14ac:dyDescent="0.2">
      <c r="A739" s="2526" t="s">
        <v>3313</v>
      </c>
      <c r="B739" s="2526"/>
      <c r="C739" s="2526"/>
      <c r="D739" s="2526"/>
      <c r="E739" s="2526"/>
      <c r="F739" s="1960" t="s">
        <v>2112</v>
      </c>
      <c r="G739" s="2526" t="s">
        <v>3314</v>
      </c>
      <c r="H739" s="2526"/>
      <c r="I739" s="2526"/>
      <c r="J739" s="2526"/>
      <c r="L739" s="2525">
        <v>0</v>
      </c>
      <c r="M739" s="2525"/>
      <c r="N739" s="2525">
        <v>0</v>
      </c>
      <c r="O739" s="2525"/>
      <c r="P739" s="2525">
        <f>21311.32-5580</f>
        <v>15731.32</v>
      </c>
      <c r="Q739" s="2525"/>
      <c r="R739" s="2525">
        <v>21311.32</v>
      </c>
      <c r="S739" s="2525"/>
      <c r="T739" s="2525">
        <v>15500</v>
      </c>
      <c r="U739" s="2525"/>
      <c r="V739" s="1961">
        <v>137.49238709677419</v>
      </c>
      <c r="W739" s="1962" t="s">
        <v>2453</v>
      </c>
    </row>
    <row r="740" spans="1:23" ht="11.25" customHeight="1" x14ac:dyDescent="0.2">
      <c r="A740" s="2526" t="s">
        <v>3315</v>
      </c>
      <c r="B740" s="2526"/>
      <c r="C740" s="2526"/>
      <c r="D740" s="2526"/>
      <c r="E740" s="2526"/>
      <c r="F740" s="1960" t="s">
        <v>2112</v>
      </c>
      <c r="G740" s="2526" t="s">
        <v>3316</v>
      </c>
      <c r="H740" s="2526"/>
      <c r="I740" s="2526"/>
      <c r="J740" s="2526"/>
      <c r="L740" s="2525">
        <v>0</v>
      </c>
      <c r="M740" s="2525"/>
      <c r="N740" s="2525">
        <v>0</v>
      </c>
      <c r="O740" s="2525"/>
      <c r="P740" s="2525">
        <v>0</v>
      </c>
      <c r="Q740" s="2525"/>
      <c r="R740" s="2525">
        <v>0</v>
      </c>
      <c r="S740" s="2525"/>
      <c r="T740" s="2525">
        <v>0</v>
      </c>
      <c r="U740" s="2525"/>
      <c r="V740" s="1961">
        <v>0</v>
      </c>
      <c r="W740" s="1962" t="s">
        <v>2453</v>
      </c>
    </row>
    <row r="741" spans="1:23" ht="11.25" customHeight="1" x14ac:dyDescent="0.2">
      <c r="A741" s="2526" t="s">
        <v>3359</v>
      </c>
      <c r="B741" s="2526"/>
      <c r="C741" s="2526"/>
      <c r="D741" s="2526"/>
      <c r="E741" s="2526"/>
      <c r="F741" s="1960" t="s">
        <v>2112</v>
      </c>
      <c r="G741" s="2526" t="s">
        <v>3317</v>
      </c>
      <c r="H741" s="2526"/>
      <c r="I741" s="2526"/>
      <c r="J741" s="2526"/>
      <c r="L741" s="2525">
        <v>0</v>
      </c>
      <c r="M741" s="2525"/>
      <c r="N741" s="2525">
        <v>0</v>
      </c>
      <c r="O741" s="2525"/>
      <c r="P741" s="2525">
        <f>350+2531</f>
        <v>2881</v>
      </c>
      <c r="Q741" s="2525"/>
      <c r="R741" s="2525">
        <v>0</v>
      </c>
      <c r="S741" s="2525"/>
      <c r="T741" s="2525">
        <v>0</v>
      </c>
      <c r="U741" s="2525"/>
      <c r="V741" s="1961">
        <v>0</v>
      </c>
      <c r="W741" s="1962" t="s">
        <v>2453</v>
      </c>
    </row>
    <row r="742" spans="1:23" ht="11.25" customHeight="1" x14ac:dyDescent="0.2">
      <c r="A742" s="2526" t="s">
        <v>3318</v>
      </c>
      <c r="B742" s="2526"/>
      <c r="C742" s="2526"/>
      <c r="D742" s="2526"/>
      <c r="E742" s="2526"/>
      <c r="F742" s="1960" t="s">
        <v>2112</v>
      </c>
      <c r="G742" s="2526" t="s">
        <v>3319</v>
      </c>
      <c r="H742" s="2526"/>
      <c r="I742" s="2526"/>
      <c r="J742" s="2526"/>
      <c r="L742" s="2525">
        <v>0</v>
      </c>
      <c r="M742" s="2525"/>
      <c r="N742" s="2525">
        <v>0</v>
      </c>
      <c r="O742" s="2525"/>
      <c r="P742" s="2525">
        <v>0</v>
      </c>
      <c r="Q742" s="2525"/>
      <c r="R742" s="2525">
        <v>0</v>
      </c>
      <c r="S742" s="2525"/>
      <c r="T742" s="2525">
        <v>0</v>
      </c>
      <c r="U742" s="2525"/>
      <c r="V742" s="1961">
        <v>0</v>
      </c>
      <c r="W742" s="1962" t="s">
        <v>2453</v>
      </c>
    </row>
    <row r="743" spans="1:23" ht="11.25" customHeight="1" x14ac:dyDescent="0.2">
      <c r="A743" s="2526" t="s">
        <v>3318</v>
      </c>
      <c r="B743" s="2526"/>
      <c r="C743" s="2526"/>
      <c r="D743" s="2526"/>
      <c r="E743" s="2526"/>
      <c r="F743" s="1960" t="s">
        <v>2112</v>
      </c>
      <c r="G743" s="2526" t="s">
        <v>3320</v>
      </c>
      <c r="H743" s="2526"/>
      <c r="I743" s="2526"/>
      <c r="J743" s="2526"/>
      <c r="L743" s="2525">
        <v>0</v>
      </c>
      <c r="M743" s="2525"/>
      <c r="N743" s="2525">
        <v>0</v>
      </c>
      <c r="O743" s="2525"/>
      <c r="P743" s="2525">
        <v>52.2</v>
      </c>
      <c r="Q743" s="2525"/>
      <c r="R743" s="2525">
        <v>52.2</v>
      </c>
      <c r="S743" s="2525"/>
      <c r="T743" s="2525">
        <v>45</v>
      </c>
      <c r="U743" s="2525"/>
      <c r="V743" s="1961">
        <v>116</v>
      </c>
      <c r="W743" s="1962" t="s">
        <v>2453</v>
      </c>
    </row>
    <row r="744" spans="1:23" ht="11.25" customHeight="1" x14ac:dyDescent="0.2">
      <c r="A744" s="2526" t="s">
        <v>3321</v>
      </c>
      <c r="B744" s="2526"/>
      <c r="C744" s="2526"/>
      <c r="D744" s="2526"/>
      <c r="E744" s="2526"/>
      <c r="F744" s="1960" t="s">
        <v>2112</v>
      </c>
      <c r="G744" s="2526" t="s">
        <v>3322</v>
      </c>
      <c r="H744" s="2526"/>
      <c r="I744" s="2526"/>
      <c r="J744" s="2526"/>
      <c r="L744" s="2525">
        <v>0</v>
      </c>
      <c r="M744" s="2525"/>
      <c r="N744" s="2525">
        <v>0</v>
      </c>
      <c r="O744" s="2525"/>
      <c r="P744" s="2525">
        <v>0</v>
      </c>
      <c r="Q744" s="2525"/>
      <c r="R744" s="2525">
        <v>0</v>
      </c>
      <c r="S744" s="2525"/>
      <c r="T744" s="2525">
        <v>0</v>
      </c>
      <c r="U744" s="2525"/>
      <c r="V744" s="1961">
        <v>0</v>
      </c>
      <c r="W744" s="1962" t="s">
        <v>2453</v>
      </c>
    </row>
    <row r="745" spans="1:23" ht="11.25" customHeight="1" x14ac:dyDescent="0.2">
      <c r="A745" s="2526" t="s">
        <v>3360</v>
      </c>
      <c r="B745" s="2526"/>
      <c r="C745" s="2526"/>
      <c r="D745" s="2526"/>
      <c r="E745" s="2526"/>
      <c r="F745" s="1960" t="s">
        <v>2112</v>
      </c>
      <c r="G745" s="2526" t="s">
        <v>2962</v>
      </c>
      <c r="H745" s="2526"/>
      <c r="I745" s="2526"/>
      <c r="J745" s="2526"/>
      <c r="L745" s="2525">
        <v>0</v>
      </c>
      <c r="M745" s="2525"/>
      <c r="N745" s="2525">
        <v>0</v>
      </c>
      <c r="O745" s="2525"/>
      <c r="P745" s="2525">
        <v>49750</v>
      </c>
      <c r="Q745" s="2525"/>
      <c r="R745" s="2525">
        <v>0</v>
      </c>
      <c r="S745" s="2525"/>
      <c r="T745" s="2525">
        <v>0</v>
      </c>
      <c r="U745" s="2525"/>
      <c r="V745" s="1961">
        <v>0</v>
      </c>
      <c r="W745" s="1962" t="s">
        <v>2453</v>
      </c>
    </row>
    <row r="746" spans="1:23" ht="11.25" customHeight="1" x14ac:dyDescent="0.2">
      <c r="A746" s="2526" t="s">
        <v>3321</v>
      </c>
      <c r="B746" s="2526"/>
      <c r="C746" s="2526"/>
      <c r="D746" s="2526"/>
      <c r="E746" s="2526"/>
      <c r="F746" s="1960" t="s">
        <v>2112</v>
      </c>
      <c r="G746" s="2526" t="s">
        <v>2683</v>
      </c>
      <c r="H746" s="2526"/>
      <c r="I746" s="2526"/>
      <c r="J746" s="2526"/>
      <c r="L746" s="2525">
        <v>0</v>
      </c>
      <c r="M746" s="2525"/>
      <c r="N746" s="2525">
        <v>0</v>
      </c>
      <c r="O746" s="2525"/>
      <c r="P746" s="2525">
        <v>185.4</v>
      </c>
      <c r="Q746" s="2525"/>
      <c r="R746" s="2525">
        <v>185.4</v>
      </c>
      <c r="S746" s="2525"/>
      <c r="T746" s="2525">
        <v>0</v>
      </c>
      <c r="U746" s="2525"/>
      <c r="V746" s="1961">
        <v>0</v>
      </c>
      <c r="W746" s="1962" t="s">
        <v>2453</v>
      </c>
    </row>
    <row r="747" spans="1:23" ht="11.25" customHeight="1" x14ac:dyDescent="0.2">
      <c r="A747" s="2526" t="s">
        <v>3323</v>
      </c>
      <c r="B747" s="2526"/>
      <c r="C747" s="2526"/>
      <c r="D747" s="2526"/>
      <c r="E747" s="2526"/>
      <c r="F747" s="1960" t="s">
        <v>2112</v>
      </c>
      <c r="G747" s="2526" t="s">
        <v>3324</v>
      </c>
      <c r="H747" s="2526"/>
      <c r="I747" s="2526"/>
      <c r="J747" s="2526"/>
      <c r="L747" s="2525">
        <v>0</v>
      </c>
      <c r="M747" s="2525"/>
      <c r="N747" s="2525">
        <v>0</v>
      </c>
      <c r="O747" s="2525"/>
      <c r="P747" s="2525">
        <v>0</v>
      </c>
      <c r="Q747" s="2525"/>
      <c r="R747" s="2525">
        <v>0</v>
      </c>
      <c r="S747" s="2525"/>
      <c r="T747" s="2525">
        <v>0</v>
      </c>
      <c r="U747" s="2525"/>
      <c r="V747" s="1961">
        <v>0</v>
      </c>
      <c r="W747" s="1962" t="s">
        <v>2453</v>
      </c>
    </row>
    <row r="748" spans="1:23" ht="11.25" customHeight="1" x14ac:dyDescent="0.2">
      <c r="A748" s="2526" t="s">
        <v>3325</v>
      </c>
      <c r="B748" s="2526"/>
      <c r="C748" s="2526"/>
      <c r="D748" s="2526"/>
      <c r="E748" s="2526"/>
      <c r="F748" s="1960" t="s">
        <v>2112</v>
      </c>
      <c r="G748" s="2526" t="s">
        <v>3326</v>
      </c>
      <c r="H748" s="2526"/>
      <c r="I748" s="2526"/>
      <c r="J748" s="2526"/>
      <c r="L748" s="2525">
        <v>0</v>
      </c>
      <c r="M748" s="2525"/>
      <c r="N748" s="2525">
        <v>0</v>
      </c>
      <c r="O748" s="2525"/>
      <c r="P748" s="2525">
        <v>0</v>
      </c>
      <c r="Q748" s="2525"/>
      <c r="R748" s="2525">
        <v>0</v>
      </c>
      <c r="S748" s="2525"/>
      <c r="T748" s="2525">
        <v>1000</v>
      </c>
      <c r="U748" s="2525"/>
      <c r="V748" s="1961">
        <v>0</v>
      </c>
      <c r="W748" s="1962" t="s">
        <v>2453</v>
      </c>
    </row>
    <row r="749" spans="1:23" ht="11.25" customHeight="1" x14ac:dyDescent="0.2">
      <c r="A749" s="2526" t="s">
        <v>3327</v>
      </c>
      <c r="B749" s="2526"/>
      <c r="C749" s="2526"/>
      <c r="D749" s="2526"/>
      <c r="E749" s="2526"/>
      <c r="F749" s="1960" t="s">
        <v>2112</v>
      </c>
      <c r="G749" s="2526" t="s">
        <v>2880</v>
      </c>
      <c r="H749" s="2526"/>
      <c r="I749" s="2526"/>
      <c r="J749" s="2526"/>
      <c r="L749" s="2525">
        <v>0</v>
      </c>
      <c r="M749" s="2525"/>
      <c r="N749" s="2525">
        <v>0</v>
      </c>
      <c r="O749" s="2525"/>
      <c r="P749" s="2525">
        <f>62605.86+5580-49750</f>
        <v>18435.86</v>
      </c>
      <c r="Q749" s="2525"/>
      <c r="R749" s="2525">
        <v>62605.86</v>
      </c>
      <c r="S749" s="2525"/>
      <c r="T749" s="2525">
        <v>78000</v>
      </c>
      <c r="U749" s="2525"/>
      <c r="V749" s="1961">
        <v>80.263923076923078</v>
      </c>
      <c r="W749" s="1962" t="s">
        <v>2453</v>
      </c>
    </row>
    <row r="750" spans="1:23" ht="11.25" customHeight="1" x14ac:dyDescent="0.2">
      <c r="A750" s="2526" t="s">
        <v>3328</v>
      </c>
      <c r="B750" s="2526"/>
      <c r="C750" s="2526"/>
      <c r="D750" s="2526"/>
      <c r="E750" s="2526"/>
      <c r="F750" s="1960" t="s">
        <v>2112</v>
      </c>
      <c r="G750" s="2526" t="s">
        <v>3069</v>
      </c>
      <c r="H750" s="2526"/>
      <c r="I750" s="2526"/>
      <c r="J750" s="2526"/>
      <c r="L750" s="2525">
        <v>0</v>
      </c>
      <c r="M750" s="2525"/>
      <c r="N750" s="2525">
        <v>0</v>
      </c>
      <c r="O750" s="2525"/>
      <c r="P750" s="2525">
        <v>0</v>
      </c>
      <c r="Q750" s="2525"/>
      <c r="R750" s="2525">
        <v>0</v>
      </c>
      <c r="S750" s="2525"/>
      <c r="T750" s="2525">
        <v>0</v>
      </c>
      <c r="U750" s="2525"/>
      <c r="V750" s="1961">
        <v>0</v>
      </c>
      <c r="W750" s="1962" t="s">
        <v>2453</v>
      </c>
    </row>
    <row r="751" spans="1:23" ht="11.25" customHeight="1" x14ac:dyDescent="0.2">
      <c r="A751" s="2526" t="s">
        <v>3329</v>
      </c>
      <c r="B751" s="2526"/>
      <c r="C751" s="2526"/>
      <c r="D751" s="2526"/>
      <c r="E751" s="2526"/>
      <c r="F751" s="1960" t="s">
        <v>2112</v>
      </c>
      <c r="G751" s="2526" t="s">
        <v>3150</v>
      </c>
      <c r="H751" s="2526"/>
      <c r="I751" s="2526"/>
      <c r="J751" s="2526"/>
      <c r="L751" s="2525">
        <v>0</v>
      </c>
      <c r="M751" s="2525"/>
      <c r="N751" s="2525">
        <v>0</v>
      </c>
      <c r="O751" s="2525"/>
      <c r="P751" s="2525">
        <v>0</v>
      </c>
      <c r="Q751" s="2525"/>
      <c r="R751" s="2525">
        <v>0</v>
      </c>
      <c r="S751" s="2525"/>
      <c r="T751" s="2525">
        <v>600</v>
      </c>
      <c r="U751" s="2525"/>
      <c r="V751" s="1961">
        <v>0</v>
      </c>
      <c r="W751" s="1962" t="s">
        <v>2453</v>
      </c>
    </row>
    <row r="752" spans="1:23" ht="11.25" customHeight="1" x14ac:dyDescent="0.2">
      <c r="A752" s="2526" t="s">
        <v>3330</v>
      </c>
      <c r="B752" s="2526"/>
      <c r="C752" s="2526"/>
      <c r="D752" s="2526"/>
      <c r="E752" s="2526"/>
      <c r="F752" s="1960" t="s">
        <v>2112</v>
      </c>
      <c r="G752" s="2526" t="s">
        <v>3331</v>
      </c>
      <c r="H752" s="2526"/>
      <c r="I752" s="2526"/>
      <c r="J752" s="2526"/>
      <c r="L752" s="2525">
        <v>0</v>
      </c>
      <c r="M752" s="2525"/>
      <c r="N752" s="2525">
        <v>0</v>
      </c>
      <c r="O752" s="2525"/>
      <c r="P752" s="2525">
        <v>0</v>
      </c>
      <c r="Q752" s="2525"/>
      <c r="R752" s="2525">
        <v>0</v>
      </c>
      <c r="S752" s="2525"/>
      <c r="T752" s="2525">
        <v>0</v>
      </c>
      <c r="U752" s="2525"/>
      <c r="V752" s="1961">
        <v>0</v>
      </c>
      <c r="W752" s="1962" t="s">
        <v>2453</v>
      </c>
    </row>
    <row r="753" spans="1:26" ht="11.25" customHeight="1" x14ac:dyDescent="0.2">
      <c r="A753" s="2526" t="s">
        <v>3332</v>
      </c>
      <c r="B753" s="2526"/>
      <c r="C753" s="2526"/>
      <c r="D753" s="2526"/>
      <c r="E753" s="2526"/>
      <c r="F753" s="1960" t="s">
        <v>2112</v>
      </c>
      <c r="G753" s="2526" t="s">
        <v>3333</v>
      </c>
      <c r="H753" s="2526"/>
      <c r="I753" s="2526"/>
      <c r="J753" s="2526"/>
      <c r="L753" s="2525">
        <v>0</v>
      </c>
      <c r="M753" s="2525"/>
      <c r="N753" s="2525">
        <v>0</v>
      </c>
      <c r="O753" s="2525"/>
      <c r="P753" s="2525">
        <v>0</v>
      </c>
      <c r="Q753" s="2525"/>
      <c r="R753" s="2525">
        <v>0</v>
      </c>
      <c r="S753" s="2525"/>
      <c r="T753" s="2525">
        <v>0</v>
      </c>
      <c r="U753" s="2525"/>
      <c r="V753" s="1961">
        <v>0</v>
      </c>
      <c r="W753" s="1962" t="s">
        <v>2453</v>
      </c>
    </row>
    <row r="754" spans="1:26" ht="11.25" customHeight="1" x14ac:dyDescent="0.2">
      <c r="A754" s="2526" t="s">
        <v>3334</v>
      </c>
      <c r="B754" s="2526"/>
      <c r="C754" s="2526"/>
      <c r="D754" s="2526"/>
      <c r="E754" s="2526"/>
      <c r="F754" s="1960" t="s">
        <v>2112</v>
      </c>
      <c r="G754" s="2526" t="s">
        <v>2962</v>
      </c>
      <c r="H754" s="2526"/>
      <c r="I754" s="2526"/>
      <c r="J754" s="2526"/>
      <c r="L754" s="2525">
        <v>0</v>
      </c>
      <c r="M754" s="2525"/>
      <c r="N754" s="2525">
        <v>0</v>
      </c>
      <c r="O754" s="2525"/>
      <c r="P754" s="2525">
        <v>0</v>
      </c>
      <c r="Q754" s="2525"/>
      <c r="R754" s="2525">
        <v>0</v>
      </c>
      <c r="S754" s="2525"/>
      <c r="T754" s="2525">
        <v>0</v>
      </c>
      <c r="U754" s="2525"/>
      <c r="V754" s="1961">
        <v>0</v>
      </c>
      <c r="W754" s="1962" t="s">
        <v>2453</v>
      </c>
    </row>
    <row r="755" spans="1:26" ht="11.25" customHeight="1" x14ac:dyDescent="0.2">
      <c r="A755" s="2526" t="s">
        <v>3335</v>
      </c>
      <c r="B755" s="2526"/>
      <c r="C755" s="2526"/>
      <c r="D755" s="2526"/>
      <c r="E755" s="2526"/>
      <c r="F755" s="1960" t="s">
        <v>2112</v>
      </c>
      <c r="G755" s="2526" t="s">
        <v>2683</v>
      </c>
      <c r="H755" s="2526"/>
      <c r="I755" s="2526"/>
      <c r="J755" s="2526"/>
      <c r="L755" s="2525">
        <v>0</v>
      </c>
      <c r="M755" s="2525"/>
      <c r="N755" s="2525">
        <v>0</v>
      </c>
      <c r="O755" s="2525"/>
      <c r="P755" s="2525">
        <v>0</v>
      </c>
      <c r="Q755" s="2525"/>
      <c r="R755" s="2525">
        <v>0</v>
      </c>
      <c r="S755" s="2525"/>
      <c r="T755" s="2525">
        <v>0</v>
      </c>
      <c r="U755" s="2525"/>
      <c r="V755" s="1961">
        <v>0</v>
      </c>
      <c r="W755" s="1962" t="s">
        <v>2453</v>
      </c>
    </row>
    <row r="756" spans="1:26" ht="2.25" customHeight="1" x14ac:dyDescent="0.2"/>
    <row r="757" spans="1:26" ht="13.5" customHeight="1" x14ac:dyDescent="0.2">
      <c r="A757" s="2523" t="s">
        <v>2438</v>
      </c>
      <c r="B757" s="2523"/>
      <c r="C757" s="2523"/>
      <c r="D757" s="2523"/>
      <c r="E757" s="2523"/>
      <c r="F757" s="2523"/>
      <c r="G757" s="2523"/>
      <c r="H757" s="2523"/>
      <c r="I757" s="2523"/>
      <c r="L757" s="2524">
        <v>0</v>
      </c>
      <c r="M757" s="2524"/>
      <c r="N757" s="2524">
        <v>0</v>
      </c>
      <c r="O757" s="2524"/>
      <c r="P757" s="2524">
        <v>105414.78</v>
      </c>
      <c r="Q757" s="2524"/>
      <c r="R757" s="2524">
        <v>105414.78</v>
      </c>
      <c r="S757" s="2524"/>
      <c r="T757" s="2524">
        <v>126145</v>
      </c>
      <c r="U757" s="2524"/>
      <c r="V757" s="1963">
        <v>83.566356177414875</v>
      </c>
    </row>
    <row r="758" spans="1:26" ht="15.75" customHeight="1" x14ac:dyDescent="0.2">
      <c r="A758" s="1959"/>
      <c r="B758" s="2527" t="s">
        <v>2439</v>
      </c>
      <c r="C758" s="2527"/>
      <c r="D758" s="2527"/>
      <c r="E758" s="2527"/>
      <c r="F758" s="2527"/>
      <c r="G758" s="2527"/>
      <c r="H758" s="2527"/>
      <c r="I758" s="2527"/>
      <c r="J758" s="2527"/>
      <c r="K758" s="2527"/>
      <c r="L758" s="2527"/>
      <c r="M758" s="2527"/>
      <c r="N758" s="2527"/>
      <c r="O758" s="2527"/>
      <c r="P758" s="2527"/>
      <c r="Q758" s="2527"/>
      <c r="R758" s="2527"/>
      <c r="S758" s="2527"/>
      <c r="T758" s="2527"/>
      <c r="U758" s="2527"/>
      <c r="V758" s="2527"/>
    </row>
    <row r="759" spans="1:26" ht="11.25" customHeight="1" x14ac:dyDescent="0.2">
      <c r="A759" s="2526" t="s">
        <v>3336</v>
      </c>
      <c r="B759" s="2526"/>
      <c r="C759" s="2526"/>
      <c r="D759" s="2526"/>
      <c r="E759" s="2526"/>
      <c r="F759" s="1960" t="s">
        <v>2112</v>
      </c>
      <c r="G759" s="2526" t="s">
        <v>3337</v>
      </c>
      <c r="H759" s="2526"/>
      <c r="I759" s="2526"/>
      <c r="J759" s="2526"/>
      <c r="L759" s="2525">
        <v>0</v>
      </c>
      <c r="M759" s="2525"/>
      <c r="N759" s="2525">
        <v>0</v>
      </c>
      <c r="O759" s="2525"/>
      <c r="P759" s="2525">
        <v>0</v>
      </c>
      <c r="Q759" s="2525"/>
      <c r="R759" s="2525">
        <v>0</v>
      </c>
      <c r="S759" s="2525"/>
      <c r="T759" s="2525">
        <v>0</v>
      </c>
      <c r="U759" s="2525"/>
      <c r="V759" s="1961">
        <v>0</v>
      </c>
      <c r="W759" s="1962" t="s">
        <v>2453</v>
      </c>
    </row>
    <row r="760" spans="1:26" ht="11.25" customHeight="1" x14ac:dyDescent="0.2">
      <c r="A760" s="2526" t="s">
        <v>3338</v>
      </c>
      <c r="B760" s="2526"/>
      <c r="C760" s="2526"/>
      <c r="D760" s="2526"/>
      <c r="E760" s="2526"/>
      <c r="F760" s="1960" t="s">
        <v>2112</v>
      </c>
      <c r="G760" s="2526" t="s">
        <v>3339</v>
      </c>
      <c r="H760" s="2526"/>
      <c r="I760" s="2526"/>
      <c r="J760" s="2526"/>
      <c r="L760" s="2525">
        <v>0</v>
      </c>
      <c r="M760" s="2525"/>
      <c r="N760" s="2525">
        <v>0</v>
      </c>
      <c r="O760" s="2525"/>
      <c r="P760" s="2525">
        <v>0</v>
      </c>
      <c r="Q760" s="2525"/>
      <c r="R760" s="2525">
        <v>0</v>
      </c>
      <c r="S760" s="2525"/>
      <c r="T760" s="2525">
        <v>0</v>
      </c>
      <c r="U760" s="2525"/>
      <c r="V760" s="1961">
        <v>0</v>
      </c>
      <c r="W760" s="1962" t="s">
        <v>2453</v>
      </c>
    </row>
    <row r="761" spans="1:26" ht="11.25" customHeight="1" x14ac:dyDescent="0.2">
      <c r="A761" s="2526" t="s">
        <v>3340</v>
      </c>
      <c r="B761" s="2526"/>
      <c r="C761" s="2526"/>
      <c r="D761" s="2526"/>
      <c r="E761" s="2526"/>
      <c r="F761" s="1960" t="s">
        <v>2112</v>
      </c>
      <c r="G761" s="2526" t="s">
        <v>3341</v>
      </c>
      <c r="H761" s="2526"/>
      <c r="I761" s="2526"/>
      <c r="J761" s="2526"/>
      <c r="L761" s="2525">
        <v>0</v>
      </c>
      <c r="M761" s="2525"/>
      <c r="N761" s="2525">
        <v>0</v>
      </c>
      <c r="O761" s="2525"/>
      <c r="P761" s="2525">
        <v>0</v>
      </c>
      <c r="Q761" s="2525"/>
      <c r="R761" s="2525">
        <v>0</v>
      </c>
      <c r="S761" s="2525"/>
      <c r="T761" s="2525">
        <v>0</v>
      </c>
      <c r="U761" s="2525"/>
      <c r="V761" s="1961">
        <v>0</v>
      </c>
      <c r="W761" s="1962" t="s">
        <v>2453</v>
      </c>
    </row>
    <row r="762" spans="1:26" ht="2.25" customHeight="1" x14ac:dyDescent="0.2"/>
    <row r="763" spans="1:26" ht="13.5" customHeight="1" x14ac:dyDescent="0.2">
      <c r="A763" s="2523" t="s">
        <v>2448</v>
      </c>
      <c r="B763" s="2523"/>
      <c r="C763" s="2523"/>
      <c r="D763" s="2523"/>
      <c r="E763" s="2523"/>
      <c r="F763" s="2523"/>
      <c r="G763" s="2523"/>
      <c r="H763" s="2523"/>
      <c r="I763" s="2523"/>
      <c r="L763" s="2524">
        <v>0</v>
      </c>
      <c r="M763" s="2524"/>
      <c r="N763" s="2524">
        <v>0</v>
      </c>
      <c r="O763" s="2524"/>
      <c r="P763" s="2524">
        <v>0</v>
      </c>
      <c r="Q763" s="2524"/>
      <c r="R763" s="2524">
        <v>0</v>
      </c>
      <c r="S763" s="2524"/>
      <c r="T763" s="2524">
        <v>0</v>
      </c>
      <c r="U763" s="2524"/>
      <c r="V763" s="1963">
        <v>0</v>
      </c>
    </row>
    <row r="764" spans="1:26" ht="2.25" customHeight="1" x14ac:dyDescent="0.2"/>
    <row r="765" spans="1:26" s="1964" customFormat="1" ht="18" customHeight="1" x14ac:dyDescent="0.2">
      <c r="A765" s="2521" t="s">
        <v>3342</v>
      </c>
      <c r="B765" s="2521"/>
      <c r="C765" s="2521"/>
      <c r="D765" s="2521"/>
      <c r="E765" s="2521"/>
      <c r="F765" s="2521"/>
      <c r="G765" s="2521"/>
      <c r="H765" s="2521"/>
      <c r="I765" s="2521"/>
      <c r="L765" s="2522">
        <v>0</v>
      </c>
      <c r="M765" s="2522"/>
      <c r="N765" s="2522">
        <v>0</v>
      </c>
      <c r="O765" s="2522"/>
      <c r="P765" s="2522">
        <v>2029985.73</v>
      </c>
      <c r="Q765" s="2522"/>
      <c r="R765" s="2522">
        <v>2029985.73</v>
      </c>
      <c r="S765" s="2522"/>
      <c r="T765" s="2522">
        <v>2093572.51</v>
      </c>
      <c r="U765" s="2522"/>
      <c r="V765" s="1965">
        <v>96.962761991940752</v>
      </c>
    </row>
    <row r="766" spans="1:26" ht="11.25" customHeight="1" x14ac:dyDescent="0.2">
      <c r="B766" s="2517" t="s">
        <v>3343</v>
      </c>
      <c r="C766" s="2517"/>
      <c r="D766" s="2517"/>
      <c r="E766" s="2517"/>
      <c r="F766" s="2517"/>
      <c r="G766" s="2517"/>
      <c r="H766" s="2517"/>
      <c r="I766" s="2517"/>
      <c r="J766" s="2517"/>
      <c r="K766" s="2517"/>
      <c r="L766" s="2517"/>
      <c r="M766" s="2517"/>
      <c r="N766" s="2517"/>
      <c r="O766" s="2517"/>
      <c r="P766" s="2517"/>
      <c r="Q766" s="2517"/>
      <c r="R766" s="2517"/>
      <c r="S766" s="2517"/>
      <c r="T766" s="2517"/>
      <c r="U766" s="2517"/>
    </row>
    <row r="767" spans="1:26" ht="141" customHeight="1" x14ac:dyDescent="0.2"/>
    <row r="768" spans="1:26" ht="19.5" customHeight="1" x14ac:dyDescent="0.2">
      <c r="A768" s="2518" t="s">
        <v>3344</v>
      </c>
      <c r="B768" s="2518"/>
      <c r="C768" s="2518"/>
      <c r="D768" s="2518"/>
      <c r="E768" s="2518"/>
      <c r="F768" s="2519" t="s">
        <v>3345</v>
      </c>
      <c r="G768" s="2519"/>
      <c r="H768" s="2519"/>
      <c r="I768" s="2519"/>
      <c r="J768" s="2519"/>
      <c r="K768" s="2519"/>
      <c r="L768" s="2519"/>
      <c r="M768" s="2519"/>
      <c r="N768" s="2519"/>
      <c r="O768" s="2519"/>
      <c r="P768" s="2519"/>
      <c r="Q768" s="2519"/>
      <c r="R768" s="2519"/>
      <c r="S768" s="2519"/>
      <c r="T768" s="2519"/>
      <c r="U768" s="2519"/>
      <c r="V768" s="2519"/>
      <c r="W768" s="2519"/>
      <c r="X768" s="2519"/>
      <c r="Y768" s="2519"/>
      <c r="Z768" s="2519"/>
    </row>
    <row r="769" spans="17:21" ht="19.5" customHeight="1" x14ac:dyDescent="0.2">
      <c r="Q769" s="2520" t="s">
        <v>3346</v>
      </c>
      <c r="R769" s="2520"/>
      <c r="S769" s="2520"/>
      <c r="T769" s="2520"/>
      <c r="U769" s="2520"/>
    </row>
  </sheetData>
  <mergeCells count="5022">
    <mergeCell ref="A1:X1"/>
    <mergeCell ref="V9:V10"/>
    <mergeCell ref="A12:E12"/>
    <mergeCell ref="F12:I12"/>
    <mergeCell ref="J12:K12"/>
    <mergeCell ref="L12:M12"/>
    <mergeCell ref="N12:O12"/>
    <mergeCell ref="P12:Q12"/>
    <mergeCell ref="R12:S12"/>
    <mergeCell ref="T12:U12"/>
    <mergeCell ref="A2:M2"/>
    <mergeCell ref="A3:U3"/>
    <mergeCell ref="A5:U6"/>
    <mergeCell ref="A7:U7"/>
    <mergeCell ref="J9:K11"/>
    <mergeCell ref="L9:M11"/>
    <mergeCell ref="N9:O11"/>
    <mergeCell ref="P9:Q11"/>
    <mergeCell ref="R9:S11"/>
    <mergeCell ref="T9:U11"/>
    <mergeCell ref="T17:U17"/>
    <mergeCell ref="A18:E18"/>
    <mergeCell ref="G18:J18"/>
    <mergeCell ref="L18:M18"/>
    <mergeCell ref="N18:O18"/>
    <mergeCell ref="P18:Q18"/>
    <mergeCell ref="R18:S18"/>
    <mergeCell ref="T18:U18"/>
    <mergeCell ref="A17:E17"/>
    <mergeCell ref="G17:J17"/>
    <mergeCell ref="L17:M17"/>
    <mergeCell ref="N17:O17"/>
    <mergeCell ref="P17:Q17"/>
    <mergeCell ref="R17:S17"/>
    <mergeCell ref="A14:U14"/>
    <mergeCell ref="B15:V15"/>
    <mergeCell ref="A16:E16"/>
    <mergeCell ref="G16:J16"/>
    <mergeCell ref="L16:M16"/>
    <mergeCell ref="N16:O16"/>
    <mergeCell ref="P16:Q16"/>
    <mergeCell ref="R16:S16"/>
    <mergeCell ref="T16:U16"/>
    <mergeCell ref="T21:U21"/>
    <mergeCell ref="A22:E22"/>
    <mergeCell ref="G22:J22"/>
    <mergeCell ref="L22:M22"/>
    <mergeCell ref="N22:O22"/>
    <mergeCell ref="P22:Q22"/>
    <mergeCell ref="R22:S22"/>
    <mergeCell ref="T22:U22"/>
    <mergeCell ref="A21:E21"/>
    <mergeCell ref="G21:J21"/>
    <mergeCell ref="L21:M21"/>
    <mergeCell ref="N21:O21"/>
    <mergeCell ref="P21:Q21"/>
    <mergeCell ref="R21:S21"/>
    <mergeCell ref="T19:U19"/>
    <mergeCell ref="A20:E20"/>
    <mergeCell ref="G20:J20"/>
    <mergeCell ref="L20:M20"/>
    <mergeCell ref="N20:O20"/>
    <mergeCell ref="P20:Q20"/>
    <mergeCell ref="R20:S20"/>
    <mergeCell ref="T20:U20"/>
    <mergeCell ref="A19:E19"/>
    <mergeCell ref="G19:J19"/>
    <mergeCell ref="L19:M19"/>
    <mergeCell ref="N19:O19"/>
    <mergeCell ref="P19:Q19"/>
    <mergeCell ref="R19:S19"/>
    <mergeCell ref="T25:U25"/>
    <mergeCell ref="A26:E26"/>
    <mergeCell ref="G26:J26"/>
    <mergeCell ref="L26:M26"/>
    <mergeCell ref="N26:O26"/>
    <mergeCell ref="P26:Q26"/>
    <mergeCell ref="R26:S26"/>
    <mergeCell ref="T26:U26"/>
    <mergeCell ref="A25:E25"/>
    <mergeCell ref="G25:J25"/>
    <mergeCell ref="L25:M25"/>
    <mergeCell ref="N25:O25"/>
    <mergeCell ref="P25:Q25"/>
    <mergeCell ref="R25:S25"/>
    <mergeCell ref="T23:U23"/>
    <mergeCell ref="A24:E24"/>
    <mergeCell ref="G24:J24"/>
    <mergeCell ref="L24:M24"/>
    <mergeCell ref="N24:O24"/>
    <mergeCell ref="P24:Q24"/>
    <mergeCell ref="R24:S24"/>
    <mergeCell ref="T24:U24"/>
    <mergeCell ref="A23:E23"/>
    <mergeCell ref="G23:J23"/>
    <mergeCell ref="L23:M23"/>
    <mergeCell ref="N23:O23"/>
    <mergeCell ref="P23:Q23"/>
    <mergeCell ref="R23:S23"/>
    <mergeCell ref="T29:U29"/>
    <mergeCell ref="A30:E30"/>
    <mergeCell ref="G30:J30"/>
    <mergeCell ref="L30:M30"/>
    <mergeCell ref="N30:O30"/>
    <mergeCell ref="P30:Q30"/>
    <mergeCell ref="R30:S30"/>
    <mergeCell ref="T30:U30"/>
    <mergeCell ref="A29:E29"/>
    <mergeCell ref="G29:J29"/>
    <mergeCell ref="L29:M29"/>
    <mergeCell ref="N29:O29"/>
    <mergeCell ref="P29:Q29"/>
    <mergeCell ref="R29:S29"/>
    <mergeCell ref="T27:U27"/>
    <mergeCell ref="A28:E28"/>
    <mergeCell ref="G28:J28"/>
    <mergeCell ref="L28:M28"/>
    <mergeCell ref="N28:O28"/>
    <mergeCell ref="P28:Q28"/>
    <mergeCell ref="R28:S28"/>
    <mergeCell ref="T28:U28"/>
    <mergeCell ref="A27:E27"/>
    <mergeCell ref="G27:J27"/>
    <mergeCell ref="L27:M27"/>
    <mergeCell ref="N27:O27"/>
    <mergeCell ref="P27:Q27"/>
    <mergeCell ref="R27:S27"/>
    <mergeCell ref="T33:U33"/>
    <mergeCell ref="A34:E34"/>
    <mergeCell ref="G34:J34"/>
    <mergeCell ref="L34:M34"/>
    <mergeCell ref="N34:O34"/>
    <mergeCell ref="P34:Q34"/>
    <mergeCell ref="R34:S34"/>
    <mergeCell ref="T34:U34"/>
    <mergeCell ref="A33:E33"/>
    <mergeCell ref="G33:J33"/>
    <mergeCell ref="L33:M33"/>
    <mergeCell ref="N33:O33"/>
    <mergeCell ref="P33:Q33"/>
    <mergeCell ref="R33:S33"/>
    <mergeCell ref="T31:U31"/>
    <mergeCell ref="A32:E32"/>
    <mergeCell ref="G32:J32"/>
    <mergeCell ref="L32:M32"/>
    <mergeCell ref="N32:O32"/>
    <mergeCell ref="P32:Q32"/>
    <mergeCell ref="R32:S32"/>
    <mergeCell ref="T32:U32"/>
    <mergeCell ref="A31:E31"/>
    <mergeCell ref="G31:J31"/>
    <mergeCell ref="L31:M31"/>
    <mergeCell ref="N31:O31"/>
    <mergeCell ref="P31:Q31"/>
    <mergeCell ref="R31:S31"/>
    <mergeCell ref="T37:U37"/>
    <mergeCell ref="A38:E38"/>
    <mergeCell ref="G38:J38"/>
    <mergeCell ref="L38:M38"/>
    <mergeCell ref="N38:O38"/>
    <mergeCell ref="P38:Q38"/>
    <mergeCell ref="R38:S38"/>
    <mergeCell ref="T38:U38"/>
    <mergeCell ref="A37:E37"/>
    <mergeCell ref="G37:J37"/>
    <mergeCell ref="L37:M37"/>
    <mergeCell ref="N37:O37"/>
    <mergeCell ref="P37:Q37"/>
    <mergeCell ref="R37:S37"/>
    <mergeCell ref="T35:U35"/>
    <mergeCell ref="A36:E36"/>
    <mergeCell ref="G36:J36"/>
    <mergeCell ref="L36:M36"/>
    <mergeCell ref="N36:O36"/>
    <mergeCell ref="P36:Q36"/>
    <mergeCell ref="R36:S36"/>
    <mergeCell ref="T36:U36"/>
    <mergeCell ref="A35:E35"/>
    <mergeCell ref="F35:I35"/>
    <mergeCell ref="L35:M35"/>
    <mergeCell ref="N35:O35"/>
    <mergeCell ref="P35:Q35"/>
    <mergeCell ref="R35:S35"/>
    <mergeCell ref="T41:U41"/>
    <mergeCell ref="A42:E42"/>
    <mergeCell ref="G42:J42"/>
    <mergeCell ref="L42:M42"/>
    <mergeCell ref="N42:O42"/>
    <mergeCell ref="P42:Q42"/>
    <mergeCell ref="R42:S42"/>
    <mergeCell ref="T42:U42"/>
    <mergeCell ref="A41:E41"/>
    <mergeCell ref="G41:J41"/>
    <mergeCell ref="L41:M41"/>
    <mergeCell ref="N41:O41"/>
    <mergeCell ref="P41:Q41"/>
    <mergeCell ref="R41:S41"/>
    <mergeCell ref="T39:U39"/>
    <mergeCell ref="A40:E40"/>
    <mergeCell ref="G40:J40"/>
    <mergeCell ref="L40:M40"/>
    <mergeCell ref="N40:O40"/>
    <mergeCell ref="P40:Q40"/>
    <mergeCell ref="R40:S40"/>
    <mergeCell ref="T40:U40"/>
    <mergeCell ref="A39:E39"/>
    <mergeCell ref="G39:J39"/>
    <mergeCell ref="L39:M39"/>
    <mergeCell ref="N39:O39"/>
    <mergeCell ref="P39:Q39"/>
    <mergeCell ref="R39:S39"/>
    <mergeCell ref="T45:U45"/>
    <mergeCell ref="A46:E46"/>
    <mergeCell ref="G46:J46"/>
    <mergeCell ref="L46:M46"/>
    <mergeCell ref="N46:O46"/>
    <mergeCell ref="P46:Q46"/>
    <mergeCell ref="R46:S46"/>
    <mergeCell ref="T46:U46"/>
    <mergeCell ref="A45:E45"/>
    <mergeCell ref="G45:J45"/>
    <mergeCell ref="L45:M45"/>
    <mergeCell ref="N45:O45"/>
    <mergeCell ref="P45:Q45"/>
    <mergeCell ref="R45:S45"/>
    <mergeCell ref="T43:U43"/>
    <mergeCell ref="A44:E44"/>
    <mergeCell ref="G44:J44"/>
    <mergeCell ref="L44:M44"/>
    <mergeCell ref="N44:O44"/>
    <mergeCell ref="P44:Q44"/>
    <mergeCell ref="R44:S44"/>
    <mergeCell ref="T44:U44"/>
    <mergeCell ref="A43:E43"/>
    <mergeCell ref="G43:J43"/>
    <mergeCell ref="L43:M43"/>
    <mergeCell ref="N43:O43"/>
    <mergeCell ref="P43:Q43"/>
    <mergeCell ref="R43:S43"/>
    <mergeCell ref="T49:U49"/>
    <mergeCell ref="A50:E50"/>
    <mergeCell ref="G50:J50"/>
    <mergeCell ref="L50:M50"/>
    <mergeCell ref="N50:O50"/>
    <mergeCell ref="P50:Q50"/>
    <mergeCell ref="R50:S50"/>
    <mergeCell ref="T50:U50"/>
    <mergeCell ref="A49:E49"/>
    <mergeCell ref="G49:J49"/>
    <mergeCell ref="L49:M49"/>
    <mergeCell ref="N49:O49"/>
    <mergeCell ref="P49:Q49"/>
    <mergeCell ref="R49:S49"/>
    <mergeCell ref="T47:U47"/>
    <mergeCell ref="A48:E48"/>
    <mergeCell ref="G48:J48"/>
    <mergeCell ref="L48:M48"/>
    <mergeCell ref="N48:O48"/>
    <mergeCell ref="P48:Q48"/>
    <mergeCell ref="R48:S48"/>
    <mergeCell ref="T48:U48"/>
    <mergeCell ref="A47:E47"/>
    <mergeCell ref="G47:J47"/>
    <mergeCell ref="L47:M47"/>
    <mergeCell ref="N47:O47"/>
    <mergeCell ref="P47:Q47"/>
    <mergeCell ref="R47:S47"/>
    <mergeCell ref="T53:U53"/>
    <mergeCell ref="A54:E54"/>
    <mergeCell ref="G54:J54"/>
    <mergeCell ref="L54:M54"/>
    <mergeCell ref="N54:O54"/>
    <mergeCell ref="P54:Q54"/>
    <mergeCell ref="R54:S54"/>
    <mergeCell ref="T54:U54"/>
    <mergeCell ref="A53:E53"/>
    <mergeCell ref="G53:J53"/>
    <mergeCell ref="L53:M53"/>
    <mergeCell ref="N53:O53"/>
    <mergeCell ref="P53:Q53"/>
    <mergeCell ref="R53:S53"/>
    <mergeCell ref="T51:U51"/>
    <mergeCell ref="A52:E52"/>
    <mergeCell ref="G52:J52"/>
    <mergeCell ref="L52:M52"/>
    <mergeCell ref="N52:O52"/>
    <mergeCell ref="P52:Q52"/>
    <mergeCell ref="R52:S52"/>
    <mergeCell ref="T52:U52"/>
    <mergeCell ref="A51:E51"/>
    <mergeCell ref="G51:J51"/>
    <mergeCell ref="L51:M51"/>
    <mergeCell ref="N51:O51"/>
    <mergeCell ref="P51:Q51"/>
    <mergeCell ref="R51:S51"/>
    <mergeCell ref="T57:U57"/>
    <mergeCell ref="A58:E58"/>
    <mergeCell ref="G58:J58"/>
    <mergeCell ref="L58:M58"/>
    <mergeCell ref="N58:O58"/>
    <mergeCell ref="P58:Q58"/>
    <mergeCell ref="R58:S58"/>
    <mergeCell ref="T58:U58"/>
    <mergeCell ref="A57:E57"/>
    <mergeCell ref="G57:J57"/>
    <mergeCell ref="L57:M57"/>
    <mergeCell ref="N57:O57"/>
    <mergeCell ref="P57:Q57"/>
    <mergeCell ref="R57:S57"/>
    <mergeCell ref="T55:U55"/>
    <mergeCell ref="A56:E56"/>
    <mergeCell ref="G56:J56"/>
    <mergeCell ref="L56:M56"/>
    <mergeCell ref="N56:O56"/>
    <mergeCell ref="P56:Q56"/>
    <mergeCell ref="R56:S56"/>
    <mergeCell ref="T56:U56"/>
    <mergeCell ref="A55:E55"/>
    <mergeCell ref="G55:J55"/>
    <mergeCell ref="L55:M55"/>
    <mergeCell ref="N55:O55"/>
    <mergeCell ref="P55:Q55"/>
    <mergeCell ref="R55:S55"/>
    <mergeCell ref="T61:U61"/>
    <mergeCell ref="A62:E62"/>
    <mergeCell ref="G62:J62"/>
    <mergeCell ref="L62:M62"/>
    <mergeCell ref="N62:O62"/>
    <mergeCell ref="P62:Q62"/>
    <mergeCell ref="R62:S62"/>
    <mergeCell ref="T62:U62"/>
    <mergeCell ref="A61:E61"/>
    <mergeCell ref="G61:J61"/>
    <mergeCell ref="L61:M61"/>
    <mergeCell ref="N61:O61"/>
    <mergeCell ref="P61:Q61"/>
    <mergeCell ref="R61:S61"/>
    <mergeCell ref="T59:U59"/>
    <mergeCell ref="A60:E60"/>
    <mergeCell ref="G60:J60"/>
    <mergeCell ref="L60:M60"/>
    <mergeCell ref="N60:O60"/>
    <mergeCell ref="P60:Q60"/>
    <mergeCell ref="R60:S60"/>
    <mergeCell ref="T60:U60"/>
    <mergeCell ref="A59:E59"/>
    <mergeCell ref="G59:J59"/>
    <mergeCell ref="L59:M59"/>
    <mergeCell ref="N59:O59"/>
    <mergeCell ref="P59:Q59"/>
    <mergeCell ref="R59:S59"/>
    <mergeCell ref="T65:U65"/>
    <mergeCell ref="A66:E66"/>
    <mergeCell ref="G66:J66"/>
    <mergeCell ref="L66:M66"/>
    <mergeCell ref="N66:O66"/>
    <mergeCell ref="P66:Q66"/>
    <mergeCell ref="R66:S66"/>
    <mergeCell ref="T66:U66"/>
    <mergeCell ref="A65:E65"/>
    <mergeCell ref="G65:J65"/>
    <mergeCell ref="L65:M65"/>
    <mergeCell ref="N65:O65"/>
    <mergeCell ref="P65:Q65"/>
    <mergeCell ref="R65:S65"/>
    <mergeCell ref="T63:U63"/>
    <mergeCell ref="A64:E64"/>
    <mergeCell ref="G64:J64"/>
    <mergeCell ref="L64:M64"/>
    <mergeCell ref="N64:O64"/>
    <mergeCell ref="P64:Q64"/>
    <mergeCell ref="R64:S64"/>
    <mergeCell ref="T64:U64"/>
    <mergeCell ref="A63:E63"/>
    <mergeCell ref="G63:J63"/>
    <mergeCell ref="L63:M63"/>
    <mergeCell ref="N63:O63"/>
    <mergeCell ref="P63:Q63"/>
    <mergeCell ref="R63:S63"/>
    <mergeCell ref="T69:U69"/>
    <mergeCell ref="A70:E70"/>
    <mergeCell ref="G70:J70"/>
    <mergeCell ref="L70:M70"/>
    <mergeCell ref="N70:O70"/>
    <mergeCell ref="P70:Q70"/>
    <mergeCell ref="R70:S70"/>
    <mergeCell ref="T70:U70"/>
    <mergeCell ref="A69:E69"/>
    <mergeCell ref="G69:J69"/>
    <mergeCell ref="L69:M69"/>
    <mergeCell ref="N69:O69"/>
    <mergeCell ref="P69:Q69"/>
    <mergeCell ref="R69:S69"/>
    <mergeCell ref="T67:U67"/>
    <mergeCell ref="A68:E68"/>
    <mergeCell ref="G68:J68"/>
    <mergeCell ref="L68:M68"/>
    <mergeCell ref="N68:O68"/>
    <mergeCell ref="P68:Q68"/>
    <mergeCell ref="R68:S68"/>
    <mergeCell ref="T68:U68"/>
    <mergeCell ref="A67:E67"/>
    <mergeCell ref="G67:J67"/>
    <mergeCell ref="L67:M67"/>
    <mergeCell ref="N67:O67"/>
    <mergeCell ref="P67:Q67"/>
    <mergeCell ref="R67:S67"/>
    <mergeCell ref="T73:U73"/>
    <mergeCell ref="A74:E74"/>
    <mergeCell ref="G74:J74"/>
    <mergeCell ref="L74:M74"/>
    <mergeCell ref="N74:O74"/>
    <mergeCell ref="P74:Q74"/>
    <mergeCell ref="R74:S74"/>
    <mergeCell ref="T74:U74"/>
    <mergeCell ref="A73:E73"/>
    <mergeCell ref="G73:J73"/>
    <mergeCell ref="L73:M73"/>
    <mergeCell ref="N73:O73"/>
    <mergeCell ref="P73:Q73"/>
    <mergeCell ref="R73:S73"/>
    <mergeCell ref="T71:U71"/>
    <mergeCell ref="A72:E72"/>
    <mergeCell ref="G72:J72"/>
    <mergeCell ref="L72:M72"/>
    <mergeCell ref="N72:O72"/>
    <mergeCell ref="P72:Q72"/>
    <mergeCell ref="R72:S72"/>
    <mergeCell ref="T72:U72"/>
    <mergeCell ref="A71:E71"/>
    <mergeCell ref="G71:J71"/>
    <mergeCell ref="L71:M71"/>
    <mergeCell ref="N71:O71"/>
    <mergeCell ref="P71:Q71"/>
    <mergeCell ref="R71:S71"/>
    <mergeCell ref="T77:U77"/>
    <mergeCell ref="A78:E78"/>
    <mergeCell ref="G78:J78"/>
    <mergeCell ref="L78:M78"/>
    <mergeCell ref="N78:O78"/>
    <mergeCell ref="P78:Q78"/>
    <mergeCell ref="R78:S78"/>
    <mergeCell ref="T78:U78"/>
    <mergeCell ref="A77:E77"/>
    <mergeCell ref="G77:J77"/>
    <mergeCell ref="L77:M77"/>
    <mergeCell ref="N77:O77"/>
    <mergeCell ref="P77:Q77"/>
    <mergeCell ref="R77:S77"/>
    <mergeCell ref="T75:U75"/>
    <mergeCell ref="A76:E76"/>
    <mergeCell ref="G76:J76"/>
    <mergeCell ref="L76:M76"/>
    <mergeCell ref="N76:O76"/>
    <mergeCell ref="P76:Q76"/>
    <mergeCell ref="R76:S76"/>
    <mergeCell ref="T76:U76"/>
    <mergeCell ref="A75:E75"/>
    <mergeCell ref="G75:J75"/>
    <mergeCell ref="L75:M75"/>
    <mergeCell ref="N75:O75"/>
    <mergeCell ref="P75:Q75"/>
    <mergeCell ref="R75:S75"/>
    <mergeCell ref="T81:U81"/>
    <mergeCell ref="A82:E82"/>
    <mergeCell ref="G82:J82"/>
    <mergeCell ref="L82:M82"/>
    <mergeCell ref="N82:O82"/>
    <mergeCell ref="P82:Q82"/>
    <mergeCell ref="R82:S82"/>
    <mergeCell ref="T82:U82"/>
    <mergeCell ref="A81:E81"/>
    <mergeCell ref="G81:J81"/>
    <mergeCell ref="L81:M81"/>
    <mergeCell ref="N81:O81"/>
    <mergeCell ref="P81:Q81"/>
    <mergeCell ref="R81:S81"/>
    <mergeCell ref="T79:U79"/>
    <mergeCell ref="A80:E80"/>
    <mergeCell ref="G80:J80"/>
    <mergeCell ref="L80:M80"/>
    <mergeCell ref="N80:O80"/>
    <mergeCell ref="P80:Q80"/>
    <mergeCell ref="R80:S80"/>
    <mergeCell ref="T80:U80"/>
    <mergeCell ref="A79:E79"/>
    <mergeCell ref="G79:J79"/>
    <mergeCell ref="L79:M79"/>
    <mergeCell ref="N79:O79"/>
    <mergeCell ref="P79:Q79"/>
    <mergeCell ref="R79:S79"/>
    <mergeCell ref="T85:U85"/>
    <mergeCell ref="A86:E86"/>
    <mergeCell ref="G86:J86"/>
    <mergeCell ref="L86:M86"/>
    <mergeCell ref="N86:O86"/>
    <mergeCell ref="P86:Q86"/>
    <mergeCell ref="R86:S86"/>
    <mergeCell ref="T86:U86"/>
    <mergeCell ref="A85:E85"/>
    <mergeCell ref="G85:J85"/>
    <mergeCell ref="L85:M85"/>
    <mergeCell ref="N85:O85"/>
    <mergeCell ref="P85:Q85"/>
    <mergeCell ref="R85:S85"/>
    <mergeCell ref="T83:U83"/>
    <mergeCell ref="A84:E84"/>
    <mergeCell ref="G84:J84"/>
    <mergeCell ref="L84:M84"/>
    <mergeCell ref="N84:O84"/>
    <mergeCell ref="P84:Q84"/>
    <mergeCell ref="R84:S84"/>
    <mergeCell ref="T84:U84"/>
    <mergeCell ref="A83:E83"/>
    <mergeCell ref="G83:J83"/>
    <mergeCell ref="L83:M83"/>
    <mergeCell ref="N83:O83"/>
    <mergeCell ref="P83:Q83"/>
    <mergeCell ref="R83:S83"/>
    <mergeCell ref="T89:U89"/>
    <mergeCell ref="A90:E90"/>
    <mergeCell ref="G90:J90"/>
    <mergeCell ref="L90:M90"/>
    <mergeCell ref="N90:O90"/>
    <mergeCell ref="P90:Q90"/>
    <mergeCell ref="R90:S90"/>
    <mergeCell ref="T90:U90"/>
    <mergeCell ref="A89:E89"/>
    <mergeCell ref="G89:J89"/>
    <mergeCell ref="L89:M89"/>
    <mergeCell ref="N89:O89"/>
    <mergeCell ref="P89:Q89"/>
    <mergeCell ref="R89:S89"/>
    <mergeCell ref="T87:U87"/>
    <mergeCell ref="A88:E88"/>
    <mergeCell ref="G88:J88"/>
    <mergeCell ref="L88:M88"/>
    <mergeCell ref="N88:O88"/>
    <mergeCell ref="P88:Q88"/>
    <mergeCell ref="R88:S88"/>
    <mergeCell ref="T88:U88"/>
    <mergeCell ref="A87:E87"/>
    <mergeCell ref="G87:J87"/>
    <mergeCell ref="L87:M87"/>
    <mergeCell ref="N87:O87"/>
    <mergeCell ref="P87:Q87"/>
    <mergeCell ref="R87:S87"/>
    <mergeCell ref="T93:U93"/>
    <mergeCell ref="A94:E94"/>
    <mergeCell ref="G94:J94"/>
    <mergeCell ref="L94:M94"/>
    <mergeCell ref="N94:O94"/>
    <mergeCell ref="P94:Q94"/>
    <mergeCell ref="R94:S94"/>
    <mergeCell ref="T94:U94"/>
    <mergeCell ref="A93:E93"/>
    <mergeCell ref="G93:J93"/>
    <mergeCell ref="L93:M93"/>
    <mergeCell ref="N93:O93"/>
    <mergeCell ref="P93:Q93"/>
    <mergeCell ref="R93:S93"/>
    <mergeCell ref="T91:U91"/>
    <mergeCell ref="A92:E92"/>
    <mergeCell ref="G92:J92"/>
    <mergeCell ref="L92:M92"/>
    <mergeCell ref="N92:O92"/>
    <mergeCell ref="P92:Q92"/>
    <mergeCell ref="R92:S92"/>
    <mergeCell ref="T92:U92"/>
    <mergeCell ref="A91:E91"/>
    <mergeCell ref="G91:J91"/>
    <mergeCell ref="L91:M91"/>
    <mergeCell ref="N91:O91"/>
    <mergeCell ref="P91:Q91"/>
    <mergeCell ref="R91:S91"/>
    <mergeCell ref="T97:U97"/>
    <mergeCell ref="A98:E98"/>
    <mergeCell ref="G98:J98"/>
    <mergeCell ref="L98:M98"/>
    <mergeCell ref="N98:O98"/>
    <mergeCell ref="P98:Q98"/>
    <mergeCell ref="R98:S98"/>
    <mergeCell ref="T98:U98"/>
    <mergeCell ref="A97:E97"/>
    <mergeCell ref="G97:J97"/>
    <mergeCell ref="L97:M97"/>
    <mergeCell ref="N97:O97"/>
    <mergeCell ref="P97:Q97"/>
    <mergeCell ref="R97:S97"/>
    <mergeCell ref="T95:U95"/>
    <mergeCell ref="A96:E96"/>
    <mergeCell ref="G96:J96"/>
    <mergeCell ref="L96:M96"/>
    <mergeCell ref="N96:O96"/>
    <mergeCell ref="P96:Q96"/>
    <mergeCell ref="R96:S96"/>
    <mergeCell ref="T96:U96"/>
    <mergeCell ref="A95:E95"/>
    <mergeCell ref="G95:J95"/>
    <mergeCell ref="L95:M95"/>
    <mergeCell ref="N95:O95"/>
    <mergeCell ref="P95:Q95"/>
    <mergeCell ref="R95:S95"/>
    <mergeCell ref="T101:U101"/>
    <mergeCell ref="A103:I103"/>
    <mergeCell ref="L103:M103"/>
    <mergeCell ref="N103:O103"/>
    <mergeCell ref="P103:Q103"/>
    <mergeCell ref="R103:S103"/>
    <mergeCell ref="T103:U103"/>
    <mergeCell ref="A101:E101"/>
    <mergeCell ref="G101:J101"/>
    <mergeCell ref="L101:M101"/>
    <mergeCell ref="N101:O101"/>
    <mergeCell ref="P101:Q101"/>
    <mergeCell ref="R101:S101"/>
    <mergeCell ref="T99:U99"/>
    <mergeCell ref="A100:E100"/>
    <mergeCell ref="G100:J100"/>
    <mergeCell ref="L100:M100"/>
    <mergeCell ref="N100:O100"/>
    <mergeCell ref="P100:Q100"/>
    <mergeCell ref="R100:S100"/>
    <mergeCell ref="T100:U100"/>
    <mergeCell ref="A99:E99"/>
    <mergeCell ref="G99:J99"/>
    <mergeCell ref="L99:M99"/>
    <mergeCell ref="N99:O99"/>
    <mergeCell ref="P99:Q99"/>
    <mergeCell ref="R99:S99"/>
    <mergeCell ref="T106:U106"/>
    <mergeCell ref="A107:E107"/>
    <mergeCell ref="G107:J107"/>
    <mergeCell ref="L107:M107"/>
    <mergeCell ref="N107:O107"/>
    <mergeCell ref="P107:Q107"/>
    <mergeCell ref="R107:S107"/>
    <mergeCell ref="T107:U107"/>
    <mergeCell ref="A106:E106"/>
    <mergeCell ref="G106:J106"/>
    <mergeCell ref="L106:M106"/>
    <mergeCell ref="N106:O106"/>
    <mergeCell ref="P106:Q106"/>
    <mergeCell ref="R106:S106"/>
    <mergeCell ref="B104:V104"/>
    <mergeCell ref="A105:E105"/>
    <mergeCell ref="G105:J105"/>
    <mergeCell ref="L105:M105"/>
    <mergeCell ref="N105:O105"/>
    <mergeCell ref="P105:Q105"/>
    <mergeCell ref="R105:S105"/>
    <mergeCell ref="T105:U105"/>
    <mergeCell ref="T110:U110"/>
    <mergeCell ref="A111:E111"/>
    <mergeCell ref="G111:J111"/>
    <mergeCell ref="L111:M111"/>
    <mergeCell ref="N111:O111"/>
    <mergeCell ref="P111:Q111"/>
    <mergeCell ref="R111:S111"/>
    <mergeCell ref="T111:U111"/>
    <mergeCell ref="A110:E110"/>
    <mergeCell ref="G110:J110"/>
    <mergeCell ref="L110:M110"/>
    <mergeCell ref="N110:O110"/>
    <mergeCell ref="P110:Q110"/>
    <mergeCell ref="R110:S110"/>
    <mergeCell ref="T108:U108"/>
    <mergeCell ref="A109:E109"/>
    <mergeCell ref="G109:J109"/>
    <mergeCell ref="L109:M109"/>
    <mergeCell ref="N109:O109"/>
    <mergeCell ref="P109:Q109"/>
    <mergeCell ref="R109:S109"/>
    <mergeCell ref="T109:U109"/>
    <mergeCell ref="A108:E108"/>
    <mergeCell ref="G108:J108"/>
    <mergeCell ref="L108:M108"/>
    <mergeCell ref="N108:O108"/>
    <mergeCell ref="P108:Q108"/>
    <mergeCell ref="R108:S108"/>
    <mergeCell ref="T114:U114"/>
    <mergeCell ref="A115:E115"/>
    <mergeCell ref="G115:J115"/>
    <mergeCell ref="L115:M115"/>
    <mergeCell ref="N115:O115"/>
    <mergeCell ref="P115:Q115"/>
    <mergeCell ref="R115:S115"/>
    <mergeCell ref="T115:U115"/>
    <mergeCell ref="A114:E114"/>
    <mergeCell ref="G114:J114"/>
    <mergeCell ref="L114:M114"/>
    <mergeCell ref="N114:O114"/>
    <mergeCell ref="P114:Q114"/>
    <mergeCell ref="R114:S114"/>
    <mergeCell ref="T112:U112"/>
    <mergeCell ref="A113:E113"/>
    <mergeCell ref="G113:J113"/>
    <mergeCell ref="L113:M113"/>
    <mergeCell ref="N113:O113"/>
    <mergeCell ref="P113:Q113"/>
    <mergeCell ref="R113:S113"/>
    <mergeCell ref="T113:U113"/>
    <mergeCell ref="A112:E112"/>
    <mergeCell ref="G112:J112"/>
    <mergeCell ref="L112:M112"/>
    <mergeCell ref="N112:O112"/>
    <mergeCell ref="P112:Q112"/>
    <mergeCell ref="R112:S112"/>
    <mergeCell ref="T118:U118"/>
    <mergeCell ref="A119:E119"/>
    <mergeCell ref="G119:J119"/>
    <mergeCell ref="L119:M119"/>
    <mergeCell ref="N119:O119"/>
    <mergeCell ref="P119:Q119"/>
    <mergeCell ref="R119:S119"/>
    <mergeCell ref="T119:U119"/>
    <mergeCell ref="A118:E118"/>
    <mergeCell ref="G118:J118"/>
    <mergeCell ref="L118:M118"/>
    <mergeCell ref="N118:O118"/>
    <mergeCell ref="P118:Q118"/>
    <mergeCell ref="R118:S118"/>
    <mergeCell ref="T116:U116"/>
    <mergeCell ref="A117:E117"/>
    <mergeCell ref="G117:J117"/>
    <mergeCell ref="L117:M117"/>
    <mergeCell ref="N117:O117"/>
    <mergeCell ref="P117:Q117"/>
    <mergeCell ref="R117:S117"/>
    <mergeCell ref="T117:U117"/>
    <mergeCell ref="A116:E116"/>
    <mergeCell ref="G116:J116"/>
    <mergeCell ref="L116:M116"/>
    <mergeCell ref="N116:O116"/>
    <mergeCell ref="P116:Q116"/>
    <mergeCell ref="R116:S116"/>
    <mergeCell ref="T122:U122"/>
    <mergeCell ref="A123:E123"/>
    <mergeCell ref="G123:J123"/>
    <mergeCell ref="L123:M123"/>
    <mergeCell ref="N123:O123"/>
    <mergeCell ref="P123:Q123"/>
    <mergeCell ref="R123:S123"/>
    <mergeCell ref="T123:U123"/>
    <mergeCell ref="A122:E122"/>
    <mergeCell ref="G122:J122"/>
    <mergeCell ref="L122:M122"/>
    <mergeCell ref="N122:O122"/>
    <mergeCell ref="P122:Q122"/>
    <mergeCell ref="R122:S122"/>
    <mergeCell ref="T120:U120"/>
    <mergeCell ref="A121:E121"/>
    <mergeCell ref="G121:J121"/>
    <mergeCell ref="L121:M121"/>
    <mergeCell ref="N121:O121"/>
    <mergeCell ref="P121:Q121"/>
    <mergeCell ref="R121:S121"/>
    <mergeCell ref="T121:U121"/>
    <mergeCell ref="A120:E120"/>
    <mergeCell ref="G120:J120"/>
    <mergeCell ref="L120:M120"/>
    <mergeCell ref="N120:O120"/>
    <mergeCell ref="P120:Q120"/>
    <mergeCell ref="R120:S120"/>
    <mergeCell ref="T126:U126"/>
    <mergeCell ref="A127:E127"/>
    <mergeCell ref="G127:J127"/>
    <mergeCell ref="L127:M127"/>
    <mergeCell ref="N127:O127"/>
    <mergeCell ref="P127:Q127"/>
    <mergeCell ref="R127:S127"/>
    <mergeCell ref="T127:U127"/>
    <mergeCell ref="A126:E126"/>
    <mergeCell ref="G126:J126"/>
    <mergeCell ref="L126:M126"/>
    <mergeCell ref="N126:O126"/>
    <mergeCell ref="P126:Q126"/>
    <mergeCell ref="R126:S126"/>
    <mergeCell ref="T124:U124"/>
    <mergeCell ref="A125:E125"/>
    <mergeCell ref="G125:J125"/>
    <mergeCell ref="L125:M125"/>
    <mergeCell ref="N125:O125"/>
    <mergeCell ref="P125:Q125"/>
    <mergeCell ref="R125:S125"/>
    <mergeCell ref="T125:U125"/>
    <mergeCell ref="A124:E124"/>
    <mergeCell ref="G124:J124"/>
    <mergeCell ref="L124:M124"/>
    <mergeCell ref="N124:O124"/>
    <mergeCell ref="P124:Q124"/>
    <mergeCell ref="R124:S124"/>
    <mergeCell ref="T130:U130"/>
    <mergeCell ref="A132:I132"/>
    <mergeCell ref="L132:M132"/>
    <mergeCell ref="N132:O132"/>
    <mergeCell ref="P132:Q132"/>
    <mergeCell ref="R132:S132"/>
    <mergeCell ref="T132:U132"/>
    <mergeCell ref="A130:E130"/>
    <mergeCell ref="G130:J130"/>
    <mergeCell ref="L130:M130"/>
    <mergeCell ref="N130:O130"/>
    <mergeCell ref="P130:Q130"/>
    <mergeCell ref="R130:S130"/>
    <mergeCell ref="T128:U128"/>
    <mergeCell ref="A129:E129"/>
    <mergeCell ref="G129:J129"/>
    <mergeCell ref="L129:M129"/>
    <mergeCell ref="N129:O129"/>
    <mergeCell ref="P129:Q129"/>
    <mergeCell ref="R129:S129"/>
    <mergeCell ref="T129:U129"/>
    <mergeCell ref="A128:E128"/>
    <mergeCell ref="G128:J128"/>
    <mergeCell ref="L128:M128"/>
    <mergeCell ref="N128:O128"/>
    <mergeCell ref="P128:Q128"/>
    <mergeCell ref="R128:S128"/>
    <mergeCell ref="T135:U135"/>
    <mergeCell ref="A136:E136"/>
    <mergeCell ref="G136:J136"/>
    <mergeCell ref="L136:M136"/>
    <mergeCell ref="N136:O136"/>
    <mergeCell ref="P136:Q136"/>
    <mergeCell ref="R136:S136"/>
    <mergeCell ref="T136:U136"/>
    <mergeCell ref="A135:E135"/>
    <mergeCell ref="G135:J135"/>
    <mergeCell ref="L135:M135"/>
    <mergeCell ref="N135:O135"/>
    <mergeCell ref="P135:Q135"/>
    <mergeCell ref="R135:S135"/>
    <mergeCell ref="B133:V133"/>
    <mergeCell ref="A134:E134"/>
    <mergeCell ref="G134:J134"/>
    <mergeCell ref="L134:M134"/>
    <mergeCell ref="N134:O134"/>
    <mergeCell ref="P134:Q134"/>
    <mergeCell ref="R134:S134"/>
    <mergeCell ref="T134:U134"/>
    <mergeCell ref="T139:U139"/>
    <mergeCell ref="A140:E140"/>
    <mergeCell ref="G140:J140"/>
    <mergeCell ref="L140:M140"/>
    <mergeCell ref="N140:O140"/>
    <mergeCell ref="P140:Q140"/>
    <mergeCell ref="R140:S140"/>
    <mergeCell ref="T140:U140"/>
    <mergeCell ref="A139:E139"/>
    <mergeCell ref="G139:J139"/>
    <mergeCell ref="L139:M139"/>
    <mergeCell ref="N139:O139"/>
    <mergeCell ref="P139:Q139"/>
    <mergeCell ref="R139:S139"/>
    <mergeCell ref="T137:U137"/>
    <mergeCell ref="A138:E138"/>
    <mergeCell ref="G138:J138"/>
    <mergeCell ref="L138:M138"/>
    <mergeCell ref="N138:O138"/>
    <mergeCell ref="P138:Q138"/>
    <mergeCell ref="R138:S138"/>
    <mergeCell ref="T138:U138"/>
    <mergeCell ref="A137:E137"/>
    <mergeCell ref="G137:J137"/>
    <mergeCell ref="L137:M137"/>
    <mergeCell ref="N137:O137"/>
    <mergeCell ref="P137:Q137"/>
    <mergeCell ref="R137:S137"/>
    <mergeCell ref="A144:I144"/>
    <mergeCell ref="L144:M144"/>
    <mergeCell ref="N144:O144"/>
    <mergeCell ref="P144:Q144"/>
    <mergeCell ref="R144:S144"/>
    <mergeCell ref="T144:U144"/>
    <mergeCell ref="T141:U141"/>
    <mergeCell ref="A142:E142"/>
    <mergeCell ref="G142:J142"/>
    <mergeCell ref="L142:M142"/>
    <mergeCell ref="N142:O142"/>
    <mergeCell ref="P142:Q142"/>
    <mergeCell ref="R142:S142"/>
    <mergeCell ref="T142:U142"/>
    <mergeCell ref="A141:E141"/>
    <mergeCell ref="G141:J141"/>
    <mergeCell ref="L141:M141"/>
    <mergeCell ref="N141:O141"/>
    <mergeCell ref="P141:Q141"/>
    <mergeCell ref="R141:S141"/>
    <mergeCell ref="T147:U147"/>
    <mergeCell ref="A148:E148"/>
    <mergeCell ref="G148:J148"/>
    <mergeCell ref="L148:M148"/>
    <mergeCell ref="N148:O148"/>
    <mergeCell ref="P148:Q148"/>
    <mergeCell ref="R148:S148"/>
    <mergeCell ref="T148:U148"/>
    <mergeCell ref="A147:E147"/>
    <mergeCell ref="G147:J147"/>
    <mergeCell ref="L147:M147"/>
    <mergeCell ref="N147:O147"/>
    <mergeCell ref="P147:Q147"/>
    <mergeCell ref="R147:S147"/>
    <mergeCell ref="B145:V145"/>
    <mergeCell ref="A146:E146"/>
    <mergeCell ref="G146:J146"/>
    <mergeCell ref="L146:M146"/>
    <mergeCell ref="N146:O146"/>
    <mergeCell ref="P146:Q146"/>
    <mergeCell ref="R146:S146"/>
    <mergeCell ref="T146:U146"/>
    <mergeCell ref="T151:U151"/>
    <mergeCell ref="A152:E152"/>
    <mergeCell ref="G152:J152"/>
    <mergeCell ref="L152:M152"/>
    <mergeCell ref="N152:O152"/>
    <mergeCell ref="P152:Q152"/>
    <mergeCell ref="R152:S152"/>
    <mergeCell ref="T152:U152"/>
    <mergeCell ref="A151:E151"/>
    <mergeCell ref="G151:J151"/>
    <mergeCell ref="L151:M151"/>
    <mergeCell ref="N151:O151"/>
    <mergeCell ref="P151:Q151"/>
    <mergeCell ref="R151:S151"/>
    <mergeCell ref="T149:U149"/>
    <mergeCell ref="A150:E150"/>
    <mergeCell ref="G150:J150"/>
    <mergeCell ref="L150:M150"/>
    <mergeCell ref="N150:O150"/>
    <mergeCell ref="P150:Q150"/>
    <mergeCell ref="R150:S150"/>
    <mergeCell ref="T150:U150"/>
    <mergeCell ref="A149:E149"/>
    <mergeCell ref="G149:J149"/>
    <mergeCell ref="L149:M149"/>
    <mergeCell ref="N149:O149"/>
    <mergeCell ref="P149:Q149"/>
    <mergeCell ref="R149:S149"/>
    <mergeCell ref="T155:U155"/>
    <mergeCell ref="A156:E156"/>
    <mergeCell ref="G156:J156"/>
    <mergeCell ref="L156:M156"/>
    <mergeCell ref="N156:O156"/>
    <mergeCell ref="P156:Q156"/>
    <mergeCell ref="R156:S156"/>
    <mergeCell ref="T156:U156"/>
    <mergeCell ref="A155:E155"/>
    <mergeCell ref="G155:J155"/>
    <mergeCell ref="L155:M155"/>
    <mergeCell ref="N155:O155"/>
    <mergeCell ref="P155:Q155"/>
    <mergeCell ref="R155:S155"/>
    <mergeCell ref="T153:U153"/>
    <mergeCell ref="A154:E154"/>
    <mergeCell ref="G154:J154"/>
    <mergeCell ref="L154:M154"/>
    <mergeCell ref="N154:O154"/>
    <mergeCell ref="P154:Q154"/>
    <mergeCell ref="R154:S154"/>
    <mergeCell ref="T154:U154"/>
    <mergeCell ref="A153:E153"/>
    <mergeCell ref="G153:J153"/>
    <mergeCell ref="L153:M153"/>
    <mergeCell ref="N153:O153"/>
    <mergeCell ref="P153:Q153"/>
    <mergeCell ref="R153:S153"/>
    <mergeCell ref="T159:U159"/>
    <mergeCell ref="A160:E160"/>
    <mergeCell ref="G160:J160"/>
    <mergeCell ref="L160:M160"/>
    <mergeCell ref="N160:O160"/>
    <mergeCell ref="P160:Q160"/>
    <mergeCell ref="R160:S160"/>
    <mergeCell ref="T160:U160"/>
    <mergeCell ref="A159:E159"/>
    <mergeCell ref="G159:J159"/>
    <mergeCell ref="L159:M159"/>
    <mergeCell ref="N159:O159"/>
    <mergeCell ref="P159:Q159"/>
    <mergeCell ref="R159:S159"/>
    <mergeCell ref="T157:U157"/>
    <mergeCell ref="A158:E158"/>
    <mergeCell ref="G158:J158"/>
    <mergeCell ref="L158:M158"/>
    <mergeCell ref="N158:O158"/>
    <mergeCell ref="P158:Q158"/>
    <mergeCell ref="R158:S158"/>
    <mergeCell ref="T158:U158"/>
    <mergeCell ref="A157:E157"/>
    <mergeCell ref="G157:J157"/>
    <mergeCell ref="L157:M157"/>
    <mergeCell ref="N157:O157"/>
    <mergeCell ref="P157:Q157"/>
    <mergeCell ref="R157:S157"/>
    <mergeCell ref="T163:U163"/>
    <mergeCell ref="A164:E164"/>
    <mergeCell ref="G164:J164"/>
    <mergeCell ref="L164:M164"/>
    <mergeCell ref="N164:O164"/>
    <mergeCell ref="P164:Q164"/>
    <mergeCell ref="R164:S164"/>
    <mergeCell ref="T164:U164"/>
    <mergeCell ref="A163:E163"/>
    <mergeCell ref="G163:J163"/>
    <mergeCell ref="L163:M163"/>
    <mergeCell ref="N163:O163"/>
    <mergeCell ref="P163:Q163"/>
    <mergeCell ref="R163:S163"/>
    <mergeCell ref="T161:U161"/>
    <mergeCell ref="A162:E162"/>
    <mergeCell ref="G162:J162"/>
    <mergeCell ref="L162:M162"/>
    <mergeCell ref="N162:O162"/>
    <mergeCell ref="P162:Q162"/>
    <mergeCell ref="R162:S162"/>
    <mergeCell ref="T162:U162"/>
    <mergeCell ref="A161:E161"/>
    <mergeCell ref="G161:J161"/>
    <mergeCell ref="L161:M161"/>
    <mergeCell ref="N161:O161"/>
    <mergeCell ref="P161:Q161"/>
    <mergeCell ref="R161:S161"/>
    <mergeCell ref="A168:I168"/>
    <mergeCell ref="L168:M168"/>
    <mergeCell ref="N168:O168"/>
    <mergeCell ref="P168:Q168"/>
    <mergeCell ref="R168:S168"/>
    <mergeCell ref="T168:U168"/>
    <mergeCell ref="T165:U165"/>
    <mergeCell ref="A166:E166"/>
    <mergeCell ref="G166:J166"/>
    <mergeCell ref="L166:M166"/>
    <mergeCell ref="N166:O166"/>
    <mergeCell ref="P166:Q166"/>
    <mergeCell ref="R166:S166"/>
    <mergeCell ref="T166:U166"/>
    <mergeCell ref="A165:E165"/>
    <mergeCell ref="G165:J165"/>
    <mergeCell ref="L165:M165"/>
    <mergeCell ref="N165:O165"/>
    <mergeCell ref="P165:Q165"/>
    <mergeCell ref="R165:S165"/>
    <mergeCell ref="T171:U171"/>
    <mergeCell ref="A172:E172"/>
    <mergeCell ref="G172:J172"/>
    <mergeCell ref="L172:M172"/>
    <mergeCell ref="N172:O172"/>
    <mergeCell ref="P172:Q172"/>
    <mergeCell ref="R172:S172"/>
    <mergeCell ref="T172:U172"/>
    <mergeCell ref="A171:E171"/>
    <mergeCell ref="G171:J171"/>
    <mergeCell ref="L171:M171"/>
    <mergeCell ref="N171:O171"/>
    <mergeCell ref="P171:Q171"/>
    <mergeCell ref="R171:S171"/>
    <mergeCell ref="B169:V169"/>
    <mergeCell ref="A170:E170"/>
    <mergeCell ref="G170:J170"/>
    <mergeCell ref="L170:M170"/>
    <mergeCell ref="N170:O170"/>
    <mergeCell ref="P170:Q170"/>
    <mergeCell ref="R170:S170"/>
    <mergeCell ref="T170:U170"/>
    <mergeCell ref="T175:U175"/>
    <mergeCell ref="A176:E176"/>
    <mergeCell ref="G176:J176"/>
    <mergeCell ref="L176:M176"/>
    <mergeCell ref="N176:O176"/>
    <mergeCell ref="P176:Q176"/>
    <mergeCell ref="R176:S176"/>
    <mergeCell ref="T176:U176"/>
    <mergeCell ref="A175:E175"/>
    <mergeCell ref="G175:J175"/>
    <mergeCell ref="L175:M175"/>
    <mergeCell ref="N175:O175"/>
    <mergeCell ref="P175:Q175"/>
    <mergeCell ref="R175:S175"/>
    <mergeCell ref="T173:U173"/>
    <mergeCell ref="A174:E174"/>
    <mergeCell ref="G174:J174"/>
    <mergeCell ref="L174:M174"/>
    <mergeCell ref="N174:O174"/>
    <mergeCell ref="P174:Q174"/>
    <mergeCell ref="R174:S174"/>
    <mergeCell ref="T174:U174"/>
    <mergeCell ref="A173:E173"/>
    <mergeCell ref="G173:J173"/>
    <mergeCell ref="L173:M173"/>
    <mergeCell ref="N173:O173"/>
    <mergeCell ref="P173:Q173"/>
    <mergeCell ref="R173:S173"/>
    <mergeCell ref="B180:V180"/>
    <mergeCell ref="A181:E181"/>
    <mergeCell ref="G181:J181"/>
    <mergeCell ref="L181:M181"/>
    <mergeCell ref="N181:O181"/>
    <mergeCell ref="P181:Q181"/>
    <mergeCell ref="R181:S181"/>
    <mergeCell ref="T181:U181"/>
    <mergeCell ref="T177:U177"/>
    <mergeCell ref="A179:I179"/>
    <mergeCell ref="L179:M179"/>
    <mergeCell ref="N179:O179"/>
    <mergeCell ref="P179:Q179"/>
    <mergeCell ref="R179:S179"/>
    <mergeCell ref="T179:U179"/>
    <mergeCell ref="A177:E177"/>
    <mergeCell ref="G177:J177"/>
    <mergeCell ref="L177:M177"/>
    <mergeCell ref="N177:O177"/>
    <mergeCell ref="P177:Q177"/>
    <mergeCell ref="R177:S177"/>
    <mergeCell ref="T184:U184"/>
    <mergeCell ref="A185:E185"/>
    <mergeCell ref="G185:J185"/>
    <mergeCell ref="L185:M185"/>
    <mergeCell ref="N185:O185"/>
    <mergeCell ref="P185:Q185"/>
    <mergeCell ref="R185:S185"/>
    <mergeCell ref="T185:U185"/>
    <mergeCell ref="A184:E184"/>
    <mergeCell ref="G184:J184"/>
    <mergeCell ref="L184:M184"/>
    <mergeCell ref="N184:O184"/>
    <mergeCell ref="P184:Q184"/>
    <mergeCell ref="R184:S184"/>
    <mergeCell ref="T182:U182"/>
    <mergeCell ref="A183:E183"/>
    <mergeCell ref="G183:J183"/>
    <mergeCell ref="L183:M183"/>
    <mergeCell ref="N183:O183"/>
    <mergeCell ref="P183:Q183"/>
    <mergeCell ref="R183:S183"/>
    <mergeCell ref="T183:U183"/>
    <mergeCell ref="A182:E182"/>
    <mergeCell ref="G182:J182"/>
    <mergeCell ref="L182:M182"/>
    <mergeCell ref="N182:O182"/>
    <mergeCell ref="P182:Q182"/>
    <mergeCell ref="R182:S182"/>
    <mergeCell ref="B190:V190"/>
    <mergeCell ref="A191:E191"/>
    <mergeCell ref="G191:J191"/>
    <mergeCell ref="L191:M191"/>
    <mergeCell ref="N191:O191"/>
    <mergeCell ref="P191:Q191"/>
    <mergeCell ref="R191:S191"/>
    <mergeCell ref="T191:U191"/>
    <mergeCell ref="A189:I189"/>
    <mergeCell ref="L189:M189"/>
    <mergeCell ref="N189:O189"/>
    <mergeCell ref="P189:Q189"/>
    <mergeCell ref="R189:S189"/>
    <mergeCell ref="T189:U189"/>
    <mergeCell ref="T186:U186"/>
    <mergeCell ref="A187:E187"/>
    <mergeCell ref="G187:J187"/>
    <mergeCell ref="L187:M187"/>
    <mergeCell ref="N187:O187"/>
    <mergeCell ref="P187:Q187"/>
    <mergeCell ref="R187:S187"/>
    <mergeCell ref="T187:U187"/>
    <mergeCell ref="A186:E186"/>
    <mergeCell ref="G186:J186"/>
    <mergeCell ref="L186:M186"/>
    <mergeCell ref="N186:O186"/>
    <mergeCell ref="P186:Q186"/>
    <mergeCell ref="R186:S186"/>
    <mergeCell ref="T194:U194"/>
    <mergeCell ref="A195:E195"/>
    <mergeCell ref="G195:J195"/>
    <mergeCell ref="L195:M195"/>
    <mergeCell ref="N195:O195"/>
    <mergeCell ref="P195:Q195"/>
    <mergeCell ref="R195:S195"/>
    <mergeCell ref="T195:U195"/>
    <mergeCell ref="A194:E194"/>
    <mergeCell ref="G194:J194"/>
    <mergeCell ref="L194:M194"/>
    <mergeCell ref="N194:O194"/>
    <mergeCell ref="P194:Q194"/>
    <mergeCell ref="R194:S194"/>
    <mergeCell ref="T192:U192"/>
    <mergeCell ref="A193:E193"/>
    <mergeCell ref="G193:J193"/>
    <mergeCell ref="L193:M193"/>
    <mergeCell ref="N193:O193"/>
    <mergeCell ref="P193:Q193"/>
    <mergeCell ref="R193:S193"/>
    <mergeCell ref="T193:U193"/>
    <mergeCell ref="A192:E192"/>
    <mergeCell ref="G192:J192"/>
    <mergeCell ref="L192:M192"/>
    <mergeCell ref="N192:O192"/>
    <mergeCell ref="P192:Q192"/>
    <mergeCell ref="R192:S192"/>
    <mergeCell ref="B199:V199"/>
    <mergeCell ref="A200:E200"/>
    <mergeCell ref="G200:J200"/>
    <mergeCell ref="L200:M200"/>
    <mergeCell ref="N200:O200"/>
    <mergeCell ref="P200:Q200"/>
    <mergeCell ref="R200:S200"/>
    <mergeCell ref="T200:U200"/>
    <mergeCell ref="T196:U196"/>
    <mergeCell ref="A198:I198"/>
    <mergeCell ref="L198:M198"/>
    <mergeCell ref="N198:O198"/>
    <mergeCell ref="P198:Q198"/>
    <mergeCell ref="R198:S198"/>
    <mergeCell ref="T198:U198"/>
    <mergeCell ref="A196:E196"/>
    <mergeCell ref="G196:J196"/>
    <mergeCell ref="L196:M196"/>
    <mergeCell ref="N196:O196"/>
    <mergeCell ref="P196:Q196"/>
    <mergeCell ref="R196:S196"/>
    <mergeCell ref="T203:U203"/>
    <mergeCell ref="A205:I205"/>
    <mergeCell ref="L205:M205"/>
    <mergeCell ref="N205:O205"/>
    <mergeCell ref="P205:Q205"/>
    <mergeCell ref="R205:S205"/>
    <mergeCell ref="T205:U205"/>
    <mergeCell ref="A203:E203"/>
    <mergeCell ref="G203:J203"/>
    <mergeCell ref="L203:M203"/>
    <mergeCell ref="N203:O203"/>
    <mergeCell ref="P203:Q203"/>
    <mergeCell ref="R203:S203"/>
    <mergeCell ref="T201:U201"/>
    <mergeCell ref="A202:E202"/>
    <mergeCell ref="G202:J202"/>
    <mergeCell ref="L202:M202"/>
    <mergeCell ref="N202:O202"/>
    <mergeCell ref="P202:Q202"/>
    <mergeCell ref="R202:S202"/>
    <mergeCell ref="T202:U202"/>
    <mergeCell ref="A201:E201"/>
    <mergeCell ref="G201:J201"/>
    <mergeCell ref="L201:M201"/>
    <mergeCell ref="N201:O201"/>
    <mergeCell ref="P201:Q201"/>
    <mergeCell ref="R201:S201"/>
    <mergeCell ref="T208:U208"/>
    <mergeCell ref="A209:E209"/>
    <mergeCell ref="G209:J209"/>
    <mergeCell ref="L209:M209"/>
    <mergeCell ref="N209:O209"/>
    <mergeCell ref="P209:Q209"/>
    <mergeCell ref="R209:S209"/>
    <mergeCell ref="T209:U209"/>
    <mergeCell ref="A208:E208"/>
    <mergeCell ref="G208:J208"/>
    <mergeCell ref="L208:M208"/>
    <mergeCell ref="N208:O208"/>
    <mergeCell ref="P208:Q208"/>
    <mergeCell ref="R208:S208"/>
    <mergeCell ref="B206:V206"/>
    <mergeCell ref="A207:E207"/>
    <mergeCell ref="G207:J207"/>
    <mergeCell ref="L207:M207"/>
    <mergeCell ref="N207:O207"/>
    <mergeCell ref="P207:Q207"/>
    <mergeCell ref="R207:S207"/>
    <mergeCell ref="T207:U207"/>
    <mergeCell ref="A215:U215"/>
    <mergeCell ref="B216:V216"/>
    <mergeCell ref="A217:E217"/>
    <mergeCell ref="G217:J217"/>
    <mergeCell ref="L217:M217"/>
    <mergeCell ref="N217:O217"/>
    <mergeCell ref="P217:Q217"/>
    <mergeCell ref="R217:S217"/>
    <mergeCell ref="T217:U217"/>
    <mergeCell ref="A214:I214"/>
    <mergeCell ref="L214:M214"/>
    <mergeCell ref="N214:O214"/>
    <mergeCell ref="P214:Q214"/>
    <mergeCell ref="R214:S214"/>
    <mergeCell ref="T214:U214"/>
    <mergeCell ref="T210:U210"/>
    <mergeCell ref="A212:I212"/>
    <mergeCell ref="L212:M212"/>
    <mergeCell ref="N212:O212"/>
    <mergeCell ref="P212:Q212"/>
    <mergeCell ref="R212:S212"/>
    <mergeCell ref="T212:U212"/>
    <mergeCell ref="A210:E210"/>
    <mergeCell ref="G210:J210"/>
    <mergeCell ref="L210:M210"/>
    <mergeCell ref="N210:O210"/>
    <mergeCell ref="P210:Q210"/>
    <mergeCell ref="R210:S210"/>
    <mergeCell ref="T220:U220"/>
    <mergeCell ref="A221:E221"/>
    <mergeCell ref="G221:J221"/>
    <mergeCell ref="L221:M221"/>
    <mergeCell ref="N221:O221"/>
    <mergeCell ref="P221:Q221"/>
    <mergeCell ref="R221:S221"/>
    <mergeCell ref="T221:U221"/>
    <mergeCell ref="A220:E220"/>
    <mergeCell ref="G220:J220"/>
    <mergeCell ref="L220:M220"/>
    <mergeCell ref="N220:O220"/>
    <mergeCell ref="P220:Q220"/>
    <mergeCell ref="R220:S220"/>
    <mergeCell ref="T218:U218"/>
    <mergeCell ref="A219:E219"/>
    <mergeCell ref="G219:J219"/>
    <mergeCell ref="L219:M219"/>
    <mergeCell ref="N219:O219"/>
    <mergeCell ref="P219:Q219"/>
    <mergeCell ref="R219:S219"/>
    <mergeCell ref="T219:U219"/>
    <mergeCell ref="A218:E218"/>
    <mergeCell ref="G218:J218"/>
    <mergeCell ref="L218:M218"/>
    <mergeCell ref="N218:O218"/>
    <mergeCell ref="P218:Q218"/>
    <mergeCell ref="R218:S218"/>
    <mergeCell ref="T224:U224"/>
    <mergeCell ref="A225:E225"/>
    <mergeCell ref="G225:J225"/>
    <mergeCell ref="L225:M225"/>
    <mergeCell ref="N225:O225"/>
    <mergeCell ref="P225:Q225"/>
    <mergeCell ref="R225:S225"/>
    <mergeCell ref="T225:U225"/>
    <mergeCell ref="A224:E224"/>
    <mergeCell ref="G224:J224"/>
    <mergeCell ref="L224:M224"/>
    <mergeCell ref="N224:O224"/>
    <mergeCell ref="P224:Q224"/>
    <mergeCell ref="R224:S224"/>
    <mergeCell ref="T222:U222"/>
    <mergeCell ref="A223:E223"/>
    <mergeCell ref="G223:J223"/>
    <mergeCell ref="L223:M223"/>
    <mergeCell ref="N223:O223"/>
    <mergeCell ref="P223:Q223"/>
    <mergeCell ref="R223:S223"/>
    <mergeCell ref="T223:U223"/>
    <mergeCell ref="A222:E222"/>
    <mergeCell ref="G222:J222"/>
    <mergeCell ref="L222:M222"/>
    <mergeCell ref="N222:O222"/>
    <mergeCell ref="P222:Q222"/>
    <mergeCell ref="R222:S222"/>
    <mergeCell ref="T228:U228"/>
    <mergeCell ref="A229:E229"/>
    <mergeCell ref="G229:J229"/>
    <mergeCell ref="L229:M229"/>
    <mergeCell ref="N229:O229"/>
    <mergeCell ref="P229:Q229"/>
    <mergeCell ref="R229:S229"/>
    <mergeCell ref="T229:U229"/>
    <mergeCell ref="A228:E228"/>
    <mergeCell ref="G228:J228"/>
    <mergeCell ref="L228:M228"/>
    <mergeCell ref="N228:O228"/>
    <mergeCell ref="P228:Q228"/>
    <mergeCell ref="R228:S228"/>
    <mergeCell ref="T226:U226"/>
    <mergeCell ref="A227:E227"/>
    <mergeCell ref="G227:J227"/>
    <mergeCell ref="L227:M227"/>
    <mergeCell ref="N227:O227"/>
    <mergeCell ref="P227:Q227"/>
    <mergeCell ref="R227:S227"/>
    <mergeCell ref="T227:U227"/>
    <mergeCell ref="A226:E226"/>
    <mergeCell ref="G226:J226"/>
    <mergeCell ref="L226:M226"/>
    <mergeCell ref="N226:O226"/>
    <mergeCell ref="P226:Q226"/>
    <mergeCell ref="R226:S226"/>
    <mergeCell ref="T232:U232"/>
    <mergeCell ref="A233:E233"/>
    <mergeCell ref="G233:J233"/>
    <mergeCell ref="L233:M233"/>
    <mergeCell ref="N233:O233"/>
    <mergeCell ref="P233:Q233"/>
    <mergeCell ref="R233:S233"/>
    <mergeCell ref="T233:U233"/>
    <mergeCell ref="A232:E232"/>
    <mergeCell ref="G232:J232"/>
    <mergeCell ref="L232:M232"/>
    <mergeCell ref="N232:O232"/>
    <mergeCell ref="P232:Q232"/>
    <mergeCell ref="R232:S232"/>
    <mergeCell ref="T230:U230"/>
    <mergeCell ref="A231:E231"/>
    <mergeCell ref="G231:J231"/>
    <mergeCell ref="L231:M231"/>
    <mergeCell ref="N231:O231"/>
    <mergeCell ref="P231:Q231"/>
    <mergeCell ref="R231:S231"/>
    <mergeCell ref="T231:U231"/>
    <mergeCell ref="A230:E230"/>
    <mergeCell ref="G230:J230"/>
    <mergeCell ref="L230:M230"/>
    <mergeCell ref="N230:O230"/>
    <mergeCell ref="P230:Q230"/>
    <mergeCell ref="R230:S230"/>
    <mergeCell ref="T236:U236"/>
    <mergeCell ref="A237:E237"/>
    <mergeCell ref="G237:J237"/>
    <mergeCell ref="L237:M237"/>
    <mergeCell ref="N237:O237"/>
    <mergeCell ref="P237:Q237"/>
    <mergeCell ref="R237:S237"/>
    <mergeCell ref="T237:U237"/>
    <mergeCell ref="A236:E236"/>
    <mergeCell ref="G236:J236"/>
    <mergeCell ref="L236:M236"/>
    <mergeCell ref="N236:O236"/>
    <mergeCell ref="P236:Q236"/>
    <mergeCell ref="R236:S236"/>
    <mergeCell ref="T234:U234"/>
    <mergeCell ref="A235:E235"/>
    <mergeCell ref="G235:J235"/>
    <mergeCell ref="L235:M235"/>
    <mergeCell ref="N235:O235"/>
    <mergeCell ref="P235:Q235"/>
    <mergeCell ref="R235:S235"/>
    <mergeCell ref="T235:U235"/>
    <mergeCell ref="A234:E234"/>
    <mergeCell ref="G234:J234"/>
    <mergeCell ref="L234:M234"/>
    <mergeCell ref="N234:O234"/>
    <mergeCell ref="P234:Q234"/>
    <mergeCell ref="R234:S234"/>
    <mergeCell ref="T240:U240"/>
    <mergeCell ref="A241:E241"/>
    <mergeCell ref="G241:J241"/>
    <mergeCell ref="L241:M241"/>
    <mergeCell ref="N241:O241"/>
    <mergeCell ref="P241:Q241"/>
    <mergeCell ref="R241:S241"/>
    <mergeCell ref="T241:U241"/>
    <mergeCell ref="A240:E240"/>
    <mergeCell ref="G240:J240"/>
    <mergeCell ref="L240:M240"/>
    <mergeCell ref="N240:O240"/>
    <mergeCell ref="P240:Q240"/>
    <mergeCell ref="R240:S240"/>
    <mergeCell ref="T238:U238"/>
    <mergeCell ref="A239:E239"/>
    <mergeCell ref="G239:J239"/>
    <mergeCell ref="L239:M239"/>
    <mergeCell ref="N239:O239"/>
    <mergeCell ref="P239:Q239"/>
    <mergeCell ref="R239:S239"/>
    <mergeCell ref="T239:U239"/>
    <mergeCell ref="A238:E238"/>
    <mergeCell ref="G238:J238"/>
    <mergeCell ref="L238:M238"/>
    <mergeCell ref="N238:O238"/>
    <mergeCell ref="P238:Q238"/>
    <mergeCell ref="R238:S238"/>
    <mergeCell ref="T244:U244"/>
    <mergeCell ref="A245:E245"/>
    <mergeCell ref="G245:J245"/>
    <mergeCell ref="L245:M245"/>
    <mergeCell ref="N245:O245"/>
    <mergeCell ref="P245:Q245"/>
    <mergeCell ref="R245:S245"/>
    <mergeCell ref="T245:U245"/>
    <mergeCell ref="A244:E244"/>
    <mergeCell ref="G244:J244"/>
    <mergeCell ref="L244:M244"/>
    <mergeCell ref="N244:O244"/>
    <mergeCell ref="P244:Q244"/>
    <mergeCell ref="R244:S244"/>
    <mergeCell ref="T242:U242"/>
    <mergeCell ref="A243:E243"/>
    <mergeCell ref="G243:J243"/>
    <mergeCell ref="L243:M243"/>
    <mergeCell ref="N243:O243"/>
    <mergeCell ref="P243:Q243"/>
    <mergeCell ref="R243:S243"/>
    <mergeCell ref="T243:U243"/>
    <mergeCell ref="A242:E242"/>
    <mergeCell ref="G242:J242"/>
    <mergeCell ref="L242:M242"/>
    <mergeCell ref="N242:O242"/>
    <mergeCell ref="P242:Q242"/>
    <mergeCell ref="R242:S242"/>
    <mergeCell ref="T248:U248"/>
    <mergeCell ref="A249:E249"/>
    <mergeCell ref="G249:J249"/>
    <mergeCell ref="L249:M249"/>
    <mergeCell ref="N249:O249"/>
    <mergeCell ref="P249:Q249"/>
    <mergeCell ref="R249:S249"/>
    <mergeCell ref="T249:U249"/>
    <mergeCell ref="A248:E248"/>
    <mergeCell ref="G248:J248"/>
    <mergeCell ref="L248:M248"/>
    <mergeCell ref="N248:O248"/>
    <mergeCell ref="P248:Q248"/>
    <mergeCell ref="R248:S248"/>
    <mergeCell ref="T246:U246"/>
    <mergeCell ref="A247:E247"/>
    <mergeCell ref="G247:J247"/>
    <mergeCell ref="L247:M247"/>
    <mergeCell ref="N247:O247"/>
    <mergeCell ref="P247:Q247"/>
    <mergeCell ref="R247:S247"/>
    <mergeCell ref="T247:U247"/>
    <mergeCell ref="A246:E246"/>
    <mergeCell ref="G246:J246"/>
    <mergeCell ref="L246:M246"/>
    <mergeCell ref="N246:O246"/>
    <mergeCell ref="P246:Q246"/>
    <mergeCell ref="R246:S246"/>
    <mergeCell ref="T252:U252"/>
    <mergeCell ref="A253:E253"/>
    <mergeCell ref="G253:J253"/>
    <mergeCell ref="L253:M253"/>
    <mergeCell ref="N253:O253"/>
    <mergeCell ref="P253:Q253"/>
    <mergeCell ref="R253:S253"/>
    <mergeCell ref="T253:U253"/>
    <mergeCell ref="A252:E252"/>
    <mergeCell ref="G252:J252"/>
    <mergeCell ref="L252:M252"/>
    <mergeCell ref="N252:O252"/>
    <mergeCell ref="P252:Q252"/>
    <mergeCell ref="R252:S252"/>
    <mergeCell ref="T250:U250"/>
    <mergeCell ref="A251:E251"/>
    <mergeCell ref="G251:J251"/>
    <mergeCell ref="L251:M251"/>
    <mergeCell ref="N251:O251"/>
    <mergeCell ref="P251:Q251"/>
    <mergeCell ref="R251:S251"/>
    <mergeCell ref="T251:U251"/>
    <mergeCell ref="A250:E250"/>
    <mergeCell ref="G250:J250"/>
    <mergeCell ref="L250:M250"/>
    <mergeCell ref="N250:O250"/>
    <mergeCell ref="P250:Q250"/>
    <mergeCell ref="R250:S250"/>
    <mergeCell ref="T256:U256"/>
    <mergeCell ref="A257:E257"/>
    <mergeCell ref="G257:J257"/>
    <mergeCell ref="L257:M257"/>
    <mergeCell ref="N257:O257"/>
    <mergeCell ref="P257:Q257"/>
    <mergeCell ref="R257:S257"/>
    <mergeCell ref="T257:U257"/>
    <mergeCell ref="A256:E256"/>
    <mergeCell ref="G256:J256"/>
    <mergeCell ref="L256:M256"/>
    <mergeCell ref="N256:O256"/>
    <mergeCell ref="P256:Q256"/>
    <mergeCell ref="R256:S256"/>
    <mergeCell ref="T254:U254"/>
    <mergeCell ref="A255:E255"/>
    <mergeCell ref="G255:J255"/>
    <mergeCell ref="L255:M255"/>
    <mergeCell ref="N255:O255"/>
    <mergeCell ref="P255:Q255"/>
    <mergeCell ref="R255:S255"/>
    <mergeCell ref="T255:U255"/>
    <mergeCell ref="A254:E254"/>
    <mergeCell ref="G254:J254"/>
    <mergeCell ref="L254:M254"/>
    <mergeCell ref="N254:O254"/>
    <mergeCell ref="P254:Q254"/>
    <mergeCell ref="R254:S254"/>
    <mergeCell ref="T260:U260"/>
    <mergeCell ref="A261:E261"/>
    <mergeCell ref="G261:J261"/>
    <mergeCell ref="L261:M261"/>
    <mergeCell ref="N261:O261"/>
    <mergeCell ref="P261:Q261"/>
    <mergeCell ref="R261:S261"/>
    <mergeCell ref="T261:U261"/>
    <mergeCell ref="A260:E260"/>
    <mergeCell ref="G260:J260"/>
    <mergeCell ref="L260:M260"/>
    <mergeCell ref="N260:O260"/>
    <mergeCell ref="P260:Q260"/>
    <mergeCell ref="R260:S260"/>
    <mergeCell ref="T258:U258"/>
    <mergeCell ref="A259:E259"/>
    <mergeCell ref="G259:J259"/>
    <mergeCell ref="L259:M259"/>
    <mergeCell ref="N259:O259"/>
    <mergeCell ref="P259:Q259"/>
    <mergeCell ref="R259:S259"/>
    <mergeCell ref="T259:U259"/>
    <mergeCell ref="A258:E258"/>
    <mergeCell ref="G258:J258"/>
    <mergeCell ref="L258:M258"/>
    <mergeCell ref="N258:O258"/>
    <mergeCell ref="P258:Q258"/>
    <mergeCell ref="R258:S258"/>
    <mergeCell ref="T264:U264"/>
    <mergeCell ref="A265:E265"/>
    <mergeCell ref="G265:J265"/>
    <mergeCell ref="L265:M265"/>
    <mergeCell ref="N265:O265"/>
    <mergeCell ref="P265:Q265"/>
    <mergeCell ref="R265:S265"/>
    <mergeCell ref="T265:U265"/>
    <mergeCell ref="A264:E264"/>
    <mergeCell ref="G264:J264"/>
    <mergeCell ref="L264:M264"/>
    <mergeCell ref="N264:O264"/>
    <mergeCell ref="P264:Q264"/>
    <mergeCell ref="R264:S264"/>
    <mergeCell ref="T262:U262"/>
    <mergeCell ref="A263:E263"/>
    <mergeCell ref="G263:J263"/>
    <mergeCell ref="L263:M263"/>
    <mergeCell ref="N263:O263"/>
    <mergeCell ref="P263:Q263"/>
    <mergeCell ref="R263:S263"/>
    <mergeCell ref="T263:U263"/>
    <mergeCell ref="A262:E262"/>
    <mergeCell ref="G262:J262"/>
    <mergeCell ref="L262:M262"/>
    <mergeCell ref="N262:O262"/>
    <mergeCell ref="P262:Q262"/>
    <mergeCell ref="R262:S262"/>
    <mergeCell ref="T268:U268"/>
    <mergeCell ref="A269:E269"/>
    <mergeCell ref="G269:J269"/>
    <mergeCell ref="L269:M269"/>
    <mergeCell ref="N269:O269"/>
    <mergeCell ref="P269:Q269"/>
    <mergeCell ref="R269:S269"/>
    <mergeCell ref="T269:U269"/>
    <mergeCell ref="A268:E268"/>
    <mergeCell ref="G268:J268"/>
    <mergeCell ref="L268:M268"/>
    <mergeCell ref="N268:O268"/>
    <mergeCell ref="P268:Q268"/>
    <mergeCell ref="R268:S268"/>
    <mergeCell ref="T266:U266"/>
    <mergeCell ref="A267:E267"/>
    <mergeCell ref="G267:J267"/>
    <mergeCell ref="L267:M267"/>
    <mergeCell ref="N267:O267"/>
    <mergeCell ref="P267:Q267"/>
    <mergeCell ref="R267:S267"/>
    <mergeCell ref="T267:U267"/>
    <mergeCell ref="A266:E266"/>
    <mergeCell ref="G266:J266"/>
    <mergeCell ref="L266:M266"/>
    <mergeCell ref="N266:O266"/>
    <mergeCell ref="P266:Q266"/>
    <mergeCell ref="R266:S266"/>
    <mergeCell ref="T272:U272"/>
    <mergeCell ref="A273:E273"/>
    <mergeCell ref="G273:J273"/>
    <mergeCell ref="L273:M273"/>
    <mergeCell ref="N273:O273"/>
    <mergeCell ref="P273:Q273"/>
    <mergeCell ref="R273:S273"/>
    <mergeCell ref="T273:U273"/>
    <mergeCell ref="A272:E272"/>
    <mergeCell ref="G272:J272"/>
    <mergeCell ref="L272:M272"/>
    <mergeCell ref="N272:O272"/>
    <mergeCell ref="P272:Q272"/>
    <mergeCell ref="R272:S272"/>
    <mergeCell ref="T270:U270"/>
    <mergeCell ref="A271:E271"/>
    <mergeCell ref="G271:J271"/>
    <mergeCell ref="L271:M271"/>
    <mergeCell ref="N271:O271"/>
    <mergeCell ref="P271:Q271"/>
    <mergeCell ref="R271:S271"/>
    <mergeCell ref="T271:U271"/>
    <mergeCell ref="A270:E270"/>
    <mergeCell ref="G270:J270"/>
    <mergeCell ref="L270:M270"/>
    <mergeCell ref="N270:O270"/>
    <mergeCell ref="P270:Q270"/>
    <mergeCell ref="R270:S270"/>
    <mergeCell ref="T276:U276"/>
    <mergeCell ref="A277:E277"/>
    <mergeCell ref="G277:J277"/>
    <mergeCell ref="L277:M277"/>
    <mergeCell ref="N277:O277"/>
    <mergeCell ref="P277:Q277"/>
    <mergeCell ref="R277:S277"/>
    <mergeCell ref="T277:U277"/>
    <mergeCell ref="A276:E276"/>
    <mergeCell ref="G276:J276"/>
    <mergeCell ref="L276:M276"/>
    <mergeCell ref="N276:O276"/>
    <mergeCell ref="P276:Q276"/>
    <mergeCell ref="R276:S276"/>
    <mergeCell ref="T274:U274"/>
    <mergeCell ref="A275:E275"/>
    <mergeCell ref="G275:J275"/>
    <mergeCell ref="L275:M275"/>
    <mergeCell ref="N275:O275"/>
    <mergeCell ref="P275:Q275"/>
    <mergeCell ref="R275:S275"/>
    <mergeCell ref="T275:U275"/>
    <mergeCell ref="A274:E274"/>
    <mergeCell ref="G274:J274"/>
    <mergeCell ref="L274:M274"/>
    <mergeCell ref="N274:O274"/>
    <mergeCell ref="P274:Q274"/>
    <mergeCell ref="R274:S274"/>
    <mergeCell ref="T280:U280"/>
    <mergeCell ref="A281:E281"/>
    <mergeCell ref="G281:J281"/>
    <mergeCell ref="L281:M281"/>
    <mergeCell ref="N281:O281"/>
    <mergeCell ref="P281:Q281"/>
    <mergeCell ref="R281:S281"/>
    <mergeCell ref="T281:U281"/>
    <mergeCell ref="A280:E280"/>
    <mergeCell ref="G280:J280"/>
    <mergeCell ref="L280:M280"/>
    <mergeCell ref="N280:O280"/>
    <mergeCell ref="P280:Q280"/>
    <mergeCell ref="R280:S280"/>
    <mergeCell ref="T278:U278"/>
    <mergeCell ref="A279:E279"/>
    <mergeCell ref="G279:J279"/>
    <mergeCell ref="L279:M279"/>
    <mergeCell ref="N279:O279"/>
    <mergeCell ref="P279:Q279"/>
    <mergeCell ref="R279:S279"/>
    <mergeCell ref="T279:U279"/>
    <mergeCell ref="A278:E278"/>
    <mergeCell ref="G278:J278"/>
    <mergeCell ref="L278:M278"/>
    <mergeCell ref="N278:O278"/>
    <mergeCell ref="P278:Q278"/>
    <mergeCell ref="R278:S278"/>
    <mergeCell ref="T284:U284"/>
    <mergeCell ref="A285:E285"/>
    <mergeCell ref="G285:J285"/>
    <mergeCell ref="L285:M285"/>
    <mergeCell ref="N285:O285"/>
    <mergeCell ref="P285:Q285"/>
    <mergeCell ref="R285:S285"/>
    <mergeCell ref="T285:U285"/>
    <mergeCell ref="A284:E284"/>
    <mergeCell ref="G284:J284"/>
    <mergeCell ref="L284:M284"/>
    <mergeCell ref="N284:O284"/>
    <mergeCell ref="P284:Q284"/>
    <mergeCell ref="R284:S284"/>
    <mergeCell ref="T282:U282"/>
    <mergeCell ref="A283:E283"/>
    <mergeCell ref="G283:J283"/>
    <mergeCell ref="L283:M283"/>
    <mergeCell ref="N283:O283"/>
    <mergeCell ref="P283:Q283"/>
    <mergeCell ref="R283:S283"/>
    <mergeCell ref="T283:U283"/>
    <mergeCell ref="A282:E282"/>
    <mergeCell ref="G282:J282"/>
    <mergeCell ref="L282:M282"/>
    <mergeCell ref="N282:O282"/>
    <mergeCell ref="P282:Q282"/>
    <mergeCell ref="R282:S282"/>
    <mergeCell ref="T288:U288"/>
    <mergeCell ref="A289:E289"/>
    <mergeCell ref="G289:J289"/>
    <mergeCell ref="L289:M289"/>
    <mergeCell ref="N289:O289"/>
    <mergeCell ref="P289:Q289"/>
    <mergeCell ref="R289:S289"/>
    <mergeCell ref="T289:U289"/>
    <mergeCell ref="A288:E288"/>
    <mergeCell ref="G288:J288"/>
    <mergeCell ref="L288:M288"/>
    <mergeCell ref="N288:O288"/>
    <mergeCell ref="P288:Q288"/>
    <mergeCell ref="R288:S288"/>
    <mergeCell ref="T286:U286"/>
    <mergeCell ref="A287:E287"/>
    <mergeCell ref="G287:J287"/>
    <mergeCell ref="L287:M287"/>
    <mergeCell ref="N287:O287"/>
    <mergeCell ref="P287:Q287"/>
    <mergeCell ref="R287:S287"/>
    <mergeCell ref="T287:U287"/>
    <mergeCell ref="A286:E286"/>
    <mergeCell ref="G286:J286"/>
    <mergeCell ref="L286:M286"/>
    <mergeCell ref="N286:O286"/>
    <mergeCell ref="P286:Q286"/>
    <mergeCell ref="R286:S286"/>
    <mergeCell ref="T292:U292"/>
    <mergeCell ref="A293:E293"/>
    <mergeCell ref="G293:J293"/>
    <mergeCell ref="L293:M293"/>
    <mergeCell ref="N293:O293"/>
    <mergeCell ref="P293:Q293"/>
    <mergeCell ref="R293:S293"/>
    <mergeCell ref="T293:U293"/>
    <mergeCell ref="A292:E292"/>
    <mergeCell ref="G292:J292"/>
    <mergeCell ref="L292:M292"/>
    <mergeCell ref="N292:O292"/>
    <mergeCell ref="P292:Q292"/>
    <mergeCell ref="R292:S292"/>
    <mergeCell ref="T290:U290"/>
    <mergeCell ref="A291:E291"/>
    <mergeCell ref="G291:J291"/>
    <mergeCell ref="L291:M291"/>
    <mergeCell ref="N291:O291"/>
    <mergeCell ref="P291:Q291"/>
    <mergeCell ref="R291:S291"/>
    <mergeCell ref="T291:U291"/>
    <mergeCell ref="A290:E290"/>
    <mergeCell ref="G290:J290"/>
    <mergeCell ref="L290:M290"/>
    <mergeCell ref="N290:O290"/>
    <mergeCell ref="P290:Q290"/>
    <mergeCell ref="R290:S290"/>
    <mergeCell ref="T296:U296"/>
    <mergeCell ref="A297:E297"/>
    <mergeCell ref="G297:J297"/>
    <mergeCell ref="L297:M297"/>
    <mergeCell ref="N297:O297"/>
    <mergeCell ref="P297:Q297"/>
    <mergeCell ref="R297:S297"/>
    <mergeCell ref="T297:U297"/>
    <mergeCell ref="A296:E296"/>
    <mergeCell ref="G296:J296"/>
    <mergeCell ref="L296:M296"/>
    <mergeCell ref="N296:O296"/>
    <mergeCell ref="P296:Q296"/>
    <mergeCell ref="R296:S296"/>
    <mergeCell ref="T294:U294"/>
    <mergeCell ref="A295:E295"/>
    <mergeCell ref="G295:J295"/>
    <mergeCell ref="L295:M295"/>
    <mergeCell ref="N295:O295"/>
    <mergeCell ref="P295:Q295"/>
    <mergeCell ref="R295:S295"/>
    <mergeCell ref="T295:U295"/>
    <mergeCell ref="A294:E294"/>
    <mergeCell ref="G294:J294"/>
    <mergeCell ref="L294:M294"/>
    <mergeCell ref="N294:O294"/>
    <mergeCell ref="P294:Q294"/>
    <mergeCell ref="R294:S294"/>
    <mergeCell ref="T300:U300"/>
    <mergeCell ref="A301:E301"/>
    <mergeCell ref="G301:J301"/>
    <mergeCell ref="L301:M301"/>
    <mergeCell ref="N301:O301"/>
    <mergeCell ref="P301:Q301"/>
    <mergeCell ref="R301:S301"/>
    <mergeCell ref="T301:U301"/>
    <mergeCell ref="A300:E300"/>
    <mergeCell ref="G300:J300"/>
    <mergeCell ref="L300:M300"/>
    <mergeCell ref="N300:O300"/>
    <mergeCell ref="P300:Q300"/>
    <mergeCell ref="R300:S300"/>
    <mergeCell ref="T298:U298"/>
    <mergeCell ref="A299:E299"/>
    <mergeCell ref="G299:J299"/>
    <mergeCell ref="L299:M299"/>
    <mergeCell ref="N299:O299"/>
    <mergeCell ref="P299:Q299"/>
    <mergeCell ref="R299:S299"/>
    <mergeCell ref="T299:U299"/>
    <mergeCell ref="A298:E298"/>
    <mergeCell ref="G298:J298"/>
    <mergeCell ref="L298:M298"/>
    <mergeCell ref="N298:O298"/>
    <mergeCell ref="P298:Q298"/>
    <mergeCell ref="R298:S298"/>
    <mergeCell ref="T304:U304"/>
    <mergeCell ref="A305:E305"/>
    <mergeCell ref="G305:J305"/>
    <mergeCell ref="L305:M305"/>
    <mergeCell ref="N305:O305"/>
    <mergeCell ref="P305:Q305"/>
    <mergeCell ref="R305:S305"/>
    <mergeCell ref="T305:U305"/>
    <mergeCell ref="A304:E304"/>
    <mergeCell ref="G304:J304"/>
    <mergeCell ref="L304:M304"/>
    <mergeCell ref="N304:O304"/>
    <mergeCell ref="P304:Q304"/>
    <mergeCell ref="R304:S304"/>
    <mergeCell ref="T302:U302"/>
    <mergeCell ref="A303:E303"/>
    <mergeCell ref="G303:J303"/>
    <mergeCell ref="L303:M303"/>
    <mergeCell ref="N303:O303"/>
    <mergeCell ref="P303:Q303"/>
    <mergeCell ref="R303:S303"/>
    <mergeCell ref="T303:U303"/>
    <mergeCell ref="A302:E302"/>
    <mergeCell ref="G302:J302"/>
    <mergeCell ref="L302:M302"/>
    <mergeCell ref="N302:O302"/>
    <mergeCell ref="P302:Q302"/>
    <mergeCell ref="R302:S302"/>
    <mergeCell ref="T308:U308"/>
    <mergeCell ref="A309:E309"/>
    <mergeCell ref="G309:J309"/>
    <mergeCell ref="L309:M309"/>
    <mergeCell ref="N309:O309"/>
    <mergeCell ref="P309:Q309"/>
    <mergeCell ref="R309:S309"/>
    <mergeCell ref="T309:U309"/>
    <mergeCell ref="A308:E308"/>
    <mergeCell ref="G308:J308"/>
    <mergeCell ref="L308:M308"/>
    <mergeCell ref="N308:O308"/>
    <mergeCell ref="P308:Q308"/>
    <mergeCell ref="R308:S308"/>
    <mergeCell ref="T306:U306"/>
    <mergeCell ref="A307:E307"/>
    <mergeCell ref="G307:J307"/>
    <mergeCell ref="L307:M307"/>
    <mergeCell ref="N307:O307"/>
    <mergeCell ref="P307:Q307"/>
    <mergeCell ref="R307:S307"/>
    <mergeCell ref="T307:U307"/>
    <mergeCell ref="A306:E306"/>
    <mergeCell ref="G306:J306"/>
    <mergeCell ref="L306:M306"/>
    <mergeCell ref="N306:O306"/>
    <mergeCell ref="P306:Q306"/>
    <mergeCell ref="R306:S306"/>
    <mergeCell ref="T312:U312"/>
    <mergeCell ref="A313:E313"/>
    <mergeCell ref="G313:J313"/>
    <mergeCell ref="L313:M313"/>
    <mergeCell ref="N313:O313"/>
    <mergeCell ref="P313:Q313"/>
    <mergeCell ref="R313:S313"/>
    <mergeCell ref="T313:U313"/>
    <mergeCell ref="A312:E312"/>
    <mergeCell ref="G312:J312"/>
    <mergeCell ref="L312:M312"/>
    <mergeCell ref="N312:O312"/>
    <mergeCell ref="P312:Q312"/>
    <mergeCell ref="R312:S312"/>
    <mergeCell ref="T310:U310"/>
    <mergeCell ref="A311:E311"/>
    <mergeCell ref="G311:J311"/>
    <mergeCell ref="L311:M311"/>
    <mergeCell ref="N311:O311"/>
    <mergeCell ref="P311:Q311"/>
    <mergeCell ref="R311:S311"/>
    <mergeCell ref="T311:U311"/>
    <mergeCell ref="A310:E310"/>
    <mergeCell ref="G310:J310"/>
    <mergeCell ref="L310:M310"/>
    <mergeCell ref="N310:O310"/>
    <mergeCell ref="P310:Q310"/>
    <mergeCell ref="R310:S310"/>
    <mergeCell ref="T316:U316"/>
    <mergeCell ref="A317:E317"/>
    <mergeCell ref="G317:J317"/>
    <mergeCell ref="L317:M317"/>
    <mergeCell ref="N317:O317"/>
    <mergeCell ref="P317:Q317"/>
    <mergeCell ref="R317:S317"/>
    <mergeCell ref="T317:U317"/>
    <mergeCell ref="A316:E316"/>
    <mergeCell ref="G316:J316"/>
    <mergeCell ref="L316:M316"/>
    <mergeCell ref="N316:O316"/>
    <mergeCell ref="P316:Q316"/>
    <mergeCell ref="R316:S316"/>
    <mergeCell ref="T314:U314"/>
    <mergeCell ref="A315:E315"/>
    <mergeCell ref="G315:J315"/>
    <mergeCell ref="L315:M315"/>
    <mergeCell ref="N315:O315"/>
    <mergeCell ref="P315:Q315"/>
    <mergeCell ref="R315:S315"/>
    <mergeCell ref="T315:U315"/>
    <mergeCell ref="A314:E314"/>
    <mergeCell ref="G314:J314"/>
    <mergeCell ref="L314:M314"/>
    <mergeCell ref="N314:O314"/>
    <mergeCell ref="P314:Q314"/>
    <mergeCell ref="R314:S314"/>
    <mergeCell ref="T320:U320"/>
    <mergeCell ref="A321:E321"/>
    <mergeCell ref="G321:J321"/>
    <mergeCell ref="L321:M321"/>
    <mergeCell ref="N321:O321"/>
    <mergeCell ref="P321:Q321"/>
    <mergeCell ref="R321:S321"/>
    <mergeCell ref="T321:U321"/>
    <mergeCell ref="A320:E320"/>
    <mergeCell ref="G320:J320"/>
    <mergeCell ref="L320:M320"/>
    <mergeCell ref="N320:O320"/>
    <mergeCell ref="P320:Q320"/>
    <mergeCell ref="R320:S320"/>
    <mergeCell ref="T318:U318"/>
    <mergeCell ref="A319:E319"/>
    <mergeCell ref="G319:J319"/>
    <mergeCell ref="L319:M319"/>
    <mergeCell ref="N319:O319"/>
    <mergeCell ref="P319:Q319"/>
    <mergeCell ref="R319:S319"/>
    <mergeCell ref="T319:U319"/>
    <mergeCell ref="A318:E318"/>
    <mergeCell ref="G318:J318"/>
    <mergeCell ref="L318:M318"/>
    <mergeCell ref="N318:O318"/>
    <mergeCell ref="P318:Q318"/>
    <mergeCell ref="R318:S318"/>
    <mergeCell ref="T324:U324"/>
    <mergeCell ref="A325:E325"/>
    <mergeCell ref="G325:J325"/>
    <mergeCell ref="L325:M325"/>
    <mergeCell ref="N325:O325"/>
    <mergeCell ref="P325:Q325"/>
    <mergeCell ref="R325:S325"/>
    <mergeCell ref="T325:U325"/>
    <mergeCell ref="A324:E324"/>
    <mergeCell ref="G324:J324"/>
    <mergeCell ref="L324:M324"/>
    <mergeCell ref="N324:O324"/>
    <mergeCell ref="P324:Q324"/>
    <mergeCell ref="R324:S324"/>
    <mergeCell ref="T322:U322"/>
    <mergeCell ref="A323:E323"/>
    <mergeCell ref="G323:J323"/>
    <mergeCell ref="L323:M323"/>
    <mergeCell ref="N323:O323"/>
    <mergeCell ref="P323:Q323"/>
    <mergeCell ref="R323:S323"/>
    <mergeCell ref="T323:U323"/>
    <mergeCell ref="A322:E322"/>
    <mergeCell ref="G322:J322"/>
    <mergeCell ref="L322:M322"/>
    <mergeCell ref="N322:O322"/>
    <mergeCell ref="P322:Q322"/>
    <mergeCell ref="R322:S322"/>
    <mergeCell ref="T328:U328"/>
    <mergeCell ref="A329:E329"/>
    <mergeCell ref="G329:J329"/>
    <mergeCell ref="L329:M329"/>
    <mergeCell ref="N329:O329"/>
    <mergeCell ref="P329:Q329"/>
    <mergeCell ref="R329:S329"/>
    <mergeCell ref="T329:U329"/>
    <mergeCell ref="A328:E328"/>
    <mergeCell ref="G328:J328"/>
    <mergeCell ref="L328:M328"/>
    <mergeCell ref="N328:O328"/>
    <mergeCell ref="P328:Q328"/>
    <mergeCell ref="R328:S328"/>
    <mergeCell ref="T326:U326"/>
    <mergeCell ref="A327:E327"/>
    <mergeCell ref="G327:J327"/>
    <mergeCell ref="L327:M327"/>
    <mergeCell ref="N327:O327"/>
    <mergeCell ref="P327:Q327"/>
    <mergeCell ref="R327:S327"/>
    <mergeCell ref="T327:U327"/>
    <mergeCell ref="A326:E326"/>
    <mergeCell ref="G326:J326"/>
    <mergeCell ref="L326:M326"/>
    <mergeCell ref="N326:O326"/>
    <mergeCell ref="P326:Q326"/>
    <mergeCell ref="R326:S326"/>
    <mergeCell ref="T332:U332"/>
    <mergeCell ref="A333:E333"/>
    <mergeCell ref="G333:J333"/>
    <mergeCell ref="L333:M333"/>
    <mergeCell ref="N333:O333"/>
    <mergeCell ref="P333:Q333"/>
    <mergeCell ref="R333:S333"/>
    <mergeCell ref="T333:U333"/>
    <mergeCell ref="A332:E332"/>
    <mergeCell ref="G332:J332"/>
    <mergeCell ref="L332:M332"/>
    <mergeCell ref="N332:O332"/>
    <mergeCell ref="P332:Q332"/>
    <mergeCell ref="R332:S332"/>
    <mergeCell ref="T330:U330"/>
    <mergeCell ref="A331:E331"/>
    <mergeCell ref="G331:J331"/>
    <mergeCell ref="L331:M331"/>
    <mergeCell ref="N331:O331"/>
    <mergeCell ref="P331:Q331"/>
    <mergeCell ref="R331:S331"/>
    <mergeCell ref="T331:U331"/>
    <mergeCell ref="A330:E330"/>
    <mergeCell ref="G330:J330"/>
    <mergeCell ref="L330:M330"/>
    <mergeCell ref="N330:O330"/>
    <mergeCell ref="P330:Q330"/>
    <mergeCell ref="R330:S330"/>
    <mergeCell ref="T336:U336"/>
    <mergeCell ref="A337:E337"/>
    <mergeCell ref="G337:J337"/>
    <mergeCell ref="L337:M337"/>
    <mergeCell ref="N337:O337"/>
    <mergeCell ref="P337:Q337"/>
    <mergeCell ref="R337:S337"/>
    <mergeCell ref="T337:U337"/>
    <mergeCell ref="A336:E336"/>
    <mergeCell ref="G336:J336"/>
    <mergeCell ref="L336:M336"/>
    <mergeCell ref="N336:O336"/>
    <mergeCell ref="P336:Q336"/>
    <mergeCell ref="R336:S336"/>
    <mergeCell ref="T334:U334"/>
    <mergeCell ref="A335:E335"/>
    <mergeCell ref="G335:J335"/>
    <mergeCell ref="L335:M335"/>
    <mergeCell ref="N335:O335"/>
    <mergeCell ref="P335:Q335"/>
    <mergeCell ref="R335:S335"/>
    <mergeCell ref="T335:U335"/>
    <mergeCell ref="A334:E334"/>
    <mergeCell ref="G334:J334"/>
    <mergeCell ref="L334:M334"/>
    <mergeCell ref="N334:O334"/>
    <mergeCell ref="P334:Q334"/>
    <mergeCell ref="R334:S334"/>
    <mergeCell ref="T340:U340"/>
    <mergeCell ref="A341:E341"/>
    <mergeCell ref="G341:J341"/>
    <mergeCell ref="L341:M341"/>
    <mergeCell ref="N341:O341"/>
    <mergeCell ref="P341:Q341"/>
    <mergeCell ref="R341:S341"/>
    <mergeCell ref="T341:U341"/>
    <mergeCell ref="A340:E340"/>
    <mergeCell ref="G340:J340"/>
    <mergeCell ref="L340:M340"/>
    <mergeCell ref="N340:O340"/>
    <mergeCell ref="P340:Q340"/>
    <mergeCell ref="R340:S340"/>
    <mergeCell ref="T338:U338"/>
    <mergeCell ref="A339:E339"/>
    <mergeCell ref="G339:J339"/>
    <mergeCell ref="L339:M339"/>
    <mergeCell ref="N339:O339"/>
    <mergeCell ref="P339:Q339"/>
    <mergeCell ref="R339:S339"/>
    <mergeCell ref="T339:U339"/>
    <mergeCell ref="A338:E338"/>
    <mergeCell ref="G338:J338"/>
    <mergeCell ref="L338:M338"/>
    <mergeCell ref="N338:O338"/>
    <mergeCell ref="P338:Q338"/>
    <mergeCell ref="R338:S338"/>
    <mergeCell ref="T344:U344"/>
    <mergeCell ref="A345:E345"/>
    <mergeCell ref="G345:J345"/>
    <mergeCell ref="L345:M345"/>
    <mergeCell ref="N345:O345"/>
    <mergeCell ref="P345:Q345"/>
    <mergeCell ref="R345:S345"/>
    <mergeCell ref="T345:U345"/>
    <mergeCell ref="A344:E344"/>
    <mergeCell ref="G344:J344"/>
    <mergeCell ref="L344:M344"/>
    <mergeCell ref="N344:O344"/>
    <mergeCell ref="P344:Q344"/>
    <mergeCell ref="R344:S344"/>
    <mergeCell ref="T342:U342"/>
    <mergeCell ref="A343:E343"/>
    <mergeCell ref="G343:J343"/>
    <mergeCell ref="L343:M343"/>
    <mergeCell ref="N343:O343"/>
    <mergeCell ref="P343:Q343"/>
    <mergeCell ref="R343:S343"/>
    <mergeCell ref="T343:U343"/>
    <mergeCell ref="A342:E342"/>
    <mergeCell ref="G342:J342"/>
    <mergeCell ref="L342:M342"/>
    <mergeCell ref="N342:O342"/>
    <mergeCell ref="P342:Q342"/>
    <mergeCell ref="R342:S342"/>
    <mergeCell ref="T348:U348"/>
    <mergeCell ref="A349:E349"/>
    <mergeCell ref="G349:J349"/>
    <mergeCell ref="L349:M349"/>
    <mergeCell ref="N349:O349"/>
    <mergeCell ref="P349:Q349"/>
    <mergeCell ref="R349:S349"/>
    <mergeCell ref="T349:U349"/>
    <mergeCell ref="A348:E348"/>
    <mergeCell ref="G348:J348"/>
    <mergeCell ref="L348:M348"/>
    <mergeCell ref="N348:O348"/>
    <mergeCell ref="P348:Q348"/>
    <mergeCell ref="R348:S348"/>
    <mergeCell ref="T346:U346"/>
    <mergeCell ref="A347:E347"/>
    <mergeCell ref="G347:J347"/>
    <mergeCell ref="L347:M347"/>
    <mergeCell ref="N347:O347"/>
    <mergeCell ref="P347:Q347"/>
    <mergeCell ref="R347:S347"/>
    <mergeCell ref="T347:U347"/>
    <mergeCell ref="A346:E346"/>
    <mergeCell ref="G346:J346"/>
    <mergeCell ref="L346:M346"/>
    <mergeCell ref="N346:O346"/>
    <mergeCell ref="P346:Q346"/>
    <mergeCell ref="R346:S346"/>
    <mergeCell ref="T352:U352"/>
    <mergeCell ref="A353:E353"/>
    <mergeCell ref="G353:J353"/>
    <mergeCell ref="L353:M353"/>
    <mergeCell ref="N353:O353"/>
    <mergeCell ref="P353:Q353"/>
    <mergeCell ref="R353:S353"/>
    <mergeCell ref="T353:U353"/>
    <mergeCell ref="A352:E352"/>
    <mergeCell ref="G352:J352"/>
    <mergeCell ref="L352:M352"/>
    <mergeCell ref="N352:O352"/>
    <mergeCell ref="P352:Q352"/>
    <mergeCell ref="R352:S352"/>
    <mergeCell ref="T350:U350"/>
    <mergeCell ref="A351:E351"/>
    <mergeCell ref="G351:J351"/>
    <mergeCell ref="L351:M351"/>
    <mergeCell ref="N351:O351"/>
    <mergeCell ref="P351:Q351"/>
    <mergeCell ref="R351:S351"/>
    <mergeCell ref="T351:U351"/>
    <mergeCell ref="A350:E350"/>
    <mergeCell ref="G350:J350"/>
    <mergeCell ref="L350:M350"/>
    <mergeCell ref="N350:O350"/>
    <mergeCell ref="P350:Q350"/>
    <mergeCell ref="R350:S350"/>
    <mergeCell ref="T356:U356"/>
    <mergeCell ref="A357:E357"/>
    <mergeCell ref="G357:J357"/>
    <mergeCell ref="L357:M357"/>
    <mergeCell ref="N357:O357"/>
    <mergeCell ref="P357:Q357"/>
    <mergeCell ref="R357:S357"/>
    <mergeCell ref="T357:U357"/>
    <mergeCell ref="A356:E356"/>
    <mergeCell ref="G356:J356"/>
    <mergeCell ref="L356:M356"/>
    <mergeCell ref="N356:O356"/>
    <mergeCell ref="P356:Q356"/>
    <mergeCell ref="R356:S356"/>
    <mergeCell ref="T354:U354"/>
    <mergeCell ref="A355:E355"/>
    <mergeCell ref="G355:J355"/>
    <mergeCell ref="L355:M355"/>
    <mergeCell ref="N355:O355"/>
    <mergeCell ref="P355:Q355"/>
    <mergeCell ref="R355:S355"/>
    <mergeCell ref="T355:U355"/>
    <mergeCell ref="A354:E354"/>
    <mergeCell ref="G354:J354"/>
    <mergeCell ref="L354:M354"/>
    <mergeCell ref="N354:O354"/>
    <mergeCell ref="P354:Q354"/>
    <mergeCell ref="R354:S354"/>
    <mergeCell ref="T360:U360"/>
    <mergeCell ref="A361:E361"/>
    <mergeCell ref="G361:J361"/>
    <mergeCell ref="L361:M361"/>
    <mergeCell ref="N361:O361"/>
    <mergeCell ref="P361:Q361"/>
    <mergeCell ref="R361:S361"/>
    <mergeCell ref="T361:U361"/>
    <mergeCell ref="A360:E360"/>
    <mergeCell ref="G360:J360"/>
    <mergeCell ref="L360:M360"/>
    <mergeCell ref="N360:O360"/>
    <mergeCell ref="P360:Q360"/>
    <mergeCell ref="R360:S360"/>
    <mergeCell ref="T358:U358"/>
    <mergeCell ref="A359:E359"/>
    <mergeCell ref="G359:J359"/>
    <mergeCell ref="L359:M359"/>
    <mergeCell ref="N359:O359"/>
    <mergeCell ref="P359:Q359"/>
    <mergeCell ref="R359:S359"/>
    <mergeCell ref="T359:U359"/>
    <mergeCell ref="A358:E358"/>
    <mergeCell ref="G358:J358"/>
    <mergeCell ref="L358:M358"/>
    <mergeCell ref="N358:O358"/>
    <mergeCell ref="P358:Q358"/>
    <mergeCell ref="R358:S358"/>
    <mergeCell ref="T364:U364"/>
    <mergeCell ref="A365:E365"/>
    <mergeCell ref="G365:J365"/>
    <mergeCell ref="L365:M365"/>
    <mergeCell ref="N365:O365"/>
    <mergeCell ref="P365:Q365"/>
    <mergeCell ref="R365:S365"/>
    <mergeCell ref="T365:U365"/>
    <mergeCell ref="A364:E364"/>
    <mergeCell ref="G364:J364"/>
    <mergeCell ref="L364:M364"/>
    <mergeCell ref="N364:O364"/>
    <mergeCell ref="P364:Q364"/>
    <mergeCell ref="R364:S364"/>
    <mergeCell ref="T362:U362"/>
    <mergeCell ref="A363:E363"/>
    <mergeCell ref="G363:J363"/>
    <mergeCell ref="L363:M363"/>
    <mergeCell ref="N363:O363"/>
    <mergeCell ref="P363:Q363"/>
    <mergeCell ref="R363:S363"/>
    <mergeCell ref="T363:U363"/>
    <mergeCell ref="A362:E362"/>
    <mergeCell ref="G362:J362"/>
    <mergeCell ref="L362:M362"/>
    <mergeCell ref="N362:O362"/>
    <mergeCell ref="P362:Q362"/>
    <mergeCell ref="R362:S362"/>
    <mergeCell ref="T368:U368"/>
    <mergeCell ref="A369:E369"/>
    <mergeCell ref="G369:J369"/>
    <mergeCell ref="L369:M369"/>
    <mergeCell ref="N369:O369"/>
    <mergeCell ref="P369:Q369"/>
    <mergeCell ref="R369:S369"/>
    <mergeCell ref="T369:U369"/>
    <mergeCell ref="A368:E368"/>
    <mergeCell ref="G368:J368"/>
    <mergeCell ref="L368:M368"/>
    <mergeCell ref="N368:O368"/>
    <mergeCell ref="P368:Q368"/>
    <mergeCell ref="R368:S368"/>
    <mergeCell ref="T366:U366"/>
    <mergeCell ref="A367:E367"/>
    <mergeCell ref="G367:J367"/>
    <mergeCell ref="L367:M367"/>
    <mergeCell ref="N367:O367"/>
    <mergeCell ref="P367:Q367"/>
    <mergeCell ref="R367:S367"/>
    <mergeCell ref="T367:U367"/>
    <mergeCell ref="A366:E366"/>
    <mergeCell ref="G366:J366"/>
    <mergeCell ref="L366:M366"/>
    <mergeCell ref="N366:O366"/>
    <mergeCell ref="P366:Q366"/>
    <mergeCell ref="R366:S366"/>
    <mergeCell ref="T372:U372"/>
    <mergeCell ref="A373:E373"/>
    <mergeCell ref="G373:J373"/>
    <mergeCell ref="L373:M373"/>
    <mergeCell ref="N373:O373"/>
    <mergeCell ref="P373:Q373"/>
    <mergeCell ref="R373:S373"/>
    <mergeCell ref="T373:U373"/>
    <mergeCell ref="A372:E372"/>
    <mergeCell ref="G372:J372"/>
    <mergeCell ref="L372:M372"/>
    <mergeCell ref="N372:O372"/>
    <mergeCell ref="P372:Q372"/>
    <mergeCell ref="R372:S372"/>
    <mergeCell ref="T370:U370"/>
    <mergeCell ref="A371:E371"/>
    <mergeCell ref="G371:J371"/>
    <mergeCell ref="L371:M371"/>
    <mergeCell ref="N371:O371"/>
    <mergeCell ref="P371:Q371"/>
    <mergeCell ref="R371:S371"/>
    <mergeCell ref="T371:U371"/>
    <mergeCell ref="A370:E370"/>
    <mergeCell ref="G370:J370"/>
    <mergeCell ref="L370:M370"/>
    <mergeCell ref="N370:O370"/>
    <mergeCell ref="P370:Q370"/>
    <mergeCell ref="R370:S370"/>
    <mergeCell ref="T376:U376"/>
    <mergeCell ref="A377:E377"/>
    <mergeCell ref="G377:J377"/>
    <mergeCell ref="L377:M377"/>
    <mergeCell ref="N377:O377"/>
    <mergeCell ref="P377:Q377"/>
    <mergeCell ref="R377:S377"/>
    <mergeCell ref="T377:U377"/>
    <mergeCell ref="A376:E376"/>
    <mergeCell ref="G376:J376"/>
    <mergeCell ref="L376:M376"/>
    <mergeCell ref="N376:O376"/>
    <mergeCell ref="P376:Q376"/>
    <mergeCell ref="R376:S376"/>
    <mergeCell ref="T374:U374"/>
    <mergeCell ref="A375:E375"/>
    <mergeCell ref="G375:J375"/>
    <mergeCell ref="L375:M375"/>
    <mergeCell ref="N375:O375"/>
    <mergeCell ref="P375:Q375"/>
    <mergeCell ref="R375:S375"/>
    <mergeCell ref="T375:U375"/>
    <mergeCell ref="A374:E374"/>
    <mergeCell ref="G374:J374"/>
    <mergeCell ref="L374:M374"/>
    <mergeCell ref="N374:O374"/>
    <mergeCell ref="P374:Q374"/>
    <mergeCell ref="R374:S374"/>
    <mergeCell ref="T380:U380"/>
    <mergeCell ref="A381:E381"/>
    <mergeCell ref="G381:J381"/>
    <mergeCell ref="L381:M381"/>
    <mergeCell ref="N381:O381"/>
    <mergeCell ref="P381:Q381"/>
    <mergeCell ref="R381:S381"/>
    <mergeCell ref="T381:U381"/>
    <mergeCell ref="A380:E380"/>
    <mergeCell ref="G380:J380"/>
    <mergeCell ref="L380:M380"/>
    <mergeCell ref="N380:O380"/>
    <mergeCell ref="P380:Q380"/>
    <mergeCell ref="R380:S380"/>
    <mergeCell ref="T378:U378"/>
    <mergeCell ref="A379:E379"/>
    <mergeCell ref="G379:J379"/>
    <mergeCell ref="L379:M379"/>
    <mergeCell ref="N379:O379"/>
    <mergeCell ref="P379:Q379"/>
    <mergeCell ref="R379:S379"/>
    <mergeCell ref="T379:U379"/>
    <mergeCell ref="A378:E378"/>
    <mergeCell ref="G378:J378"/>
    <mergeCell ref="L378:M378"/>
    <mergeCell ref="N378:O378"/>
    <mergeCell ref="P378:Q378"/>
    <mergeCell ref="R378:S378"/>
    <mergeCell ref="T384:U384"/>
    <mergeCell ref="A385:E385"/>
    <mergeCell ref="G385:J385"/>
    <mergeCell ref="L385:M385"/>
    <mergeCell ref="N385:O385"/>
    <mergeCell ref="P385:Q385"/>
    <mergeCell ref="R385:S385"/>
    <mergeCell ref="T385:U385"/>
    <mergeCell ref="A384:E384"/>
    <mergeCell ref="G384:J384"/>
    <mergeCell ref="L384:M384"/>
    <mergeCell ref="N384:O384"/>
    <mergeCell ref="P384:Q384"/>
    <mergeCell ref="R384:S384"/>
    <mergeCell ref="T382:U382"/>
    <mergeCell ref="A383:E383"/>
    <mergeCell ref="G383:J383"/>
    <mergeCell ref="L383:M383"/>
    <mergeCell ref="N383:O383"/>
    <mergeCell ref="P383:Q383"/>
    <mergeCell ref="R383:S383"/>
    <mergeCell ref="T383:U383"/>
    <mergeCell ref="A382:E382"/>
    <mergeCell ref="G382:J382"/>
    <mergeCell ref="L382:M382"/>
    <mergeCell ref="N382:O382"/>
    <mergeCell ref="P382:Q382"/>
    <mergeCell ref="R382:S382"/>
    <mergeCell ref="T388:U388"/>
    <mergeCell ref="A389:E389"/>
    <mergeCell ref="G389:J389"/>
    <mergeCell ref="L389:M389"/>
    <mergeCell ref="N389:O389"/>
    <mergeCell ref="P389:Q389"/>
    <mergeCell ref="R389:S389"/>
    <mergeCell ref="T389:U389"/>
    <mergeCell ref="A388:E388"/>
    <mergeCell ref="G388:J388"/>
    <mergeCell ref="L388:M388"/>
    <mergeCell ref="N388:O388"/>
    <mergeCell ref="P388:Q388"/>
    <mergeCell ref="R388:S388"/>
    <mergeCell ref="T386:U386"/>
    <mergeCell ref="A387:E387"/>
    <mergeCell ref="G387:J387"/>
    <mergeCell ref="L387:M387"/>
    <mergeCell ref="N387:O387"/>
    <mergeCell ref="P387:Q387"/>
    <mergeCell ref="R387:S387"/>
    <mergeCell ref="T387:U387"/>
    <mergeCell ref="A386:E386"/>
    <mergeCell ref="G386:J386"/>
    <mergeCell ref="L386:M386"/>
    <mergeCell ref="N386:O386"/>
    <mergeCell ref="P386:Q386"/>
    <mergeCell ref="R386:S386"/>
    <mergeCell ref="T392:U392"/>
    <mergeCell ref="A393:E393"/>
    <mergeCell ref="G393:J393"/>
    <mergeCell ref="L393:M393"/>
    <mergeCell ref="N393:O393"/>
    <mergeCell ref="P393:Q393"/>
    <mergeCell ref="R393:S393"/>
    <mergeCell ref="T393:U393"/>
    <mergeCell ref="A392:E392"/>
    <mergeCell ref="G392:J392"/>
    <mergeCell ref="L392:M392"/>
    <mergeCell ref="N392:O392"/>
    <mergeCell ref="P392:Q392"/>
    <mergeCell ref="R392:S392"/>
    <mergeCell ref="T390:U390"/>
    <mergeCell ref="A391:E391"/>
    <mergeCell ref="G391:J391"/>
    <mergeCell ref="L391:M391"/>
    <mergeCell ref="N391:O391"/>
    <mergeCell ref="P391:Q391"/>
    <mergeCell ref="R391:S391"/>
    <mergeCell ref="T391:U391"/>
    <mergeCell ref="A390:E390"/>
    <mergeCell ref="G390:J390"/>
    <mergeCell ref="L390:M390"/>
    <mergeCell ref="N390:O390"/>
    <mergeCell ref="P390:Q390"/>
    <mergeCell ref="R390:S390"/>
    <mergeCell ref="T396:U396"/>
    <mergeCell ref="A397:E397"/>
    <mergeCell ref="G397:J397"/>
    <mergeCell ref="L397:M397"/>
    <mergeCell ref="N397:O397"/>
    <mergeCell ref="P397:Q397"/>
    <mergeCell ref="R397:S397"/>
    <mergeCell ref="T397:U397"/>
    <mergeCell ref="A396:E396"/>
    <mergeCell ref="G396:J396"/>
    <mergeCell ref="L396:M396"/>
    <mergeCell ref="N396:O396"/>
    <mergeCell ref="P396:Q396"/>
    <mergeCell ref="R396:S396"/>
    <mergeCell ref="T394:U394"/>
    <mergeCell ref="A395:E395"/>
    <mergeCell ref="G395:J395"/>
    <mergeCell ref="L395:M395"/>
    <mergeCell ref="N395:O395"/>
    <mergeCell ref="P395:Q395"/>
    <mergeCell ref="R395:S395"/>
    <mergeCell ref="T395:U395"/>
    <mergeCell ref="A394:E394"/>
    <mergeCell ref="G394:J394"/>
    <mergeCell ref="L394:M394"/>
    <mergeCell ref="N394:O394"/>
    <mergeCell ref="P394:Q394"/>
    <mergeCell ref="R394:S394"/>
    <mergeCell ref="T400:U400"/>
    <mergeCell ref="A401:E401"/>
    <mergeCell ref="G401:J401"/>
    <mergeCell ref="L401:M401"/>
    <mergeCell ref="N401:O401"/>
    <mergeCell ref="P401:Q401"/>
    <mergeCell ref="R401:S401"/>
    <mergeCell ref="T401:U401"/>
    <mergeCell ref="A400:E400"/>
    <mergeCell ref="G400:J400"/>
    <mergeCell ref="L400:M400"/>
    <mergeCell ref="N400:O400"/>
    <mergeCell ref="P400:Q400"/>
    <mergeCell ref="R400:S400"/>
    <mergeCell ref="T398:U398"/>
    <mergeCell ref="A399:E399"/>
    <mergeCell ref="G399:J399"/>
    <mergeCell ref="L399:M399"/>
    <mergeCell ref="N399:O399"/>
    <mergeCell ref="P399:Q399"/>
    <mergeCell ref="R399:S399"/>
    <mergeCell ref="T399:U399"/>
    <mergeCell ref="A398:E398"/>
    <mergeCell ref="G398:J398"/>
    <mergeCell ref="L398:M398"/>
    <mergeCell ref="N398:O398"/>
    <mergeCell ref="P398:Q398"/>
    <mergeCell ref="R398:S398"/>
    <mergeCell ref="T404:U404"/>
    <mergeCell ref="A405:E405"/>
    <mergeCell ref="G405:J405"/>
    <mergeCell ref="L405:M405"/>
    <mergeCell ref="N405:O405"/>
    <mergeCell ref="P405:Q405"/>
    <mergeCell ref="R405:S405"/>
    <mergeCell ref="T405:U405"/>
    <mergeCell ref="A404:E404"/>
    <mergeCell ref="G404:J404"/>
    <mergeCell ref="L404:M404"/>
    <mergeCell ref="N404:O404"/>
    <mergeCell ref="P404:Q404"/>
    <mergeCell ref="R404:S404"/>
    <mergeCell ref="T402:U402"/>
    <mergeCell ref="A403:E403"/>
    <mergeCell ref="G403:J403"/>
    <mergeCell ref="L403:M403"/>
    <mergeCell ref="N403:O403"/>
    <mergeCell ref="P403:Q403"/>
    <mergeCell ref="R403:S403"/>
    <mergeCell ref="T403:U403"/>
    <mergeCell ref="A402:E402"/>
    <mergeCell ref="G402:J402"/>
    <mergeCell ref="L402:M402"/>
    <mergeCell ref="N402:O402"/>
    <mergeCell ref="P402:Q402"/>
    <mergeCell ref="R402:S402"/>
    <mergeCell ref="T408:U408"/>
    <mergeCell ref="A409:E409"/>
    <mergeCell ref="G409:J409"/>
    <mergeCell ref="L409:M409"/>
    <mergeCell ref="N409:O409"/>
    <mergeCell ref="P409:Q409"/>
    <mergeCell ref="R409:S409"/>
    <mergeCell ref="T409:U409"/>
    <mergeCell ref="A408:E408"/>
    <mergeCell ref="G408:J408"/>
    <mergeCell ref="L408:M408"/>
    <mergeCell ref="N408:O408"/>
    <mergeCell ref="P408:Q408"/>
    <mergeCell ref="R408:S408"/>
    <mergeCell ref="T406:U406"/>
    <mergeCell ref="A407:E407"/>
    <mergeCell ref="G407:J407"/>
    <mergeCell ref="L407:M407"/>
    <mergeCell ref="N407:O407"/>
    <mergeCell ref="P407:Q407"/>
    <mergeCell ref="R407:S407"/>
    <mergeCell ref="T407:U407"/>
    <mergeCell ref="A406:E406"/>
    <mergeCell ref="G406:J406"/>
    <mergeCell ref="L406:M406"/>
    <mergeCell ref="N406:O406"/>
    <mergeCell ref="P406:Q406"/>
    <mergeCell ref="R406:S406"/>
    <mergeCell ref="T412:U412"/>
    <mergeCell ref="A413:E413"/>
    <mergeCell ref="G413:J413"/>
    <mergeCell ref="L413:M413"/>
    <mergeCell ref="N413:O413"/>
    <mergeCell ref="P413:Q413"/>
    <mergeCell ref="R413:S413"/>
    <mergeCell ref="T413:U413"/>
    <mergeCell ref="A412:E412"/>
    <mergeCell ref="G412:J412"/>
    <mergeCell ref="L412:M412"/>
    <mergeCell ref="N412:O412"/>
    <mergeCell ref="P412:Q412"/>
    <mergeCell ref="R412:S412"/>
    <mergeCell ref="T410:U410"/>
    <mergeCell ref="A411:E411"/>
    <mergeCell ref="G411:J411"/>
    <mergeCell ref="L411:M411"/>
    <mergeCell ref="N411:O411"/>
    <mergeCell ref="P411:Q411"/>
    <mergeCell ref="R411:S411"/>
    <mergeCell ref="T411:U411"/>
    <mergeCell ref="A410:E410"/>
    <mergeCell ref="G410:J410"/>
    <mergeCell ref="L410:M410"/>
    <mergeCell ref="N410:O410"/>
    <mergeCell ref="P410:Q410"/>
    <mergeCell ref="R410:S410"/>
    <mergeCell ref="T416:U416"/>
    <mergeCell ref="A417:E417"/>
    <mergeCell ref="G417:J417"/>
    <mergeCell ref="L417:M417"/>
    <mergeCell ref="N417:O417"/>
    <mergeCell ref="P417:Q417"/>
    <mergeCell ref="R417:S417"/>
    <mergeCell ref="T417:U417"/>
    <mergeCell ref="A416:E416"/>
    <mergeCell ref="G416:J416"/>
    <mergeCell ref="L416:M416"/>
    <mergeCell ref="N416:O416"/>
    <mergeCell ref="P416:Q416"/>
    <mergeCell ref="R416:S416"/>
    <mergeCell ref="T414:U414"/>
    <mergeCell ref="A415:E415"/>
    <mergeCell ref="G415:J415"/>
    <mergeCell ref="L415:M415"/>
    <mergeCell ref="N415:O415"/>
    <mergeCell ref="P415:Q415"/>
    <mergeCell ref="R415:S415"/>
    <mergeCell ref="T415:U415"/>
    <mergeCell ref="A414:E414"/>
    <mergeCell ref="G414:J414"/>
    <mergeCell ref="L414:M414"/>
    <mergeCell ref="N414:O414"/>
    <mergeCell ref="P414:Q414"/>
    <mergeCell ref="R414:S414"/>
    <mergeCell ref="T420:U420"/>
    <mergeCell ref="A421:E421"/>
    <mergeCell ref="G421:J421"/>
    <mergeCell ref="L421:M421"/>
    <mergeCell ref="N421:O421"/>
    <mergeCell ref="P421:Q421"/>
    <mergeCell ref="R421:S421"/>
    <mergeCell ref="T421:U421"/>
    <mergeCell ref="A420:E420"/>
    <mergeCell ref="G420:J420"/>
    <mergeCell ref="L420:M420"/>
    <mergeCell ref="N420:O420"/>
    <mergeCell ref="P420:Q420"/>
    <mergeCell ref="R420:S420"/>
    <mergeCell ref="T418:U418"/>
    <mergeCell ref="A419:E419"/>
    <mergeCell ref="G419:J419"/>
    <mergeCell ref="L419:M419"/>
    <mergeCell ref="N419:O419"/>
    <mergeCell ref="P419:Q419"/>
    <mergeCell ref="R419:S419"/>
    <mergeCell ref="T419:U419"/>
    <mergeCell ref="A418:E418"/>
    <mergeCell ref="G418:J418"/>
    <mergeCell ref="L418:M418"/>
    <mergeCell ref="N418:O418"/>
    <mergeCell ref="P418:Q418"/>
    <mergeCell ref="R418:S418"/>
    <mergeCell ref="T424:U424"/>
    <mergeCell ref="A425:E425"/>
    <mergeCell ref="G425:J425"/>
    <mergeCell ref="L425:M425"/>
    <mergeCell ref="N425:O425"/>
    <mergeCell ref="P425:Q425"/>
    <mergeCell ref="R425:S425"/>
    <mergeCell ref="T425:U425"/>
    <mergeCell ref="A424:E424"/>
    <mergeCell ref="G424:J424"/>
    <mergeCell ref="L424:M424"/>
    <mergeCell ref="N424:O424"/>
    <mergeCell ref="P424:Q424"/>
    <mergeCell ref="R424:S424"/>
    <mergeCell ref="T422:U422"/>
    <mergeCell ref="A423:E423"/>
    <mergeCell ref="G423:J423"/>
    <mergeCell ref="L423:M423"/>
    <mergeCell ref="N423:O423"/>
    <mergeCell ref="P423:Q423"/>
    <mergeCell ref="R423:S423"/>
    <mergeCell ref="T423:U423"/>
    <mergeCell ref="A422:E422"/>
    <mergeCell ref="G422:J422"/>
    <mergeCell ref="L422:M422"/>
    <mergeCell ref="N422:O422"/>
    <mergeCell ref="P422:Q422"/>
    <mergeCell ref="R422:S422"/>
    <mergeCell ref="T428:U428"/>
    <mergeCell ref="A429:E429"/>
    <mergeCell ref="G429:J429"/>
    <mergeCell ref="L429:M429"/>
    <mergeCell ref="N429:O429"/>
    <mergeCell ref="P429:Q429"/>
    <mergeCell ref="R429:S429"/>
    <mergeCell ref="T429:U429"/>
    <mergeCell ref="A428:E428"/>
    <mergeCell ref="G428:J428"/>
    <mergeCell ref="L428:M428"/>
    <mergeCell ref="N428:O428"/>
    <mergeCell ref="P428:Q428"/>
    <mergeCell ref="R428:S428"/>
    <mergeCell ref="T426:U426"/>
    <mergeCell ref="A427:E427"/>
    <mergeCell ref="G427:J427"/>
    <mergeCell ref="L427:M427"/>
    <mergeCell ref="N427:O427"/>
    <mergeCell ref="P427:Q427"/>
    <mergeCell ref="R427:S427"/>
    <mergeCell ref="T427:U427"/>
    <mergeCell ref="A426:E426"/>
    <mergeCell ref="G426:J426"/>
    <mergeCell ref="L426:M426"/>
    <mergeCell ref="N426:O426"/>
    <mergeCell ref="P426:Q426"/>
    <mergeCell ref="R426:S426"/>
    <mergeCell ref="T432:U432"/>
    <mergeCell ref="A433:E433"/>
    <mergeCell ref="G433:J433"/>
    <mergeCell ref="L433:M433"/>
    <mergeCell ref="N433:O433"/>
    <mergeCell ref="P433:Q433"/>
    <mergeCell ref="R433:S433"/>
    <mergeCell ref="T433:U433"/>
    <mergeCell ref="A432:E432"/>
    <mergeCell ref="G432:J432"/>
    <mergeCell ref="L432:M432"/>
    <mergeCell ref="N432:O432"/>
    <mergeCell ref="P432:Q432"/>
    <mergeCell ref="R432:S432"/>
    <mergeCell ref="T430:U430"/>
    <mergeCell ref="A431:E431"/>
    <mergeCell ref="G431:J431"/>
    <mergeCell ref="L431:M431"/>
    <mergeCell ref="N431:O431"/>
    <mergeCell ref="P431:Q431"/>
    <mergeCell ref="R431:S431"/>
    <mergeCell ref="T431:U431"/>
    <mergeCell ref="A430:E430"/>
    <mergeCell ref="G430:J430"/>
    <mergeCell ref="L430:M430"/>
    <mergeCell ref="N430:O430"/>
    <mergeCell ref="P430:Q430"/>
    <mergeCell ref="R430:S430"/>
    <mergeCell ref="T436:U436"/>
    <mergeCell ref="A437:E437"/>
    <mergeCell ref="G437:J437"/>
    <mergeCell ref="L437:M437"/>
    <mergeCell ref="N437:O437"/>
    <mergeCell ref="P437:Q437"/>
    <mergeCell ref="R437:S437"/>
    <mergeCell ref="T437:U437"/>
    <mergeCell ref="A436:E436"/>
    <mergeCell ref="G436:J436"/>
    <mergeCell ref="L436:M436"/>
    <mergeCell ref="N436:O436"/>
    <mergeCell ref="P436:Q436"/>
    <mergeCell ref="R436:S436"/>
    <mergeCell ref="T434:U434"/>
    <mergeCell ref="A435:E435"/>
    <mergeCell ref="G435:J435"/>
    <mergeCell ref="L435:M435"/>
    <mergeCell ref="N435:O435"/>
    <mergeCell ref="P435:Q435"/>
    <mergeCell ref="R435:S435"/>
    <mergeCell ref="T435:U435"/>
    <mergeCell ref="A434:E434"/>
    <mergeCell ref="G434:J434"/>
    <mergeCell ref="L434:M434"/>
    <mergeCell ref="N434:O434"/>
    <mergeCell ref="P434:Q434"/>
    <mergeCell ref="R434:S434"/>
    <mergeCell ref="T440:U440"/>
    <mergeCell ref="A441:E441"/>
    <mergeCell ref="G441:J441"/>
    <mergeCell ref="L441:M441"/>
    <mergeCell ref="N441:O441"/>
    <mergeCell ref="P441:Q441"/>
    <mergeCell ref="R441:S441"/>
    <mergeCell ref="T441:U441"/>
    <mergeCell ref="A440:E440"/>
    <mergeCell ref="G440:J440"/>
    <mergeCell ref="L440:M440"/>
    <mergeCell ref="N440:O440"/>
    <mergeCell ref="P440:Q440"/>
    <mergeCell ref="R440:S440"/>
    <mergeCell ref="T438:U438"/>
    <mergeCell ref="A439:E439"/>
    <mergeCell ref="G439:J439"/>
    <mergeCell ref="L439:M439"/>
    <mergeCell ref="N439:O439"/>
    <mergeCell ref="P439:Q439"/>
    <mergeCell ref="R439:S439"/>
    <mergeCell ref="T439:U439"/>
    <mergeCell ref="A438:E438"/>
    <mergeCell ref="G438:J438"/>
    <mergeCell ref="L438:M438"/>
    <mergeCell ref="N438:O438"/>
    <mergeCell ref="P438:Q438"/>
    <mergeCell ref="R438:S438"/>
    <mergeCell ref="T444:U444"/>
    <mergeCell ref="A445:E445"/>
    <mergeCell ref="G445:J445"/>
    <mergeCell ref="L445:M445"/>
    <mergeCell ref="N445:O445"/>
    <mergeCell ref="P445:Q445"/>
    <mergeCell ref="R445:S445"/>
    <mergeCell ref="T445:U445"/>
    <mergeCell ref="A444:E444"/>
    <mergeCell ref="G444:J444"/>
    <mergeCell ref="L444:M444"/>
    <mergeCell ref="N444:O444"/>
    <mergeCell ref="P444:Q444"/>
    <mergeCell ref="R444:S444"/>
    <mergeCell ref="T442:U442"/>
    <mergeCell ref="A443:E443"/>
    <mergeCell ref="G443:J443"/>
    <mergeCell ref="L443:M443"/>
    <mergeCell ref="N443:O443"/>
    <mergeCell ref="P443:Q443"/>
    <mergeCell ref="R443:S443"/>
    <mergeCell ref="T443:U443"/>
    <mergeCell ref="A442:E442"/>
    <mergeCell ref="G442:J442"/>
    <mergeCell ref="L442:M442"/>
    <mergeCell ref="N442:O442"/>
    <mergeCell ref="P442:Q442"/>
    <mergeCell ref="R442:S442"/>
    <mergeCell ref="T448:U448"/>
    <mergeCell ref="A449:E449"/>
    <mergeCell ref="G449:J449"/>
    <mergeCell ref="L449:M449"/>
    <mergeCell ref="N449:O449"/>
    <mergeCell ref="P449:Q449"/>
    <mergeCell ref="R449:S449"/>
    <mergeCell ref="T449:U449"/>
    <mergeCell ref="A448:E448"/>
    <mergeCell ref="G448:J448"/>
    <mergeCell ref="L448:M448"/>
    <mergeCell ref="N448:O448"/>
    <mergeCell ref="P448:Q448"/>
    <mergeCell ref="R448:S448"/>
    <mergeCell ref="T446:U446"/>
    <mergeCell ref="A447:E447"/>
    <mergeCell ref="G447:J447"/>
    <mergeCell ref="L447:M447"/>
    <mergeCell ref="N447:O447"/>
    <mergeCell ref="P447:Q447"/>
    <mergeCell ref="R447:S447"/>
    <mergeCell ref="T447:U447"/>
    <mergeCell ref="A446:E446"/>
    <mergeCell ref="G446:J446"/>
    <mergeCell ref="L446:M446"/>
    <mergeCell ref="N446:O446"/>
    <mergeCell ref="P446:Q446"/>
    <mergeCell ref="R446:S446"/>
    <mergeCell ref="T452:U452"/>
    <mergeCell ref="A453:E453"/>
    <mergeCell ref="G453:J453"/>
    <mergeCell ref="L453:M453"/>
    <mergeCell ref="N453:O453"/>
    <mergeCell ref="P453:Q453"/>
    <mergeCell ref="R453:S453"/>
    <mergeCell ref="T453:U453"/>
    <mergeCell ref="A452:E452"/>
    <mergeCell ref="G452:J452"/>
    <mergeCell ref="L452:M452"/>
    <mergeCell ref="N452:O452"/>
    <mergeCell ref="P452:Q452"/>
    <mergeCell ref="R452:S452"/>
    <mergeCell ref="T450:U450"/>
    <mergeCell ref="A451:E451"/>
    <mergeCell ref="G451:J451"/>
    <mergeCell ref="L451:M451"/>
    <mergeCell ref="N451:O451"/>
    <mergeCell ref="P451:Q451"/>
    <mergeCell ref="R451:S451"/>
    <mergeCell ref="T451:U451"/>
    <mergeCell ref="A450:E450"/>
    <mergeCell ref="G450:J450"/>
    <mergeCell ref="L450:M450"/>
    <mergeCell ref="N450:O450"/>
    <mergeCell ref="P450:Q450"/>
    <mergeCell ref="R450:S450"/>
    <mergeCell ref="T456:U456"/>
    <mergeCell ref="A457:E457"/>
    <mergeCell ref="G457:J457"/>
    <mergeCell ref="L457:M457"/>
    <mergeCell ref="N457:O457"/>
    <mergeCell ref="P457:Q457"/>
    <mergeCell ref="R457:S457"/>
    <mergeCell ref="T457:U457"/>
    <mergeCell ref="A456:E456"/>
    <mergeCell ref="G456:J456"/>
    <mergeCell ref="L456:M456"/>
    <mergeCell ref="N456:O456"/>
    <mergeCell ref="P456:Q456"/>
    <mergeCell ref="R456:S456"/>
    <mergeCell ref="T454:U454"/>
    <mergeCell ref="A455:E455"/>
    <mergeCell ref="G455:J455"/>
    <mergeCell ref="L455:M455"/>
    <mergeCell ref="N455:O455"/>
    <mergeCell ref="P455:Q455"/>
    <mergeCell ref="R455:S455"/>
    <mergeCell ref="T455:U455"/>
    <mergeCell ref="A454:E454"/>
    <mergeCell ref="G454:J454"/>
    <mergeCell ref="L454:M454"/>
    <mergeCell ref="N454:O454"/>
    <mergeCell ref="P454:Q454"/>
    <mergeCell ref="R454:S454"/>
    <mergeCell ref="T460:U460"/>
    <mergeCell ref="A461:E461"/>
    <mergeCell ref="G461:J461"/>
    <mergeCell ref="L461:M461"/>
    <mergeCell ref="N461:O461"/>
    <mergeCell ref="P461:Q461"/>
    <mergeCell ref="R461:S461"/>
    <mergeCell ref="T461:U461"/>
    <mergeCell ref="A460:E460"/>
    <mergeCell ref="G460:J460"/>
    <mergeCell ref="L460:M460"/>
    <mergeCell ref="N460:O460"/>
    <mergeCell ref="P460:Q460"/>
    <mergeCell ref="R460:S460"/>
    <mergeCell ref="T458:U458"/>
    <mergeCell ref="A459:E459"/>
    <mergeCell ref="G459:J459"/>
    <mergeCell ref="L459:M459"/>
    <mergeCell ref="N459:O459"/>
    <mergeCell ref="P459:Q459"/>
    <mergeCell ref="R459:S459"/>
    <mergeCell ref="T459:U459"/>
    <mergeCell ref="A458:E458"/>
    <mergeCell ref="G458:J458"/>
    <mergeCell ref="L458:M458"/>
    <mergeCell ref="N458:O458"/>
    <mergeCell ref="P458:Q458"/>
    <mergeCell ref="R458:S458"/>
    <mergeCell ref="T464:U464"/>
    <mergeCell ref="A465:E465"/>
    <mergeCell ref="G465:J465"/>
    <mergeCell ref="L465:M465"/>
    <mergeCell ref="N465:O465"/>
    <mergeCell ref="P465:Q465"/>
    <mergeCell ref="R465:S465"/>
    <mergeCell ref="T465:U465"/>
    <mergeCell ref="A464:E464"/>
    <mergeCell ref="G464:J464"/>
    <mergeCell ref="L464:M464"/>
    <mergeCell ref="N464:O464"/>
    <mergeCell ref="P464:Q464"/>
    <mergeCell ref="R464:S464"/>
    <mergeCell ref="T462:U462"/>
    <mergeCell ref="A463:E463"/>
    <mergeCell ref="G463:J463"/>
    <mergeCell ref="L463:M463"/>
    <mergeCell ref="N463:O463"/>
    <mergeCell ref="P463:Q463"/>
    <mergeCell ref="R463:S463"/>
    <mergeCell ref="T463:U463"/>
    <mergeCell ref="A462:E462"/>
    <mergeCell ref="G462:J462"/>
    <mergeCell ref="L462:M462"/>
    <mergeCell ref="N462:O462"/>
    <mergeCell ref="P462:Q462"/>
    <mergeCell ref="R462:S462"/>
    <mergeCell ref="T468:U468"/>
    <mergeCell ref="A469:E469"/>
    <mergeCell ref="G469:J469"/>
    <mergeCell ref="L469:M469"/>
    <mergeCell ref="N469:O469"/>
    <mergeCell ref="P469:Q469"/>
    <mergeCell ref="R469:S469"/>
    <mergeCell ref="T469:U469"/>
    <mergeCell ref="A468:E468"/>
    <mergeCell ref="G468:J468"/>
    <mergeCell ref="L468:M468"/>
    <mergeCell ref="N468:O468"/>
    <mergeCell ref="P468:Q468"/>
    <mergeCell ref="R468:S468"/>
    <mergeCell ref="T466:U466"/>
    <mergeCell ref="A467:E467"/>
    <mergeCell ref="G467:J467"/>
    <mergeCell ref="L467:M467"/>
    <mergeCell ref="N467:O467"/>
    <mergeCell ref="P467:Q467"/>
    <mergeCell ref="R467:S467"/>
    <mergeCell ref="T467:U467"/>
    <mergeCell ref="A466:E466"/>
    <mergeCell ref="G466:J466"/>
    <mergeCell ref="L466:M466"/>
    <mergeCell ref="N466:O466"/>
    <mergeCell ref="P466:Q466"/>
    <mergeCell ref="R466:S466"/>
    <mergeCell ref="T472:U472"/>
    <mergeCell ref="A473:E473"/>
    <mergeCell ref="G473:J473"/>
    <mergeCell ref="L473:M473"/>
    <mergeCell ref="N473:O473"/>
    <mergeCell ref="P473:Q473"/>
    <mergeCell ref="R473:S473"/>
    <mergeCell ref="T473:U473"/>
    <mergeCell ref="A472:E472"/>
    <mergeCell ref="G472:J472"/>
    <mergeCell ref="L472:M472"/>
    <mergeCell ref="N472:O472"/>
    <mergeCell ref="P472:Q472"/>
    <mergeCell ref="R472:S472"/>
    <mergeCell ref="T470:U470"/>
    <mergeCell ref="A471:E471"/>
    <mergeCell ref="G471:J471"/>
    <mergeCell ref="L471:M471"/>
    <mergeCell ref="N471:O471"/>
    <mergeCell ref="P471:Q471"/>
    <mergeCell ref="R471:S471"/>
    <mergeCell ref="T471:U471"/>
    <mergeCell ref="A470:E470"/>
    <mergeCell ref="G470:J470"/>
    <mergeCell ref="L470:M470"/>
    <mergeCell ref="N470:O470"/>
    <mergeCell ref="P470:Q470"/>
    <mergeCell ref="R470:S470"/>
    <mergeCell ref="T476:U476"/>
    <mergeCell ref="A477:E477"/>
    <mergeCell ref="G477:J477"/>
    <mergeCell ref="L477:M477"/>
    <mergeCell ref="N477:O477"/>
    <mergeCell ref="P477:Q477"/>
    <mergeCell ref="R477:S477"/>
    <mergeCell ref="T477:U477"/>
    <mergeCell ref="A476:E476"/>
    <mergeCell ref="G476:J476"/>
    <mergeCell ref="L476:M476"/>
    <mergeCell ref="N476:O476"/>
    <mergeCell ref="P476:Q476"/>
    <mergeCell ref="R476:S476"/>
    <mergeCell ref="T474:U474"/>
    <mergeCell ref="A475:E475"/>
    <mergeCell ref="G475:J475"/>
    <mergeCell ref="L475:M475"/>
    <mergeCell ref="N475:O475"/>
    <mergeCell ref="P475:Q475"/>
    <mergeCell ref="R475:S475"/>
    <mergeCell ref="T475:U475"/>
    <mergeCell ref="A474:E474"/>
    <mergeCell ref="G474:J474"/>
    <mergeCell ref="L474:M474"/>
    <mergeCell ref="N474:O474"/>
    <mergeCell ref="P474:Q474"/>
    <mergeCell ref="R474:S474"/>
    <mergeCell ref="T480:U480"/>
    <mergeCell ref="A481:E481"/>
    <mergeCell ref="G481:J481"/>
    <mergeCell ref="L481:M481"/>
    <mergeCell ref="N481:O481"/>
    <mergeCell ref="P481:Q481"/>
    <mergeCell ref="R481:S481"/>
    <mergeCell ref="T481:U481"/>
    <mergeCell ref="A480:E480"/>
    <mergeCell ref="G480:J480"/>
    <mergeCell ref="L480:M480"/>
    <mergeCell ref="N480:O480"/>
    <mergeCell ref="P480:Q480"/>
    <mergeCell ref="R480:S480"/>
    <mergeCell ref="T478:U478"/>
    <mergeCell ref="A479:E479"/>
    <mergeCell ref="G479:J479"/>
    <mergeCell ref="L479:M479"/>
    <mergeCell ref="N479:O479"/>
    <mergeCell ref="P479:Q479"/>
    <mergeCell ref="R479:S479"/>
    <mergeCell ref="T479:U479"/>
    <mergeCell ref="A478:E478"/>
    <mergeCell ref="G478:J478"/>
    <mergeCell ref="L478:M478"/>
    <mergeCell ref="N478:O478"/>
    <mergeCell ref="P478:Q478"/>
    <mergeCell ref="R478:S478"/>
    <mergeCell ref="T484:U484"/>
    <mergeCell ref="A485:E485"/>
    <mergeCell ref="G485:J485"/>
    <mergeCell ref="L485:M485"/>
    <mergeCell ref="N485:O485"/>
    <mergeCell ref="P485:Q485"/>
    <mergeCell ref="R485:S485"/>
    <mergeCell ref="T485:U485"/>
    <mergeCell ref="A484:E484"/>
    <mergeCell ref="G484:J484"/>
    <mergeCell ref="L484:M484"/>
    <mergeCell ref="N484:O484"/>
    <mergeCell ref="P484:Q484"/>
    <mergeCell ref="R484:S484"/>
    <mergeCell ref="T482:U482"/>
    <mergeCell ref="A483:E483"/>
    <mergeCell ref="G483:J483"/>
    <mergeCell ref="L483:M483"/>
    <mergeCell ref="N483:O483"/>
    <mergeCell ref="P483:Q483"/>
    <mergeCell ref="R483:S483"/>
    <mergeCell ref="T483:U483"/>
    <mergeCell ref="A482:E482"/>
    <mergeCell ref="G482:J482"/>
    <mergeCell ref="L482:M482"/>
    <mergeCell ref="N482:O482"/>
    <mergeCell ref="P482:Q482"/>
    <mergeCell ref="R482:S482"/>
    <mergeCell ref="T488:U488"/>
    <mergeCell ref="A489:E489"/>
    <mergeCell ref="G489:J489"/>
    <mergeCell ref="L489:M489"/>
    <mergeCell ref="N489:O489"/>
    <mergeCell ref="P489:Q489"/>
    <mergeCell ref="R489:S489"/>
    <mergeCell ref="T489:U489"/>
    <mergeCell ref="A488:E488"/>
    <mergeCell ref="G488:J488"/>
    <mergeCell ref="L488:M488"/>
    <mergeCell ref="N488:O488"/>
    <mergeCell ref="P488:Q488"/>
    <mergeCell ref="R488:S488"/>
    <mergeCell ref="T486:U486"/>
    <mergeCell ref="A487:E487"/>
    <mergeCell ref="G487:J487"/>
    <mergeCell ref="L487:M487"/>
    <mergeCell ref="N487:O487"/>
    <mergeCell ref="P487:Q487"/>
    <mergeCell ref="R487:S487"/>
    <mergeCell ref="T487:U487"/>
    <mergeCell ref="A486:E486"/>
    <mergeCell ref="G486:J486"/>
    <mergeCell ref="L486:M486"/>
    <mergeCell ref="N486:O486"/>
    <mergeCell ref="P486:Q486"/>
    <mergeCell ref="R486:S486"/>
    <mergeCell ref="T492:U492"/>
    <mergeCell ref="A493:E493"/>
    <mergeCell ref="G493:J493"/>
    <mergeCell ref="L493:M493"/>
    <mergeCell ref="N493:O493"/>
    <mergeCell ref="P493:Q493"/>
    <mergeCell ref="R493:S493"/>
    <mergeCell ref="T493:U493"/>
    <mergeCell ref="A492:E492"/>
    <mergeCell ref="G492:J492"/>
    <mergeCell ref="L492:M492"/>
    <mergeCell ref="N492:O492"/>
    <mergeCell ref="P492:Q492"/>
    <mergeCell ref="R492:S492"/>
    <mergeCell ref="T490:U490"/>
    <mergeCell ref="A491:E491"/>
    <mergeCell ref="G491:J491"/>
    <mergeCell ref="L491:M491"/>
    <mergeCell ref="N491:O491"/>
    <mergeCell ref="P491:Q491"/>
    <mergeCell ref="R491:S491"/>
    <mergeCell ref="T491:U491"/>
    <mergeCell ref="A490:E490"/>
    <mergeCell ref="G490:J490"/>
    <mergeCell ref="L490:M490"/>
    <mergeCell ref="N490:O490"/>
    <mergeCell ref="P490:Q490"/>
    <mergeCell ref="R490:S490"/>
    <mergeCell ref="T496:U496"/>
    <mergeCell ref="A497:E497"/>
    <mergeCell ref="G497:J497"/>
    <mergeCell ref="L497:M497"/>
    <mergeCell ref="N497:O497"/>
    <mergeCell ref="P497:Q497"/>
    <mergeCell ref="R497:S497"/>
    <mergeCell ref="T497:U497"/>
    <mergeCell ref="A496:E496"/>
    <mergeCell ref="G496:J496"/>
    <mergeCell ref="L496:M496"/>
    <mergeCell ref="N496:O496"/>
    <mergeCell ref="P496:Q496"/>
    <mergeCell ref="R496:S496"/>
    <mergeCell ref="T494:U494"/>
    <mergeCell ref="A495:E495"/>
    <mergeCell ref="G495:J495"/>
    <mergeCell ref="L495:M495"/>
    <mergeCell ref="N495:O495"/>
    <mergeCell ref="P495:Q495"/>
    <mergeCell ref="R495:S495"/>
    <mergeCell ref="T495:U495"/>
    <mergeCell ref="A494:E494"/>
    <mergeCell ref="G494:J494"/>
    <mergeCell ref="L494:M494"/>
    <mergeCell ref="N494:O494"/>
    <mergeCell ref="P494:Q494"/>
    <mergeCell ref="R494:S494"/>
    <mergeCell ref="T500:U500"/>
    <mergeCell ref="A501:E501"/>
    <mergeCell ref="G501:J501"/>
    <mergeCell ref="L501:M501"/>
    <mergeCell ref="N501:O501"/>
    <mergeCell ref="P501:Q501"/>
    <mergeCell ref="R501:S501"/>
    <mergeCell ref="T501:U501"/>
    <mergeCell ref="A500:E500"/>
    <mergeCell ref="G500:J500"/>
    <mergeCell ref="L500:M500"/>
    <mergeCell ref="N500:O500"/>
    <mergeCell ref="P500:Q500"/>
    <mergeCell ref="R500:S500"/>
    <mergeCell ref="T498:U498"/>
    <mergeCell ref="A499:E499"/>
    <mergeCell ref="G499:J499"/>
    <mergeCell ref="L499:M499"/>
    <mergeCell ref="N499:O499"/>
    <mergeCell ref="P499:Q499"/>
    <mergeCell ref="R499:S499"/>
    <mergeCell ref="T499:U499"/>
    <mergeCell ref="A498:E498"/>
    <mergeCell ref="G498:J498"/>
    <mergeCell ref="L498:M498"/>
    <mergeCell ref="N498:O498"/>
    <mergeCell ref="P498:Q498"/>
    <mergeCell ref="R498:S498"/>
    <mergeCell ref="T504:U504"/>
    <mergeCell ref="A505:E505"/>
    <mergeCell ref="G505:J505"/>
    <mergeCell ref="L505:M505"/>
    <mergeCell ref="N505:O505"/>
    <mergeCell ref="P505:Q505"/>
    <mergeCell ref="R505:S505"/>
    <mergeCell ref="T505:U505"/>
    <mergeCell ref="A504:E504"/>
    <mergeCell ref="G504:J504"/>
    <mergeCell ref="L504:M504"/>
    <mergeCell ref="N504:O504"/>
    <mergeCell ref="P504:Q504"/>
    <mergeCell ref="R504:S504"/>
    <mergeCell ref="T502:U502"/>
    <mergeCell ref="A503:E503"/>
    <mergeCell ref="G503:J503"/>
    <mergeCell ref="L503:M503"/>
    <mergeCell ref="N503:O503"/>
    <mergeCell ref="P503:Q503"/>
    <mergeCell ref="R503:S503"/>
    <mergeCell ref="T503:U503"/>
    <mergeCell ref="A502:E502"/>
    <mergeCell ref="G502:J502"/>
    <mergeCell ref="L502:M502"/>
    <mergeCell ref="N502:O502"/>
    <mergeCell ref="P502:Q502"/>
    <mergeCell ref="R502:S502"/>
    <mergeCell ref="T508:U508"/>
    <mergeCell ref="A509:E509"/>
    <mergeCell ref="G509:J509"/>
    <mergeCell ref="L509:M509"/>
    <mergeCell ref="N509:O509"/>
    <mergeCell ref="P509:Q509"/>
    <mergeCell ref="R509:S509"/>
    <mergeCell ref="T509:U509"/>
    <mergeCell ref="A508:E508"/>
    <mergeCell ref="G508:J508"/>
    <mergeCell ref="L508:M508"/>
    <mergeCell ref="N508:O508"/>
    <mergeCell ref="P508:Q508"/>
    <mergeCell ref="R508:S508"/>
    <mergeCell ref="T506:U506"/>
    <mergeCell ref="A507:E507"/>
    <mergeCell ref="G507:J507"/>
    <mergeCell ref="L507:M507"/>
    <mergeCell ref="N507:O507"/>
    <mergeCell ref="P507:Q507"/>
    <mergeCell ref="R507:S507"/>
    <mergeCell ref="T507:U507"/>
    <mergeCell ref="A506:E506"/>
    <mergeCell ref="G506:J506"/>
    <mergeCell ref="L506:M506"/>
    <mergeCell ref="N506:O506"/>
    <mergeCell ref="P506:Q506"/>
    <mergeCell ref="R506:S506"/>
    <mergeCell ref="T512:U512"/>
    <mergeCell ref="A513:E513"/>
    <mergeCell ref="G513:J513"/>
    <mergeCell ref="L513:M513"/>
    <mergeCell ref="N513:O513"/>
    <mergeCell ref="P513:Q513"/>
    <mergeCell ref="R513:S513"/>
    <mergeCell ref="T513:U513"/>
    <mergeCell ref="A512:E512"/>
    <mergeCell ref="G512:J512"/>
    <mergeCell ref="L512:M512"/>
    <mergeCell ref="N512:O512"/>
    <mergeCell ref="P512:Q512"/>
    <mergeCell ref="R512:S512"/>
    <mergeCell ref="T510:U510"/>
    <mergeCell ref="A511:E511"/>
    <mergeCell ref="G511:J511"/>
    <mergeCell ref="L511:M511"/>
    <mergeCell ref="N511:O511"/>
    <mergeCell ref="P511:Q511"/>
    <mergeCell ref="R511:S511"/>
    <mergeCell ref="T511:U511"/>
    <mergeCell ref="A510:E510"/>
    <mergeCell ref="G510:J510"/>
    <mergeCell ref="L510:M510"/>
    <mergeCell ref="N510:O510"/>
    <mergeCell ref="P510:Q510"/>
    <mergeCell ref="R510:S510"/>
    <mergeCell ref="T516:U516"/>
    <mergeCell ref="A517:E517"/>
    <mergeCell ref="G517:J517"/>
    <mergeCell ref="L517:M517"/>
    <mergeCell ref="N517:O517"/>
    <mergeCell ref="P517:Q517"/>
    <mergeCell ref="R517:S517"/>
    <mergeCell ref="T517:U517"/>
    <mergeCell ref="A516:E516"/>
    <mergeCell ref="G516:J516"/>
    <mergeCell ref="L516:M516"/>
    <mergeCell ref="N516:O516"/>
    <mergeCell ref="P516:Q516"/>
    <mergeCell ref="R516:S516"/>
    <mergeCell ref="T514:U514"/>
    <mergeCell ref="A515:E515"/>
    <mergeCell ref="G515:J515"/>
    <mergeCell ref="L515:M515"/>
    <mergeCell ref="N515:O515"/>
    <mergeCell ref="P515:Q515"/>
    <mergeCell ref="R515:S515"/>
    <mergeCell ref="T515:U515"/>
    <mergeCell ref="A514:E514"/>
    <mergeCell ref="G514:J514"/>
    <mergeCell ref="L514:M514"/>
    <mergeCell ref="N514:O514"/>
    <mergeCell ref="P514:Q514"/>
    <mergeCell ref="R514:S514"/>
    <mergeCell ref="T520:U520"/>
    <mergeCell ref="A521:E521"/>
    <mergeCell ref="G521:J521"/>
    <mergeCell ref="L521:M521"/>
    <mergeCell ref="N521:O521"/>
    <mergeCell ref="P521:Q521"/>
    <mergeCell ref="R521:S521"/>
    <mergeCell ref="T521:U521"/>
    <mergeCell ref="A520:E520"/>
    <mergeCell ref="G520:J520"/>
    <mergeCell ref="L520:M520"/>
    <mergeCell ref="N520:O520"/>
    <mergeCell ref="P520:Q520"/>
    <mergeCell ref="R520:S520"/>
    <mergeCell ref="T518:U518"/>
    <mergeCell ref="A519:E519"/>
    <mergeCell ref="G519:J519"/>
    <mergeCell ref="L519:M519"/>
    <mergeCell ref="N519:O519"/>
    <mergeCell ref="P519:Q519"/>
    <mergeCell ref="R519:S519"/>
    <mergeCell ref="T519:U519"/>
    <mergeCell ref="A518:E518"/>
    <mergeCell ref="G518:J518"/>
    <mergeCell ref="L518:M518"/>
    <mergeCell ref="N518:O518"/>
    <mergeCell ref="P518:Q518"/>
    <mergeCell ref="R518:S518"/>
    <mergeCell ref="T524:U524"/>
    <mergeCell ref="A525:E525"/>
    <mergeCell ref="G525:J525"/>
    <mergeCell ref="L525:M525"/>
    <mergeCell ref="N525:O525"/>
    <mergeCell ref="P525:Q525"/>
    <mergeCell ref="R525:S525"/>
    <mergeCell ref="T525:U525"/>
    <mergeCell ref="A524:E524"/>
    <mergeCell ref="G524:J524"/>
    <mergeCell ref="L524:M524"/>
    <mergeCell ref="N524:O524"/>
    <mergeCell ref="P524:Q524"/>
    <mergeCell ref="R524:S524"/>
    <mergeCell ref="T522:U522"/>
    <mergeCell ref="A523:E523"/>
    <mergeCell ref="G523:J523"/>
    <mergeCell ref="L523:M523"/>
    <mergeCell ref="N523:O523"/>
    <mergeCell ref="P523:Q523"/>
    <mergeCell ref="R523:S523"/>
    <mergeCell ref="T523:U523"/>
    <mergeCell ref="A522:E522"/>
    <mergeCell ref="G522:J522"/>
    <mergeCell ref="L522:M522"/>
    <mergeCell ref="N522:O522"/>
    <mergeCell ref="P522:Q522"/>
    <mergeCell ref="R522:S522"/>
    <mergeCell ref="T528:U528"/>
    <mergeCell ref="A529:E529"/>
    <mergeCell ref="G529:J529"/>
    <mergeCell ref="L529:M529"/>
    <mergeCell ref="N529:O529"/>
    <mergeCell ref="P529:Q529"/>
    <mergeCell ref="R529:S529"/>
    <mergeCell ref="T529:U529"/>
    <mergeCell ref="A528:E528"/>
    <mergeCell ref="G528:J528"/>
    <mergeCell ref="L528:M528"/>
    <mergeCell ref="N528:O528"/>
    <mergeCell ref="P528:Q528"/>
    <mergeCell ref="R528:S528"/>
    <mergeCell ref="T526:U526"/>
    <mergeCell ref="A527:E527"/>
    <mergeCell ref="G527:J527"/>
    <mergeCell ref="L527:M527"/>
    <mergeCell ref="N527:O527"/>
    <mergeCell ref="P527:Q527"/>
    <mergeCell ref="R527:S527"/>
    <mergeCell ref="T527:U527"/>
    <mergeCell ref="A526:E526"/>
    <mergeCell ref="G526:J526"/>
    <mergeCell ref="L526:M526"/>
    <mergeCell ref="N526:O526"/>
    <mergeCell ref="P526:Q526"/>
    <mergeCell ref="R526:S526"/>
    <mergeCell ref="T532:U532"/>
    <mergeCell ref="A533:E533"/>
    <mergeCell ref="G533:J533"/>
    <mergeCell ref="L533:M533"/>
    <mergeCell ref="N533:O533"/>
    <mergeCell ref="P533:Q533"/>
    <mergeCell ref="R533:S533"/>
    <mergeCell ref="T533:U533"/>
    <mergeCell ref="A532:E532"/>
    <mergeCell ref="G532:J532"/>
    <mergeCell ref="L532:M532"/>
    <mergeCell ref="N532:O532"/>
    <mergeCell ref="P532:Q532"/>
    <mergeCell ref="R532:S532"/>
    <mergeCell ref="T530:U530"/>
    <mergeCell ref="A531:E531"/>
    <mergeCell ref="G531:J531"/>
    <mergeCell ref="L531:M531"/>
    <mergeCell ref="N531:O531"/>
    <mergeCell ref="P531:Q531"/>
    <mergeCell ref="R531:S531"/>
    <mergeCell ref="T531:U531"/>
    <mergeCell ref="A530:E530"/>
    <mergeCell ref="G530:J530"/>
    <mergeCell ref="L530:M530"/>
    <mergeCell ref="N530:O530"/>
    <mergeCell ref="P530:Q530"/>
    <mergeCell ref="R530:S530"/>
    <mergeCell ref="T536:U536"/>
    <mergeCell ref="A537:E537"/>
    <mergeCell ref="G537:J537"/>
    <mergeCell ref="L537:M537"/>
    <mergeCell ref="N537:O537"/>
    <mergeCell ref="P537:Q537"/>
    <mergeCell ref="R537:S537"/>
    <mergeCell ref="T537:U537"/>
    <mergeCell ref="A536:E536"/>
    <mergeCell ref="G536:J536"/>
    <mergeCell ref="L536:M536"/>
    <mergeCell ref="N536:O536"/>
    <mergeCell ref="P536:Q536"/>
    <mergeCell ref="R536:S536"/>
    <mergeCell ref="T534:U534"/>
    <mergeCell ref="A535:E535"/>
    <mergeCell ref="G535:J535"/>
    <mergeCell ref="L535:M535"/>
    <mergeCell ref="N535:O535"/>
    <mergeCell ref="P535:Q535"/>
    <mergeCell ref="R535:S535"/>
    <mergeCell ref="T535:U535"/>
    <mergeCell ref="A534:E534"/>
    <mergeCell ref="G534:J534"/>
    <mergeCell ref="L534:M534"/>
    <mergeCell ref="N534:O534"/>
    <mergeCell ref="P534:Q534"/>
    <mergeCell ref="R534:S534"/>
    <mergeCell ref="T540:U540"/>
    <mergeCell ref="A541:E541"/>
    <mergeCell ref="G541:J541"/>
    <mergeCell ref="L541:M541"/>
    <mergeCell ref="N541:O541"/>
    <mergeCell ref="P541:Q541"/>
    <mergeCell ref="R541:S541"/>
    <mergeCell ref="T541:U541"/>
    <mergeCell ref="A540:E540"/>
    <mergeCell ref="G540:J540"/>
    <mergeCell ref="L540:M540"/>
    <mergeCell ref="N540:O540"/>
    <mergeCell ref="P540:Q540"/>
    <mergeCell ref="R540:S540"/>
    <mergeCell ref="T538:U538"/>
    <mergeCell ref="A539:E539"/>
    <mergeCell ref="G539:J539"/>
    <mergeCell ref="L539:M539"/>
    <mergeCell ref="N539:O539"/>
    <mergeCell ref="P539:Q539"/>
    <mergeCell ref="R539:S539"/>
    <mergeCell ref="T539:U539"/>
    <mergeCell ref="A538:E538"/>
    <mergeCell ref="G538:J538"/>
    <mergeCell ref="L538:M538"/>
    <mergeCell ref="N538:O538"/>
    <mergeCell ref="P538:Q538"/>
    <mergeCell ref="R538:S538"/>
    <mergeCell ref="T544:U544"/>
    <mergeCell ref="A545:E545"/>
    <mergeCell ref="G545:J545"/>
    <mergeCell ref="L545:M545"/>
    <mergeCell ref="N545:O545"/>
    <mergeCell ref="P545:Q545"/>
    <mergeCell ref="R545:S545"/>
    <mergeCell ref="T545:U545"/>
    <mergeCell ref="A544:E544"/>
    <mergeCell ref="G544:J544"/>
    <mergeCell ref="L544:M544"/>
    <mergeCell ref="N544:O544"/>
    <mergeCell ref="P544:Q544"/>
    <mergeCell ref="R544:S544"/>
    <mergeCell ref="T542:U542"/>
    <mergeCell ref="A543:E543"/>
    <mergeCell ref="G543:J543"/>
    <mergeCell ref="L543:M543"/>
    <mergeCell ref="N543:O543"/>
    <mergeCell ref="P543:Q543"/>
    <mergeCell ref="R543:S543"/>
    <mergeCell ref="T543:U543"/>
    <mergeCell ref="A542:E542"/>
    <mergeCell ref="G542:J542"/>
    <mergeCell ref="L542:M542"/>
    <mergeCell ref="N542:O542"/>
    <mergeCell ref="P542:Q542"/>
    <mergeCell ref="R542:S542"/>
    <mergeCell ref="T548:U548"/>
    <mergeCell ref="A549:E549"/>
    <mergeCell ref="G549:J549"/>
    <mergeCell ref="L549:M549"/>
    <mergeCell ref="N549:O549"/>
    <mergeCell ref="P549:Q549"/>
    <mergeCell ref="R549:S549"/>
    <mergeCell ref="T549:U549"/>
    <mergeCell ref="A548:E548"/>
    <mergeCell ref="G548:J548"/>
    <mergeCell ref="L548:M548"/>
    <mergeCell ref="N548:O548"/>
    <mergeCell ref="P548:Q548"/>
    <mergeCell ref="R548:S548"/>
    <mergeCell ref="T546:U546"/>
    <mergeCell ref="A547:E547"/>
    <mergeCell ref="G547:J547"/>
    <mergeCell ref="L547:M547"/>
    <mergeCell ref="N547:O547"/>
    <mergeCell ref="P547:Q547"/>
    <mergeCell ref="R547:S547"/>
    <mergeCell ref="T547:U547"/>
    <mergeCell ref="A546:E546"/>
    <mergeCell ref="G546:J546"/>
    <mergeCell ref="L546:M546"/>
    <mergeCell ref="N546:O546"/>
    <mergeCell ref="P546:Q546"/>
    <mergeCell ref="R546:S546"/>
    <mergeCell ref="T552:U552"/>
    <mergeCell ref="A553:E553"/>
    <mergeCell ref="G553:J553"/>
    <mergeCell ref="L553:M553"/>
    <mergeCell ref="N553:O553"/>
    <mergeCell ref="P553:Q553"/>
    <mergeCell ref="R553:S553"/>
    <mergeCell ref="T553:U553"/>
    <mergeCell ref="A552:E552"/>
    <mergeCell ref="G552:J552"/>
    <mergeCell ref="L552:M552"/>
    <mergeCell ref="N552:O552"/>
    <mergeCell ref="P552:Q552"/>
    <mergeCell ref="R552:S552"/>
    <mergeCell ref="T550:U550"/>
    <mergeCell ref="A551:E551"/>
    <mergeCell ref="G551:J551"/>
    <mergeCell ref="L551:M551"/>
    <mergeCell ref="N551:O551"/>
    <mergeCell ref="P551:Q551"/>
    <mergeCell ref="R551:S551"/>
    <mergeCell ref="T551:U551"/>
    <mergeCell ref="A550:E550"/>
    <mergeCell ref="G550:J550"/>
    <mergeCell ref="L550:M550"/>
    <mergeCell ref="N550:O550"/>
    <mergeCell ref="P550:Q550"/>
    <mergeCell ref="R550:S550"/>
    <mergeCell ref="T556:U556"/>
    <mergeCell ref="A557:E557"/>
    <mergeCell ref="G557:J557"/>
    <mergeCell ref="L557:M557"/>
    <mergeCell ref="N557:O557"/>
    <mergeCell ref="P557:Q557"/>
    <mergeCell ref="R557:S557"/>
    <mergeCell ref="T557:U557"/>
    <mergeCell ref="A556:E556"/>
    <mergeCell ref="G556:J556"/>
    <mergeCell ref="L556:M556"/>
    <mergeCell ref="N556:O556"/>
    <mergeCell ref="P556:Q556"/>
    <mergeCell ref="R556:S556"/>
    <mergeCell ref="T554:U554"/>
    <mergeCell ref="A555:E555"/>
    <mergeCell ref="G555:J555"/>
    <mergeCell ref="L555:M555"/>
    <mergeCell ref="N555:O555"/>
    <mergeCell ref="P555:Q555"/>
    <mergeCell ref="R555:S555"/>
    <mergeCell ref="T555:U555"/>
    <mergeCell ref="A554:E554"/>
    <mergeCell ref="G554:J554"/>
    <mergeCell ref="L554:M554"/>
    <mergeCell ref="N554:O554"/>
    <mergeCell ref="P554:Q554"/>
    <mergeCell ref="R554:S554"/>
    <mergeCell ref="T560:U560"/>
    <mergeCell ref="A561:E561"/>
    <mergeCell ref="G561:J561"/>
    <mergeCell ref="L561:M561"/>
    <mergeCell ref="N561:O561"/>
    <mergeCell ref="P561:Q561"/>
    <mergeCell ref="R561:S561"/>
    <mergeCell ref="T561:U561"/>
    <mergeCell ref="A560:E560"/>
    <mergeCell ref="G560:J560"/>
    <mergeCell ref="L560:M560"/>
    <mergeCell ref="N560:O560"/>
    <mergeCell ref="P560:Q560"/>
    <mergeCell ref="R560:S560"/>
    <mergeCell ref="T558:U558"/>
    <mergeCell ref="A559:E559"/>
    <mergeCell ref="G559:J559"/>
    <mergeCell ref="L559:M559"/>
    <mergeCell ref="N559:O559"/>
    <mergeCell ref="P559:Q559"/>
    <mergeCell ref="R559:S559"/>
    <mergeCell ref="T559:U559"/>
    <mergeCell ref="A558:E558"/>
    <mergeCell ref="G558:J558"/>
    <mergeCell ref="L558:M558"/>
    <mergeCell ref="N558:O558"/>
    <mergeCell ref="P558:Q558"/>
    <mergeCell ref="R558:S558"/>
    <mergeCell ref="T564:U564"/>
    <mergeCell ref="A565:E565"/>
    <mergeCell ref="G565:J565"/>
    <mergeCell ref="L565:M565"/>
    <mergeCell ref="N565:O565"/>
    <mergeCell ref="P565:Q565"/>
    <mergeCell ref="R565:S565"/>
    <mergeCell ref="T565:U565"/>
    <mergeCell ref="A564:E564"/>
    <mergeCell ref="G564:J564"/>
    <mergeCell ref="L564:M564"/>
    <mergeCell ref="N564:O564"/>
    <mergeCell ref="P564:Q564"/>
    <mergeCell ref="R564:S564"/>
    <mergeCell ref="T562:U562"/>
    <mergeCell ref="A563:E563"/>
    <mergeCell ref="G563:J563"/>
    <mergeCell ref="L563:M563"/>
    <mergeCell ref="N563:O563"/>
    <mergeCell ref="P563:Q563"/>
    <mergeCell ref="R563:S563"/>
    <mergeCell ref="T563:U563"/>
    <mergeCell ref="A562:E562"/>
    <mergeCell ref="G562:J562"/>
    <mergeCell ref="L562:M562"/>
    <mergeCell ref="N562:O562"/>
    <mergeCell ref="P562:Q562"/>
    <mergeCell ref="R562:S562"/>
    <mergeCell ref="T568:U568"/>
    <mergeCell ref="A569:E569"/>
    <mergeCell ref="G569:J569"/>
    <mergeCell ref="L569:M569"/>
    <mergeCell ref="N569:O569"/>
    <mergeCell ref="P569:Q569"/>
    <mergeCell ref="R569:S569"/>
    <mergeCell ref="T569:U569"/>
    <mergeCell ref="A568:E568"/>
    <mergeCell ref="G568:J568"/>
    <mergeCell ref="L568:M568"/>
    <mergeCell ref="N568:O568"/>
    <mergeCell ref="P568:Q568"/>
    <mergeCell ref="R568:S568"/>
    <mergeCell ref="T566:U566"/>
    <mergeCell ref="A567:E567"/>
    <mergeCell ref="G567:J567"/>
    <mergeCell ref="L567:M567"/>
    <mergeCell ref="N567:O567"/>
    <mergeCell ref="P567:Q567"/>
    <mergeCell ref="R567:S567"/>
    <mergeCell ref="T567:U567"/>
    <mergeCell ref="A566:E566"/>
    <mergeCell ref="G566:J566"/>
    <mergeCell ref="L566:M566"/>
    <mergeCell ref="N566:O566"/>
    <mergeCell ref="P566:Q566"/>
    <mergeCell ref="R566:S566"/>
    <mergeCell ref="T572:U572"/>
    <mergeCell ref="A573:E573"/>
    <mergeCell ref="G573:J573"/>
    <mergeCell ref="L573:M573"/>
    <mergeCell ref="N573:O573"/>
    <mergeCell ref="P573:Q573"/>
    <mergeCell ref="R573:S573"/>
    <mergeCell ref="T573:U573"/>
    <mergeCell ref="A572:E572"/>
    <mergeCell ref="G572:J572"/>
    <mergeCell ref="L572:M572"/>
    <mergeCell ref="N572:O572"/>
    <mergeCell ref="P572:Q572"/>
    <mergeCell ref="R572:S572"/>
    <mergeCell ref="T570:U570"/>
    <mergeCell ref="A571:E571"/>
    <mergeCell ref="G571:J571"/>
    <mergeCell ref="L571:M571"/>
    <mergeCell ref="N571:O571"/>
    <mergeCell ref="P571:Q571"/>
    <mergeCell ref="R571:S571"/>
    <mergeCell ref="T571:U571"/>
    <mergeCell ref="A570:E570"/>
    <mergeCell ref="G570:J570"/>
    <mergeCell ref="L570:M570"/>
    <mergeCell ref="N570:O570"/>
    <mergeCell ref="P570:Q570"/>
    <mergeCell ref="R570:S570"/>
    <mergeCell ref="T576:U576"/>
    <mergeCell ref="A577:E577"/>
    <mergeCell ref="G577:J577"/>
    <mergeCell ref="L577:M577"/>
    <mergeCell ref="N577:O577"/>
    <mergeCell ref="P577:Q577"/>
    <mergeCell ref="R577:S577"/>
    <mergeCell ref="T577:U577"/>
    <mergeCell ref="A576:E576"/>
    <mergeCell ref="G576:J576"/>
    <mergeCell ref="L576:M576"/>
    <mergeCell ref="N576:O576"/>
    <mergeCell ref="P576:Q576"/>
    <mergeCell ref="R576:S576"/>
    <mergeCell ref="T574:U574"/>
    <mergeCell ref="A575:E575"/>
    <mergeCell ref="G575:J575"/>
    <mergeCell ref="L575:M575"/>
    <mergeCell ref="N575:O575"/>
    <mergeCell ref="P575:Q575"/>
    <mergeCell ref="R575:S575"/>
    <mergeCell ref="T575:U575"/>
    <mergeCell ref="A574:E574"/>
    <mergeCell ref="G574:J574"/>
    <mergeCell ref="L574:M574"/>
    <mergeCell ref="N574:O574"/>
    <mergeCell ref="P574:Q574"/>
    <mergeCell ref="R574:S574"/>
    <mergeCell ref="T580:U580"/>
    <mergeCell ref="A582:I582"/>
    <mergeCell ref="L582:M582"/>
    <mergeCell ref="N582:O582"/>
    <mergeCell ref="P582:Q582"/>
    <mergeCell ref="R582:S582"/>
    <mergeCell ref="T582:U582"/>
    <mergeCell ref="A580:E580"/>
    <mergeCell ref="G580:J580"/>
    <mergeCell ref="L580:M580"/>
    <mergeCell ref="N580:O580"/>
    <mergeCell ref="P580:Q580"/>
    <mergeCell ref="R580:S580"/>
    <mergeCell ref="T578:U578"/>
    <mergeCell ref="A579:E579"/>
    <mergeCell ref="G579:J579"/>
    <mergeCell ref="L579:M579"/>
    <mergeCell ref="N579:O579"/>
    <mergeCell ref="P579:Q579"/>
    <mergeCell ref="R579:S579"/>
    <mergeCell ref="T579:U579"/>
    <mergeCell ref="A578:E578"/>
    <mergeCell ref="G578:J578"/>
    <mergeCell ref="L578:M578"/>
    <mergeCell ref="N578:O578"/>
    <mergeCell ref="P578:Q578"/>
    <mergeCell ref="R578:S578"/>
    <mergeCell ref="T585:U585"/>
    <mergeCell ref="A586:E586"/>
    <mergeCell ref="G586:J586"/>
    <mergeCell ref="L586:M586"/>
    <mergeCell ref="N586:O586"/>
    <mergeCell ref="P586:Q586"/>
    <mergeCell ref="R586:S586"/>
    <mergeCell ref="T586:U586"/>
    <mergeCell ref="A585:E585"/>
    <mergeCell ref="G585:J585"/>
    <mergeCell ref="L585:M585"/>
    <mergeCell ref="N585:O585"/>
    <mergeCell ref="P585:Q585"/>
    <mergeCell ref="R585:S585"/>
    <mergeCell ref="B583:V583"/>
    <mergeCell ref="A584:E584"/>
    <mergeCell ref="G584:J584"/>
    <mergeCell ref="L584:M584"/>
    <mergeCell ref="N584:O584"/>
    <mergeCell ref="P584:Q584"/>
    <mergeCell ref="R584:S584"/>
    <mergeCell ref="T584:U584"/>
    <mergeCell ref="T589:U589"/>
    <mergeCell ref="A590:E590"/>
    <mergeCell ref="G590:J590"/>
    <mergeCell ref="L590:M590"/>
    <mergeCell ref="N590:O590"/>
    <mergeCell ref="P590:Q590"/>
    <mergeCell ref="R590:S590"/>
    <mergeCell ref="T590:U590"/>
    <mergeCell ref="A589:E589"/>
    <mergeCell ref="G589:J589"/>
    <mergeCell ref="L589:M589"/>
    <mergeCell ref="N589:O589"/>
    <mergeCell ref="P589:Q589"/>
    <mergeCell ref="R589:S589"/>
    <mergeCell ref="T587:U587"/>
    <mergeCell ref="A588:E588"/>
    <mergeCell ref="G588:J588"/>
    <mergeCell ref="L588:M588"/>
    <mergeCell ref="N588:O588"/>
    <mergeCell ref="P588:Q588"/>
    <mergeCell ref="R588:S588"/>
    <mergeCell ref="T588:U588"/>
    <mergeCell ref="A587:E587"/>
    <mergeCell ref="G587:J587"/>
    <mergeCell ref="L587:M587"/>
    <mergeCell ref="N587:O587"/>
    <mergeCell ref="P587:Q587"/>
    <mergeCell ref="R587:S587"/>
    <mergeCell ref="T593:U593"/>
    <mergeCell ref="A594:E594"/>
    <mergeCell ref="G594:J594"/>
    <mergeCell ref="L594:M594"/>
    <mergeCell ref="N594:O594"/>
    <mergeCell ref="P594:Q594"/>
    <mergeCell ref="R594:S594"/>
    <mergeCell ref="T594:U594"/>
    <mergeCell ref="A593:E593"/>
    <mergeCell ref="G593:J593"/>
    <mergeCell ref="L593:M593"/>
    <mergeCell ref="N593:O593"/>
    <mergeCell ref="P593:Q593"/>
    <mergeCell ref="R593:S593"/>
    <mergeCell ref="T591:U591"/>
    <mergeCell ref="A592:E592"/>
    <mergeCell ref="G592:J592"/>
    <mergeCell ref="L592:M592"/>
    <mergeCell ref="N592:O592"/>
    <mergeCell ref="P592:Q592"/>
    <mergeCell ref="R592:S592"/>
    <mergeCell ref="T592:U592"/>
    <mergeCell ref="A591:E591"/>
    <mergeCell ref="G591:J591"/>
    <mergeCell ref="L591:M591"/>
    <mergeCell ref="N591:O591"/>
    <mergeCell ref="P591:Q591"/>
    <mergeCell ref="R591:S591"/>
    <mergeCell ref="T597:U597"/>
    <mergeCell ref="A598:E598"/>
    <mergeCell ref="G598:J598"/>
    <mergeCell ref="L598:M598"/>
    <mergeCell ref="N598:O598"/>
    <mergeCell ref="P598:Q598"/>
    <mergeCell ref="R598:S598"/>
    <mergeCell ref="T598:U598"/>
    <mergeCell ref="A597:E597"/>
    <mergeCell ref="G597:J597"/>
    <mergeCell ref="L597:M597"/>
    <mergeCell ref="N597:O597"/>
    <mergeCell ref="P597:Q597"/>
    <mergeCell ref="R597:S597"/>
    <mergeCell ref="T595:U595"/>
    <mergeCell ref="A596:E596"/>
    <mergeCell ref="G596:J596"/>
    <mergeCell ref="L596:M596"/>
    <mergeCell ref="N596:O596"/>
    <mergeCell ref="P596:Q596"/>
    <mergeCell ref="R596:S596"/>
    <mergeCell ref="T596:U596"/>
    <mergeCell ref="A595:E595"/>
    <mergeCell ref="G595:J595"/>
    <mergeCell ref="L595:M595"/>
    <mergeCell ref="N595:O595"/>
    <mergeCell ref="P595:Q595"/>
    <mergeCell ref="R595:S595"/>
    <mergeCell ref="T601:U601"/>
    <mergeCell ref="A602:E602"/>
    <mergeCell ref="G602:J602"/>
    <mergeCell ref="L602:M602"/>
    <mergeCell ref="N602:O602"/>
    <mergeCell ref="P602:Q602"/>
    <mergeCell ref="R602:S602"/>
    <mergeCell ref="T602:U602"/>
    <mergeCell ref="A601:E601"/>
    <mergeCell ref="G601:J601"/>
    <mergeCell ref="L601:M601"/>
    <mergeCell ref="N601:O601"/>
    <mergeCell ref="P601:Q601"/>
    <mergeCell ref="R601:S601"/>
    <mergeCell ref="T599:U599"/>
    <mergeCell ref="A600:E600"/>
    <mergeCell ref="G600:J600"/>
    <mergeCell ref="L600:M600"/>
    <mergeCell ref="N600:O600"/>
    <mergeCell ref="P600:Q600"/>
    <mergeCell ref="R600:S600"/>
    <mergeCell ref="T600:U600"/>
    <mergeCell ref="A599:E599"/>
    <mergeCell ref="G599:J599"/>
    <mergeCell ref="L599:M599"/>
    <mergeCell ref="N599:O599"/>
    <mergeCell ref="P599:Q599"/>
    <mergeCell ref="R599:S599"/>
    <mergeCell ref="T605:U605"/>
    <mergeCell ref="A606:E606"/>
    <mergeCell ref="G606:J606"/>
    <mergeCell ref="L606:M606"/>
    <mergeCell ref="N606:O606"/>
    <mergeCell ref="P606:Q606"/>
    <mergeCell ref="R606:S606"/>
    <mergeCell ref="T606:U606"/>
    <mergeCell ref="A605:E605"/>
    <mergeCell ref="G605:J605"/>
    <mergeCell ref="L605:M605"/>
    <mergeCell ref="N605:O605"/>
    <mergeCell ref="P605:Q605"/>
    <mergeCell ref="R605:S605"/>
    <mergeCell ref="T603:U603"/>
    <mergeCell ref="A604:E604"/>
    <mergeCell ref="G604:J604"/>
    <mergeCell ref="L604:M604"/>
    <mergeCell ref="N604:O604"/>
    <mergeCell ref="P604:Q604"/>
    <mergeCell ref="R604:S604"/>
    <mergeCell ref="T604:U604"/>
    <mergeCell ref="A603:E603"/>
    <mergeCell ref="G603:J603"/>
    <mergeCell ref="L603:M603"/>
    <mergeCell ref="N603:O603"/>
    <mergeCell ref="P603:Q603"/>
    <mergeCell ref="R603:S603"/>
    <mergeCell ref="T609:U609"/>
    <mergeCell ref="A610:E610"/>
    <mergeCell ref="G610:J610"/>
    <mergeCell ref="L610:M610"/>
    <mergeCell ref="N610:O610"/>
    <mergeCell ref="P610:Q610"/>
    <mergeCell ref="R610:S610"/>
    <mergeCell ref="T610:U610"/>
    <mergeCell ref="A609:E609"/>
    <mergeCell ref="G609:J609"/>
    <mergeCell ref="L609:M609"/>
    <mergeCell ref="N609:O609"/>
    <mergeCell ref="P609:Q609"/>
    <mergeCell ref="R609:S609"/>
    <mergeCell ref="T607:U607"/>
    <mergeCell ref="A608:E608"/>
    <mergeCell ref="G608:J608"/>
    <mergeCell ref="L608:M608"/>
    <mergeCell ref="N608:O608"/>
    <mergeCell ref="P608:Q608"/>
    <mergeCell ref="R608:S608"/>
    <mergeCell ref="T608:U608"/>
    <mergeCell ref="A607:E607"/>
    <mergeCell ref="G607:J607"/>
    <mergeCell ref="L607:M607"/>
    <mergeCell ref="N607:O607"/>
    <mergeCell ref="P607:Q607"/>
    <mergeCell ref="R607:S607"/>
    <mergeCell ref="B614:V614"/>
    <mergeCell ref="A615:E615"/>
    <mergeCell ref="G615:J615"/>
    <mergeCell ref="L615:M615"/>
    <mergeCell ref="N615:O615"/>
    <mergeCell ref="P615:Q615"/>
    <mergeCell ref="R615:S615"/>
    <mergeCell ref="T615:U615"/>
    <mergeCell ref="T611:U611"/>
    <mergeCell ref="A613:I613"/>
    <mergeCell ref="L613:M613"/>
    <mergeCell ref="N613:O613"/>
    <mergeCell ref="P613:Q613"/>
    <mergeCell ref="R613:S613"/>
    <mergeCell ref="T613:U613"/>
    <mergeCell ref="A611:E611"/>
    <mergeCell ref="G611:J611"/>
    <mergeCell ref="L611:M611"/>
    <mergeCell ref="N611:O611"/>
    <mergeCell ref="P611:Q611"/>
    <mergeCell ref="R611:S611"/>
    <mergeCell ref="T618:U618"/>
    <mergeCell ref="A619:E619"/>
    <mergeCell ref="G619:J619"/>
    <mergeCell ref="L619:M619"/>
    <mergeCell ref="N619:O619"/>
    <mergeCell ref="P619:Q619"/>
    <mergeCell ref="R619:S619"/>
    <mergeCell ref="T619:U619"/>
    <mergeCell ref="A618:E618"/>
    <mergeCell ref="G618:J618"/>
    <mergeCell ref="L618:M618"/>
    <mergeCell ref="N618:O618"/>
    <mergeCell ref="P618:Q618"/>
    <mergeCell ref="R618:S618"/>
    <mergeCell ref="T616:U616"/>
    <mergeCell ref="A617:E617"/>
    <mergeCell ref="G617:J617"/>
    <mergeCell ref="L617:M617"/>
    <mergeCell ref="N617:O617"/>
    <mergeCell ref="P617:Q617"/>
    <mergeCell ref="R617:S617"/>
    <mergeCell ref="T617:U617"/>
    <mergeCell ref="A616:E616"/>
    <mergeCell ref="G616:J616"/>
    <mergeCell ref="L616:M616"/>
    <mergeCell ref="N616:O616"/>
    <mergeCell ref="P616:Q616"/>
    <mergeCell ref="R616:S616"/>
    <mergeCell ref="A623:I623"/>
    <mergeCell ref="L623:M623"/>
    <mergeCell ref="N623:O623"/>
    <mergeCell ref="P623:Q623"/>
    <mergeCell ref="R623:S623"/>
    <mergeCell ref="T623:U623"/>
    <mergeCell ref="T620:U620"/>
    <mergeCell ref="A621:E621"/>
    <mergeCell ref="G621:J621"/>
    <mergeCell ref="L621:M621"/>
    <mergeCell ref="N621:O621"/>
    <mergeCell ref="P621:Q621"/>
    <mergeCell ref="R621:S621"/>
    <mergeCell ref="T621:U621"/>
    <mergeCell ref="A620:E620"/>
    <mergeCell ref="G620:J620"/>
    <mergeCell ref="L620:M620"/>
    <mergeCell ref="N620:O620"/>
    <mergeCell ref="P620:Q620"/>
    <mergeCell ref="R620:S620"/>
    <mergeCell ref="T626:U626"/>
    <mergeCell ref="A627:E627"/>
    <mergeCell ref="G627:J627"/>
    <mergeCell ref="L627:M627"/>
    <mergeCell ref="N627:O627"/>
    <mergeCell ref="P627:Q627"/>
    <mergeCell ref="R627:S627"/>
    <mergeCell ref="T627:U627"/>
    <mergeCell ref="A626:E626"/>
    <mergeCell ref="G626:J626"/>
    <mergeCell ref="L626:M626"/>
    <mergeCell ref="N626:O626"/>
    <mergeCell ref="P626:Q626"/>
    <mergeCell ref="R626:S626"/>
    <mergeCell ref="B624:V624"/>
    <mergeCell ref="A625:E625"/>
    <mergeCell ref="G625:J625"/>
    <mergeCell ref="L625:M625"/>
    <mergeCell ref="N625:O625"/>
    <mergeCell ref="P625:Q625"/>
    <mergeCell ref="R625:S625"/>
    <mergeCell ref="T625:U625"/>
    <mergeCell ref="T630:U630"/>
    <mergeCell ref="A631:E631"/>
    <mergeCell ref="G631:J631"/>
    <mergeCell ref="L631:M631"/>
    <mergeCell ref="N631:O631"/>
    <mergeCell ref="P631:Q631"/>
    <mergeCell ref="R631:S631"/>
    <mergeCell ref="T631:U631"/>
    <mergeCell ref="A630:E630"/>
    <mergeCell ref="G630:J630"/>
    <mergeCell ref="L630:M630"/>
    <mergeCell ref="N630:O630"/>
    <mergeCell ref="P630:Q630"/>
    <mergeCell ref="R630:S630"/>
    <mergeCell ref="T628:U628"/>
    <mergeCell ref="A629:E629"/>
    <mergeCell ref="G629:J629"/>
    <mergeCell ref="L629:M629"/>
    <mergeCell ref="N629:O629"/>
    <mergeCell ref="P629:Q629"/>
    <mergeCell ref="R629:S629"/>
    <mergeCell ref="T629:U629"/>
    <mergeCell ref="A628:E628"/>
    <mergeCell ref="G628:J628"/>
    <mergeCell ref="L628:M628"/>
    <mergeCell ref="N628:O628"/>
    <mergeCell ref="P628:Q628"/>
    <mergeCell ref="R628:S628"/>
    <mergeCell ref="T634:U634"/>
    <mergeCell ref="A635:E635"/>
    <mergeCell ref="G635:J635"/>
    <mergeCell ref="L635:M635"/>
    <mergeCell ref="N635:O635"/>
    <mergeCell ref="P635:Q635"/>
    <mergeCell ref="R635:S635"/>
    <mergeCell ref="T635:U635"/>
    <mergeCell ref="A634:E634"/>
    <mergeCell ref="G634:J634"/>
    <mergeCell ref="L634:M634"/>
    <mergeCell ref="N634:O634"/>
    <mergeCell ref="P634:Q634"/>
    <mergeCell ref="R634:S634"/>
    <mergeCell ref="T632:U632"/>
    <mergeCell ref="A633:E633"/>
    <mergeCell ref="G633:J633"/>
    <mergeCell ref="L633:M633"/>
    <mergeCell ref="N633:O633"/>
    <mergeCell ref="P633:Q633"/>
    <mergeCell ref="R633:S633"/>
    <mergeCell ref="T633:U633"/>
    <mergeCell ref="A632:E632"/>
    <mergeCell ref="G632:J632"/>
    <mergeCell ref="L632:M632"/>
    <mergeCell ref="N632:O632"/>
    <mergeCell ref="P632:Q632"/>
    <mergeCell ref="R632:S632"/>
    <mergeCell ref="T638:U638"/>
    <mergeCell ref="A639:E639"/>
    <mergeCell ref="G639:J639"/>
    <mergeCell ref="L639:M639"/>
    <mergeCell ref="N639:O639"/>
    <mergeCell ref="P639:Q639"/>
    <mergeCell ref="R639:S639"/>
    <mergeCell ref="T639:U639"/>
    <mergeCell ref="A638:E638"/>
    <mergeCell ref="G638:J638"/>
    <mergeCell ref="L638:M638"/>
    <mergeCell ref="N638:O638"/>
    <mergeCell ref="P638:Q638"/>
    <mergeCell ref="R638:S638"/>
    <mergeCell ref="T636:U636"/>
    <mergeCell ref="A637:E637"/>
    <mergeCell ref="G637:J637"/>
    <mergeCell ref="L637:M637"/>
    <mergeCell ref="N637:O637"/>
    <mergeCell ref="P637:Q637"/>
    <mergeCell ref="R637:S637"/>
    <mergeCell ref="T637:U637"/>
    <mergeCell ref="A636:E636"/>
    <mergeCell ref="G636:J636"/>
    <mergeCell ref="L636:M636"/>
    <mergeCell ref="N636:O636"/>
    <mergeCell ref="P636:Q636"/>
    <mergeCell ref="R636:S636"/>
    <mergeCell ref="T642:U642"/>
    <mergeCell ref="A643:E643"/>
    <mergeCell ref="G643:J643"/>
    <mergeCell ref="L643:M643"/>
    <mergeCell ref="N643:O643"/>
    <mergeCell ref="P643:Q643"/>
    <mergeCell ref="R643:S643"/>
    <mergeCell ref="T643:U643"/>
    <mergeCell ref="A642:E642"/>
    <mergeCell ref="G642:J642"/>
    <mergeCell ref="L642:M642"/>
    <mergeCell ref="N642:O642"/>
    <mergeCell ref="P642:Q642"/>
    <mergeCell ref="R642:S642"/>
    <mergeCell ref="T640:U640"/>
    <mergeCell ref="A641:E641"/>
    <mergeCell ref="G641:J641"/>
    <mergeCell ref="L641:M641"/>
    <mergeCell ref="N641:O641"/>
    <mergeCell ref="P641:Q641"/>
    <mergeCell ref="R641:S641"/>
    <mergeCell ref="T641:U641"/>
    <mergeCell ref="A640:E640"/>
    <mergeCell ref="G640:J640"/>
    <mergeCell ref="L640:M640"/>
    <mergeCell ref="N640:O640"/>
    <mergeCell ref="P640:Q640"/>
    <mergeCell ref="R640:S640"/>
    <mergeCell ref="T646:U646"/>
    <mergeCell ref="A647:E647"/>
    <mergeCell ref="G647:J647"/>
    <mergeCell ref="L647:M647"/>
    <mergeCell ref="N647:O647"/>
    <mergeCell ref="P647:Q647"/>
    <mergeCell ref="R647:S647"/>
    <mergeCell ref="T647:U647"/>
    <mergeCell ref="A646:E646"/>
    <mergeCell ref="G646:J646"/>
    <mergeCell ref="L646:M646"/>
    <mergeCell ref="N646:O646"/>
    <mergeCell ref="P646:Q646"/>
    <mergeCell ref="R646:S646"/>
    <mergeCell ref="T644:U644"/>
    <mergeCell ref="A645:E645"/>
    <mergeCell ref="G645:J645"/>
    <mergeCell ref="L645:M645"/>
    <mergeCell ref="N645:O645"/>
    <mergeCell ref="P645:Q645"/>
    <mergeCell ref="R645:S645"/>
    <mergeCell ref="T645:U645"/>
    <mergeCell ref="A644:E644"/>
    <mergeCell ref="G644:J644"/>
    <mergeCell ref="L644:M644"/>
    <mergeCell ref="N644:O644"/>
    <mergeCell ref="P644:Q644"/>
    <mergeCell ref="R644:S644"/>
    <mergeCell ref="A651:I651"/>
    <mergeCell ref="L651:M651"/>
    <mergeCell ref="N651:O651"/>
    <mergeCell ref="P651:Q651"/>
    <mergeCell ref="R651:S651"/>
    <mergeCell ref="T651:U651"/>
    <mergeCell ref="T648:U648"/>
    <mergeCell ref="A649:E649"/>
    <mergeCell ref="G649:J649"/>
    <mergeCell ref="L649:M649"/>
    <mergeCell ref="N649:O649"/>
    <mergeCell ref="P649:Q649"/>
    <mergeCell ref="R649:S649"/>
    <mergeCell ref="T649:U649"/>
    <mergeCell ref="A648:E648"/>
    <mergeCell ref="G648:J648"/>
    <mergeCell ref="L648:M648"/>
    <mergeCell ref="N648:O648"/>
    <mergeCell ref="P648:Q648"/>
    <mergeCell ref="R648:S648"/>
    <mergeCell ref="T654:U654"/>
    <mergeCell ref="A655:E655"/>
    <mergeCell ref="G655:J655"/>
    <mergeCell ref="L655:M655"/>
    <mergeCell ref="N655:O655"/>
    <mergeCell ref="P655:Q655"/>
    <mergeCell ref="R655:S655"/>
    <mergeCell ref="T655:U655"/>
    <mergeCell ref="A654:E654"/>
    <mergeCell ref="G654:J654"/>
    <mergeCell ref="L654:M654"/>
    <mergeCell ref="N654:O654"/>
    <mergeCell ref="P654:Q654"/>
    <mergeCell ref="R654:S654"/>
    <mergeCell ref="B652:V652"/>
    <mergeCell ref="A653:E653"/>
    <mergeCell ref="G653:J653"/>
    <mergeCell ref="L653:M653"/>
    <mergeCell ref="N653:O653"/>
    <mergeCell ref="P653:Q653"/>
    <mergeCell ref="R653:S653"/>
    <mergeCell ref="T653:U653"/>
    <mergeCell ref="T658:U658"/>
    <mergeCell ref="A659:E659"/>
    <mergeCell ref="G659:J659"/>
    <mergeCell ref="L659:M659"/>
    <mergeCell ref="N659:O659"/>
    <mergeCell ref="P659:Q659"/>
    <mergeCell ref="R659:S659"/>
    <mergeCell ref="T659:U659"/>
    <mergeCell ref="A658:E658"/>
    <mergeCell ref="G658:J658"/>
    <mergeCell ref="L658:M658"/>
    <mergeCell ref="N658:O658"/>
    <mergeCell ref="P658:Q658"/>
    <mergeCell ref="R658:S658"/>
    <mergeCell ref="T656:U656"/>
    <mergeCell ref="A657:E657"/>
    <mergeCell ref="G657:J657"/>
    <mergeCell ref="L657:M657"/>
    <mergeCell ref="N657:O657"/>
    <mergeCell ref="P657:Q657"/>
    <mergeCell ref="R657:S657"/>
    <mergeCell ref="T657:U657"/>
    <mergeCell ref="A656:E656"/>
    <mergeCell ref="G656:J656"/>
    <mergeCell ref="L656:M656"/>
    <mergeCell ref="N656:O656"/>
    <mergeCell ref="P656:Q656"/>
    <mergeCell ref="R656:S656"/>
    <mergeCell ref="T662:U662"/>
    <mergeCell ref="A663:E663"/>
    <mergeCell ref="G663:J663"/>
    <mergeCell ref="L663:M663"/>
    <mergeCell ref="N663:O663"/>
    <mergeCell ref="P663:Q663"/>
    <mergeCell ref="R663:S663"/>
    <mergeCell ref="T663:U663"/>
    <mergeCell ref="A662:E662"/>
    <mergeCell ref="G662:J662"/>
    <mergeCell ref="L662:M662"/>
    <mergeCell ref="N662:O662"/>
    <mergeCell ref="P662:Q662"/>
    <mergeCell ref="R662:S662"/>
    <mergeCell ref="T660:U660"/>
    <mergeCell ref="A661:E661"/>
    <mergeCell ref="G661:J661"/>
    <mergeCell ref="L661:M661"/>
    <mergeCell ref="N661:O661"/>
    <mergeCell ref="P661:Q661"/>
    <mergeCell ref="R661:S661"/>
    <mergeCell ref="T661:U661"/>
    <mergeCell ref="A660:E660"/>
    <mergeCell ref="G660:J660"/>
    <mergeCell ref="L660:M660"/>
    <mergeCell ref="N660:O660"/>
    <mergeCell ref="P660:Q660"/>
    <mergeCell ref="R660:S660"/>
    <mergeCell ref="T666:U666"/>
    <mergeCell ref="A667:E667"/>
    <mergeCell ref="G667:J667"/>
    <mergeCell ref="L667:M667"/>
    <mergeCell ref="N667:O667"/>
    <mergeCell ref="P667:Q667"/>
    <mergeCell ref="R667:S667"/>
    <mergeCell ref="T667:U667"/>
    <mergeCell ref="A666:E666"/>
    <mergeCell ref="G666:J666"/>
    <mergeCell ref="L666:M666"/>
    <mergeCell ref="N666:O666"/>
    <mergeCell ref="P666:Q666"/>
    <mergeCell ref="R666:S666"/>
    <mergeCell ref="T664:U664"/>
    <mergeCell ref="A665:E665"/>
    <mergeCell ref="G665:J665"/>
    <mergeCell ref="L665:M665"/>
    <mergeCell ref="N665:O665"/>
    <mergeCell ref="P665:Q665"/>
    <mergeCell ref="R665:S665"/>
    <mergeCell ref="T665:U665"/>
    <mergeCell ref="A664:E664"/>
    <mergeCell ref="G664:J664"/>
    <mergeCell ref="L664:M664"/>
    <mergeCell ref="N664:O664"/>
    <mergeCell ref="P664:Q664"/>
    <mergeCell ref="R664:S664"/>
    <mergeCell ref="T670:U670"/>
    <mergeCell ref="A671:E671"/>
    <mergeCell ref="G671:J671"/>
    <mergeCell ref="L671:M671"/>
    <mergeCell ref="N671:O671"/>
    <mergeCell ref="P671:Q671"/>
    <mergeCell ref="R671:S671"/>
    <mergeCell ref="T671:U671"/>
    <mergeCell ref="A670:E670"/>
    <mergeCell ref="G670:J670"/>
    <mergeCell ref="L670:M670"/>
    <mergeCell ref="N670:O670"/>
    <mergeCell ref="P670:Q670"/>
    <mergeCell ref="R670:S670"/>
    <mergeCell ref="T668:U668"/>
    <mergeCell ref="A669:E669"/>
    <mergeCell ref="G669:J669"/>
    <mergeCell ref="L669:M669"/>
    <mergeCell ref="N669:O669"/>
    <mergeCell ref="P669:Q669"/>
    <mergeCell ref="R669:S669"/>
    <mergeCell ref="T669:U669"/>
    <mergeCell ref="A668:E668"/>
    <mergeCell ref="G668:J668"/>
    <mergeCell ref="L668:M668"/>
    <mergeCell ref="N668:O668"/>
    <mergeCell ref="P668:Q668"/>
    <mergeCell ref="R668:S668"/>
    <mergeCell ref="T674:U674"/>
    <mergeCell ref="A675:E675"/>
    <mergeCell ref="G675:J675"/>
    <mergeCell ref="L675:M675"/>
    <mergeCell ref="N675:O675"/>
    <mergeCell ref="P675:Q675"/>
    <mergeCell ref="R675:S675"/>
    <mergeCell ref="T675:U675"/>
    <mergeCell ref="A674:E674"/>
    <mergeCell ref="G674:J674"/>
    <mergeCell ref="L674:M674"/>
    <mergeCell ref="N674:O674"/>
    <mergeCell ref="P674:Q674"/>
    <mergeCell ref="R674:S674"/>
    <mergeCell ref="T672:U672"/>
    <mergeCell ref="A673:E673"/>
    <mergeCell ref="G673:J673"/>
    <mergeCell ref="L673:M673"/>
    <mergeCell ref="N673:O673"/>
    <mergeCell ref="P673:Q673"/>
    <mergeCell ref="R673:S673"/>
    <mergeCell ref="T673:U673"/>
    <mergeCell ref="A672:E672"/>
    <mergeCell ref="G672:J672"/>
    <mergeCell ref="L672:M672"/>
    <mergeCell ref="N672:O672"/>
    <mergeCell ref="P672:Q672"/>
    <mergeCell ref="R672:S672"/>
    <mergeCell ref="T678:U678"/>
    <mergeCell ref="A679:E679"/>
    <mergeCell ref="G679:J679"/>
    <mergeCell ref="L679:M679"/>
    <mergeCell ref="N679:O679"/>
    <mergeCell ref="P679:Q679"/>
    <mergeCell ref="R679:S679"/>
    <mergeCell ref="T679:U679"/>
    <mergeCell ref="A678:E678"/>
    <mergeCell ref="G678:J678"/>
    <mergeCell ref="L678:M678"/>
    <mergeCell ref="N678:O678"/>
    <mergeCell ref="P678:Q678"/>
    <mergeCell ref="R678:S678"/>
    <mergeCell ref="T676:U676"/>
    <mergeCell ref="A677:E677"/>
    <mergeCell ref="G677:J677"/>
    <mergeCell ref="L677:M677"/>
    <mergeCell ref="N677:O677"/>
    <mergeCell ref="P677:Q677"/>
    <mergeCell ref="R677:S677"/>
    <mergeCell ref="T677:U677"/>
    <mergeCell ref="A676:E676"/>
    <mergeCell ref="G676:J676"/>
    <mergeCell ref="L676:M676"/>
    <mergeCell ref="N676:O676"/>
    <mergeCell ref="P676:Q676"/>
    <mergeCell ref="R676:S676"/>
    <mergeCell ref="T682:U682"/>
    <mergeCell ref="A683:E683"/>
    <mergeCell ref="G683:J683"/>
    <mergeCell ref="L683:M683"/>
    <mergeCell ref="N683:O683"/>
    <mergeCell ref="P683:Q683"/>
    <mergeCell ref="R683:S683"/>
    <mergeCell ref="T683:U683"/>
    <mergeCell ref="A682:E682"/>
    <mergeCell ref="G682:J682"/>
    <mergeCell ref="L682:M682"/>
    <mergeCell ref="N682:O682"/>
    <mergeCell ref="P682:Q682"/>
    <mergeCell ref="R682:S682"/>
    <mergeCell ref="T680:U680"/>
    <mergeCell ref="A681:E681"/>
    <mergeCell ref="G681:J681"/>
    <mergeCell ref="L681:M681"/>
    <mergeCell ref="N681:O681"/>
    <mergeCell ref="P681:Q681"/>
    <mergeCell ref="R681:S681"/>
    <mergeCell ref="T681:U681"/>
    <mergeCell ref="A680:E680"/>
    <mergeCell ref="G680:J680"/>
    <mergeCell ref="L680:M680"/>
    <mergeCell ref="N680:O680"/>
    <mergeCell ref="P680:Q680"/>
    <mergeCell ref="R680:S680"/>
    <mergeCell ref="T686:U686"/>
    <mergeCell ref="A687:E687"/>
    <mergeCell ref="G687:J687"/>
    <mergeCell ref="L687:M687"/>
    <mergeCell ref="N687:O687"/>
    <mergeCell ref="P687:Q687"/>
    <mergeCell ref="R687:S687"/>
    <mergeCell ref="T687:U687"/>
    <mergeCell ref="A686:E686"/>
    <mergeCell ref="G686:J686"/>
    <mergeCell ref="L686:M686"/>
    <mergeCell ref="N686:O686"/>
    <mergeCell ref="P686:Q686"/>
    <mergeCell ref="R686:S686"/>
    <mergeCell ref="T684:U684"/>
    <mergeCell ref="A685:E685"/>
    <mergeCell ref="G685:J685"/>
    <mergeCell ref="L685:M685"/>
    <mergeCell ref="N685:O685"/>
    <mergeCell ref="P685:Q685"/>
    <mergeCell ref="R685:S685"/>
    <mergeCell ref="T685:U685"/>
    <mergeCell ref="A684:E684"/>
    <mergeCell ref="G684:J684"/>
    <mergeCell ref="L684:M684"/>
    <mergeCell ref="N684:O684"/>
    <mergeCell ref="P684:Q684"/>
    <mergeCell ref="R684:S684"/>
    <mergeCell ref="T690:U690"/>
    <mergeCell ref="A691:E691"/>
    <mergeCell ref="G691:J691"/>
    <mergeCell ref="L691:M691"/>
    <mergeCell ref="N691:O691"/>
    <mergeCell ref="P691:Q691"/>
    <mergeCell ref="R691:S691"/>
    <mergeCell ref="T691:U691"/>
    <mergeCell ref="A690:E690"/>
    <mergeCell ref="G690:J690"/>
    <mergeCell ref="L690:M690"/>
    <mergeCell ref="N690:O690"/>
    <mergeCell ref="P690:Q690"/>
    <mergeCell ref="R690:S690"/>
    <mergeCell ref="T688:U688"/>
    <mergeCell ref="A689:E689"/>
    <mergeCell ref="G689:J689"/>
    <mergeCell ref="L689:M689"/>
    <mergeCell ref="N689:O689"/>
    <mergeCell ref="P689:Q689"/>
    <mergeCell ref="R689:S689"/>
    <mergeCell ref="T689:U689"/>
    <mergeCell ref="A688:E688"/>
    <mergeCell ref="G688:J688"/>
    <mergeCell ref="L688:M688"/>
    <mergeCell ref="N688:O688"/>
    <mergeCell ref="P688:Q688"/>
    <mergeCell ref="R688:S688"/>
    <mergeCell ref="T694:U694"/>
    <mergeCell ref="A695:E695"/>
    <mergeCell ref="G695:J695"/>
    <mergeCell ref="L695:M695"/>
    <mergeCell ref="N695:O695"/>
    <mergeCell ref="P695:Q695"/>
    <mergeCell ref="R695:S695"/>
    <mergeCell ref="T695:U695"/>
    <mergeCell ref="A694:E694"/>
    <mergeCell ref="G694:J694"/>
    <mergeCell ref="L694:M694"/>
    <mergeCell ref="N694:O694"/>
    <mergeCell ref="P694:Q694"/>
    <mergeCell ref="R694:S694"/>
    <mergeCell ref="T692:U692"/>
    <mergeCell ref="A693:E693"/>
    <mergeCell ref="G693:J693"/>
    <mergeCell ref="L693:M693"/>
    <mergeCell ref="N693:O693"/>
    <mergeCell ref="P693:Q693"/>
    <mergeCell ref="R693:S693"/>
    <mergeCell ref="T693:U693"/>
    <mergeCell ref="A692:E692"/>
    <mergeCell ref="G692:J692"/>
    <mergeCell ref="L692:M692"/>
    <mergeCell ref="N692:O692"/>
    <mergeCell ref="P692:Q692"/>
    <mergeCell ref="R692:S692"/>
    <mergeCell ref="T698:U698"/>
    <mergeCell ref="A699:E699"/>
    <mergeCell ref="G699:J699"/>
    <mergeCell ref="L699:M699"/>
    <mergeCell ref="N699:O699"/>
    <mergeCell ref="P699:Q699"/>
    <mergeCell ref="R699:S699"/>
    <mergeCell ref="T699:U699"/>
    <mergeCell ref="A698:E698"/>
    <mergeCell ref="G698:J698"/>
    <mergeCell ref="L698:M698"/>
    <mergeCell ref="N698:O698"/>
    <mergeCell ref="P698:Q698"/>
    <mergeCell ref="R698:S698"/>
    <mergeCell ref="T696:U696"/>
    <mergeCell ref="A697:E697"/>
    <mergeCell ref="G697:J697"/>
    <mergeCell ref="L697:M697"/>
    <mergeCell ref="N697:O697"/>
    <mergeCell ref="P697:Q697"/>
    <mergeCell ref="R697:S697"/>
    <mergeCell ref="T697:U697"/>
    <mergeCell ref="A696:E696"/>
    <mergeCell ref="G696:J696"/>
    <mergeCell ref="L696:M696"/>
    <mergeCell ref="N696:O696"/>
    <mergeCell ref="P696:Q696"/>
    <mergeCell ref="R696:S696"/>
    <mergeCell ref="T702:U702"/>
    <mergeCell ref="A703:E703"/>
    <mergeCell ref="G703:J703"/>
    <mergeCell ref="L703:M703"/>
    <mergeCell ref="N703:O703"/>
    <mergeCell ref="P703:Q703"/>
    <mergeCell ref="R703:S703"/>
    <mergeCell ref="T703:U703"/>
    <mergeCell ref="A702:E702"/>
    <mergeCell ref="G702:J702"/>
    <mergeCell ref="L702:M702"/>
    <mergeCell ref="N702:O702"/>
    <mergeCell ref="P702:Q702"/>
    <mergeCell ref="R702:S702"/>
    <mergeCell ref="T700:U700"/>
    <mergeCell ref="A701:E701"/>
    <mergeCell ref="G701:J701"/>
    <mergeCell ref="L701:M701"/>
    <mergeCell ref="N701:O701"/>
    <mergeCell ref="P701:Q701"/>
    <mergeCell ref="R701:S701"/>
    <mergeCell ref="T701:U701"/>
    <mergeCell ref="A700:E700"/>
    <mergeCell ref="G700:J700"/>
    <mergeCell ref="L700:M700"/>
    <mergeCell ref="N700:O700"/>
    <mergeCell ref="P700:Q700"/>
    <mergeCell ref="R700:S700"/>
    <mergeCell ref="T706:U706"/>
    <mergeCell ref="A707:E707"/>
    <mergeCell ref="G707:J707"/>
    <mergeCell ref="L707:M707"/>
    <mergeCell ref="N707:O707"/>
    <mergeCell ref="P707:Q707"/>
    <mergeCell ref="R707:S707"/>
    <mergeCell ref="T707:U707"/>
    <mergeCell ref="A706:E706"/>
    <mergeCell ref="G706:J706"/>
    <mergeCell ref="L706:M706"/>
    <mergeCell ref="N706:O706"/>
    <mergeCell ref="P706:Q706"/>
    <mergeCell ref="R706:S706"/>
    <mergeCell ref="T704:U704"/>
    <mergeCell ref="A705:E705"/>
    <mergeCell ref="G705:J705"/>
    <mergeCell ref="L705:M705"/>
    <mergeCell ref="N705:O705"/>
    <mergeCell ref="P705:Q705"/>
    <mergeCell ref="R705:S705"/>
    <mergeCell ref="T705:U705"/>
    <mergeCell ref="A704:E704"/>
    <mergeCell ref="G704:J704"/>
    <mergeCell ref="L704:M704"/>
    <mergeCell ref="N704:O704"/>
    <mergeCell ref="P704:Q704"/>
    <mergeCell ref="R704:S704"/>
    <mergeCell ref="T710:U710"/>
    <mergeCell ref="A711:E711"/>
    <mergeCell ref="G711:J711"/>
    <mergeCell ref="L711:M711"/>
    <mergeCell ref="N711:O711"/>
    <mergeCell ref="P711:Q711"/>
    <mergeCell ref="R711:S711"/>
    <mergeCell ref="T711:U711"/>
    <mergeCell ref="A710:E710"/>
    <mergeCell ref="G710:J710"/>
    <mergeCell ref="L710:M710"/>
    <mergeCell ref="N710:O710"/>
    <mergeCell ref="P710:Q710"/>
    <mergeCell ref="R710:S710"/>
    <mergeCell ref="T708:U708"/>
    <mergeCell ref="A709:E709"/>
    <mergeCell ref="G709:J709"/>
    <mergeCell ref="L709:M709"/>
    <mergeCell ref="N709:O709"/>
    <mergeCell ref="P709:Q709"/>
    <mergeCell ref="R709:S709"/>
    <mergeCell ref="T709:U709"/>
    <mergeCell ref="A708:E708"/>
    <mergeCell ref="G708:J708"/>
    <mergeCell ref="L708:M708"/>
    <mergeCell ref="N708:O708"/>
    <mergeCell ref="P708:Q708"/>
    <mergeCell ref="R708:S708"/>
    <mergeCell ref="T714:U714"/>
    <mergeCell ref="A715:E715"/>
    <mergeCell ref="G715:J715"/>
    <mergeCell ref="L715:M715"/>
    <mergeCell ref="N715:O715"/>
    <mergeCell ref="P715:Q715"/>
    <mergeCell ref="R715:S715"/>
    <mergeCell ref="T715:U715"/>
    <mergeCell ref="A714:E714"/>
    <mergeCell ref="G714:J714"/>
    <mergeCell ref="L714:M714"/>
    <mergeCell ref="N714:O714"/>
    <mergeCell ref="P714:Q714"/>
    <mergeCell ref="R714:S714"/>
    <mergeCell ref="T712:U712"/>
    <mergeCell ref="A713:E713"/>
    <mergeCell ref="G713:J713"/>
    <mergeCell ref="L713:M713"/>
    <mergeCell ref="N713:O713"/>
    <mergeCell ref="P713:Q713"/>
    <mergeCell ref="R713:S713"/>
    <mergeCell ref="T713:U713"/>
    <mergeCell ref="A712:E712"/>
    <mergeCell ref="G712:J712"/>
    <mergeCell ref="L712:M712"/>
    <mergeCell ref="N712:O712"/>
    <mergeCell ref="P712:Q712"/>
    <mergeCell ref="R712:S712"/>
    <mergeCell ref="T718:U718"/>
    <mergeCell ref="A719:E719"/>
    <mergeCell ref="G719:J719"/>
    <mergeCell ref="L719:M719"/>
    <mergeCell ref="N719:O719"/>
    <mergeCell ref="P719:Q719"/>
    <mergeCell ref="R719:S719"/>
    <mergeCell ref="T719:U719"/>
    <mergeCell ref="A718:E718"/>
    <mergeCell ref="G718:J718"/>
    <mergeCell ref="L718:M718"/>
    <mergeCell ref="N718:O718"/>
    <mergeCell ref="P718:Q718"/>
    <mergeCell ref="R718:S718"/>
    <mergeCell ref="T716:U716"/>
    <mergeCell ref="A717:E717"/>
    <mergeCell ref="G717:J717"/>
    <mergeCell ref="L717:M717"/>
    <mergeCell ref="N717:O717"/>
    <mergeCell ref="P717:Q717"/>
    <mergeCell ref="R717:S717"/>
    <mergeCell ref="T717:U717"/>
    <mergeCell ref="A716:E716"/>
    <mergeCell ref="G716:J716"/>
    <mergeCell ref="L716:M716"/>
    <mergeCell ref="N716:O716"/>
    <mergeCell ref="P716:Q716"/>
    <mergeCell ref="R716:S716"/>
    <mergeCell ref="T722:U722"/>
    <mergeCell ref="A723:E723"/>
    <mergeCell ref="G723:J723"/>
    <mergeCell ref="L723:M723"/>
    <mergeCell ref="N723:O723"/>
    <mergeCell ref="P723:Q723"/>
    <mergeCell ref="R723:S723"/>
    <mergeCell ref="T723:U723"/>
    <mergeCell ref="A722:E722"/>
    <mergeCell ref="G722:J722"/>
    <mergeCell ref="L722:M722"/>
    <mergeCell ref="N722:O722"/>
    <mergeCell ref="P722:Q722"/>
    <mergeCell ref="R722:S722"/>
    <mergeCell ref="T720:U720"/>
    <mergeCell ref="A721:E721"/>
    <mergeCell ref="G721:J721"/>
    <mergeCell ref="L721:M721"/>
    <mergeCell ref="N721:O721"/>
    <mergeCell ref="P721:Q721"/>
    <mergeCell ref="R721:S721"/>
    <mergeCell ref="T721:U721"/>
    <mergeCell ref="A720:E720"/>
    <mergeCell ref="G720:J720"/>
    <mergeCell ref="L720:M720"/>
    <mergeCell ref="N720:O720"/>
    <mergeCell ref="P720:Q720"/>
    <mergeCell ref="R720:S720"/>
    <mergeCell ref="A727:I727"/>
    <mergeCell ref="L727:M727"/>
    <mergeCell ref="N727:O727"/>
    <mergeCell ref="P727:Q727"/>
    <mergeCell ref="R727:S727"/>
    <mergeCell ref="T727:U727"/>
    <mergeCell ref="T724:U724"/>
    <mergeCell ref="A725:E725"/>
    <mergeCell ref="G725:J725"/>
    <mergeCell ref="L725:M725"/>
    <mergeCell ref="N725:O725"/>
    <mergeCell ref="P725:Q725"/>
    <mergeCell ref="R725:S725"/>
    <mergeCell ref="T725:U725"/>
    <mergeCell ref="A724:E724"/>
    <mergeCell ref="G724:J724"/>
    <mergeCell ref="L724:M724"/>
    <mergeCell ref="N724:O724"/>
    <mergeCell ref="P724:Q724"/>
    <mergeCell ref="R724:S724"/>
    <mergeCell ref="T730:U730"/>
    <mergeCell ref="A731:E731"/>
    <mergeCell ref="G731:J731"/>
    <mergeCell ref="L731:M731"/>
    <mergeCell ref="N731:O731"/>
    <mergeCell ref="P731:Q731"/>
    <mergeCell ref="R731:S731"/>
    <mergeCell ref="T731:U731"/>
    <mergeCell ref="A730:E730"/>
    <mergeCell ref="G730:J730"/>
    <mergeCell ref="L730:M730"/>
    <mergeCell ref="N730:O730"/>
    <mergeCell ref="P730:Q730"/>
    <mergeCell ref="R730:S730"/>
    <mergeCell ref="B728:V728"/>
    <mergeCell ref="A729:E729"/>
    <mergeCell ref="G729:J729"/>
    <mergeCell ref="L729:M729"/>
    <mergeCell ref="N729:O729"/>
    <mergeCell ref="P729:Q729"/>
    <mergeCell ref="R729:S729"/>
    <mergeCell ref="T729:U729"/>
    <mergeCell ref="B736:V736"/>
    <mergeCell ref="A737:E737"/>
    <mergeCell ref="G737:J737"/>
    <mergeCell ref="L737:M737"/>
    <mergeCell ref="N737:O737"/>
    <mergeCell ref="P737:Q737"/>
    <mergeCell ref="R737:S737"/>
    <mergeCell ref="T737:U737"/>
    <mergeCell ref="A735:I735"/>
    <mergeCell ref="L735:M735"/>
    <mergeCell ref="N735:O735"/>
    <mergeCell ref="P735:Q735"/>
    <mergeCell ref="R735:S735"/>
    <mergeCell ref="T735:U735"/>
    <mergeCell ref="T732:U732"/>
    <mergeCell ref="A733:E733"/>
    <mergeCell ref="G733:J733"/>
    <mergeCell ref="L733:M733"/>
    <mergeCell ref="N733:O733"/>
    <mergeCell ref="P733:Q733"/>
    <mergeCell ref="R733:S733"/>
    <mergeCell ref="T733:U733"/>
    <mergeCell ref="A732:E732"/>
    <mergeCell ref="G732:J732"/>
    <mergeCell ref="L732:M732"/>
    <mergeCell ref="N732:O732"/>
    <mergeCell ref="P732:Q732"/>
    <mergeCell ref="R732:S732"/>
    <mergeCell ref="T740:U740"/>
    <mergeCell ref="A741:E741"/>
    <mergeCell ref="G741:J741"/>
    <mergeCell ref="L741:M741"/>
    <mergeCell ref="N741:O741"/>
    <mergeCell ref="P741:Q741"/>
    <mergeCell ref="R741:S741"/>
    <mergeCell ref="T741:U741"/>
    <mergeCell ref="A740:E740"/>
    <mergeCell ref="G740:J740"/>
    <mergeCell ref="L740:M740"/>
    <mergeCell ref="N740:O740"/>
    <mergeCell ref="P740:Q740"/>
    <mergeCell ref="R740:S740"/>
    <mergeCell ref="T738:U738"/>
    <mergeCell ref="A739:E739"/>
    <mergeCell ref="G739:J739"/>
    <mergeCell ref="L739:M739"/>
    <mergeCell ref="N739:O739"/>
    <mergeCell ref="P739:Q739"/>
    <mergeCell ref="R739:S739"/>
    <mergeCell ref="T739:U739"/>
    <mergeCell ref="A738:E738"/>
    <mergeCell ref="G738:J738"/>
    <mergeCell ref="L738:M738"/>
    <mergeCell ref="N738:O738"/>
    <mergeCell ref="P738:Q738"/>
    <mergeCell ref="R738:S738"/>
    <mergeCell ref="T744:U744"/>
    <mergeCell ref="A745:E745"/>
    <mergeCell ref="G745:J745"/>
    <mergeCell ref="L745:M745"/>
    <mergeCell ref="N745:O745"/>
    <mergeCell ref="P745:Q745"/>
    <mergeCell ref="R745:S745"/>
    <mergeCell ref="T745:U745"/>
    <mergeCell ref="A744:E744"/>
    <mergeCell ref="G744:J744"/>
    <mergeCell ref="L744:M744"/>
    <mergeCell ref="N744:O744"/>
    <mergeCell ref="P744:Q744"/>
    <mergeCell ref="R744:S744"/>
    <mergeCell ref="T742:U742"/>
    <mergeCell ref="A743:E743"/>
    <mergeCell ref="G743:J743"/>
    <mergeCell ref="L743:M743"/>
    <mergeCell ref="N743:O743"/>
    <mergeCell ref="P743:Q743"/>
    <mergeCell ref="R743:S743"/>
    <mergeCell ref="T743:U743"/>
    <mergeCell ref="A742:E742"/>
    <mergeCell ref="G742:J742"/>
    <mergeCell ref="L742:M742"/>
    <mergeCell ref="N742:O742"/>
    <mergeCell ref="P742:Q742"/>
    <mergeCell ref="R742:S742"/>
    <mergeCell ref="T748:U748"/>
    <mergeCell ref="A749:E749"/>
    <mergeCell ref="G749:J749"/>
    <mergeCell ref="L749:M749"/>
    <mergeCell ref="N749:O749"/>
    <mergeCell ref="P749:Q749"/>
    <mergeCell ref="R749:S749"/>
    <mergeCell ref="T749:U749"/>
    <mergeCell ref="A748:E748"/>
    <mergeCell ref="G748:J748"/>
    <mergeCell ref="L748:M748"/>
    <mergeCell ref="N748:O748"/>
    <mergeCell ref="P748:Q748"/>
    <mergeCell ref="R748:S748"/>
    <mergeCell ref="T746:U746"/>
    <mergeCell ref="A747:E747"/>
    <mergeCell ref="G747:J747"/>
    <mergeCell ref="L747:M747"/>
    <mergeCell ref="N747:O747"/>
    <mergeCell ref="P747:Q747"/>
    <mergeCell ref="R747:S747"/>
    <mergeCell ref="T747:U747"/>
    <mergeCell ref="A746:E746"/>
    <mergeCell ref="G746:J746"/>
    <mergeCell ref="L746:M746"/>
    <mergeCell ref="N746:O746"/>
    <mergeCell ref="P746:Q746"/>
    <mergeCell ref="R746:S746"/>
    <mergeCell ref="T752:U752"/>
    <mergeCell ref="A753:E753"/>
    <mergeCell ref="G753:J753"/>
    <mergeCell ref="L753:M753"/>
    <mergeCell ref="N753:O753"/>
    <mergeCell ref="P753:Q753"/>
    <mergeCell ref="R753:S753"/>
    <mergeCell ref="T753:U753"/>
    <mergeCell ref="A752:E752"/>
    <mergeCell ref="G752:J752"/>
    <mergeCell ref="L752:M752"/>
    <mergeCell ref="N752:O752"/>
    <mergeCell ref="P752:Q752"/>
    <mergeCell ref="R752:S752"/>
    <mergeCell ref="T750:U750"/>
    <mergeCell ref="A751:E751"/>
    <mergeCell ref="G751:J751"/>
    <mergeCell ref="L751:M751"/>
    <mergeCell ref="N751:O751"/>
    <mergeCell ref="P751:Q751"/>
    <mergeCell ref="R751:S751"/>
    <mergeCell ref="T751:U751"/>
    <mergeCell ref="A750:E750"/>
    <mergeCell ref="G750:J750"/>
    <mergeCell ref="L750:M750"/>
    <mergeCell ref="N750:O750"/>
    <mergeCell ref="P750:Q750"/>
    <mergeCell ref="R750:S750"/>
    <mergeCell ref="B758:V758"/>
    <mergeCell ref="A759:E759"/>
    <mergeCell ref="G759:J759"/>
    <mergeCell ref="L759:M759"/>
    <mergeCell ref="N759:O759"/>
    <mergeCell ref="P759:Q759"/>
    <mergeCell ref="R759:S759"/>
    <mergeCell ref="T759:U759"/>
    <mergeCell ref="A757:I757"/>
    <mergeCell ref="L757:M757"/>
    <mergeCell ref="N757:O757"/>
    <mergeCell ref="P757:Q757"/>
    <mergeCell ref="R757:S757"/>
    <mergeCell ref="T757:U757"/>
    <mergeCell ref="T754:U754"/>
    <mergeCell ref="A755:E755"/>
    <mergeCell ref="G755:J755"/>
    <mergeCell ref="L755:M755"/>
    <mergeCell ref="N755:O755"/>
    <mergeCell ref="P755:Q755"/>
    <mergeCell ref="R755:S755"/>
    <mergeCell ref="T755:U755"/>
    <mergeCell ref="A754:E754"/>
    <mergeCell ref="G754:J754"/>
    <mergeCell ref="L754:M754"/>
    <mergeCell ref="N754:O754"/>
    <mergeCell ref="P754:Q754"/>
    <mergeCell ref="R754:S754"/>
    <mergeCell ref="B766:U766"/>
    <mergeCell ref="A768:E768"/>
    <mergeCell ref="F768:Z768"/>
    <mergeCell ref="Q769:U769"/>
    <mergeCell ref="A765:I765"/>
    <mergeCell ref="L765:M765"/>
    <mergeCell ref="N765:O765"/>
    <mergeCell ref="P765:Q765"/>
    <mergeCell ref="R765:S765"/>
    <mergeCell ref="T765:U765"/>
    <mergeCell ref="A763:I763"/>
    <mergeCell ref="L763:M763"/>
    <mergeCell ref="N763:O763"/>
    <mergeCell ref="P763:Q763"/>
    <mergeCell ref="R763:S763"/>
    <mergeCell ref="T763:U763"/>
    <mergeCell ref="T760:U760"/>
    <mergeCell ref="A761:E761"/>
    <mergeCell ref="G761:J761"/>
    <mergeCell ref="L761:M761"/>
    <mergeCell ref="N761:O761"/>
    <mergeCell ref="P761:Q761"/>
    <mergeCell ref="R761:S761"/>
    <mergeCell ref="T761:U761"/>
    <mergeCell ref="A760:E760"/>
    <mergeCell ref="G760:J760"/>
    <mergeCell ref="L760:M760"/>
    <mergeCell ref="N760:O760"/>
    <mergeCell ref="P760:Q760"/>
    <mergeCell ref="R760:S760"/>
  </mergeCells>
  <pageMargins left="0.25" right="0.25" top="0.25" bottom="0.25" header="0" footer="0"/>
  <pageSetup fitToWidth="0" fitToHeight="0" orientation="landscape" r:id="rId1"/>
  <headerFooter alignWithMargins="0"/>
  <rowBreaks count="17" manualBreakCount="17">
    <brk id="59" min="1" max="256" man="1"/>
    <brk id="106" min="1" max="256" man="1"/>
    <brk id="154" min="1" max="256" man="1"/>
    <brk id="202" min="1" max="256" man="1"/>
    <brk id="214" min="1" max="256" man="1"/>
    <brk id="260" min="1" max="256" man="1"/>
    <brk id="307" min="1" max="256" man="1"/>
    <brk id="354" min="1" max="256" man="1"/>
    <brk id="401" min="1" max="256" man="1"/>
    <brk id="448" min="1" max="256" man="1"/>
    <brk id="495" min="1" max="256" man="1"/>
    <brk id="542" min="1" max="256" man="1"/>
    <brk id="589" min="1" max="256" man="1"/>
    <brk id="637" min="1" max="256" man="1"/>
    <brk id="684" min="1" max="256" man="1"/>
    <brk id="731" min="1" max="256" man="1"/>
    <brk id="769" min="1" max="25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activeCell="G563" sqref="G563:J56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4" t="s">
        <v>404</v>
      </c>
      <c r="B1" s="2114"/>
      <c r="C1" s="2114"/>
      <c r="D1" s="2114"/>
      <c r="E1" s="2114"/>
      <c r="F1" s="2114"/>
      <c r="G1" s="2114"/>
      <c r="H1" s="2114"/>
      <c r="I1" s="2114"/>
      <c r="J1" s="2114"/>
      <c r="K1" s="2114"/>
      <c r="L1" s="2114"/>
      <c r="M1" s="211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36704943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3.2158050000000001E-2</v>
      </c>
      <c r="E10" s="356" t="s">
        <v>1062</v>
      </c>
      <c r="F10" s="355">
        <v>4.1002E-3</v>
      </c>
      <c r="G10" s="356" t="s">
        <v>1062</v>
      </c>
      <c r="H10" s="355">
        <v>5.829E-3</v>
      </c>
      <c r="I10" s="356" t="s">
        <v>1063</v>
      </c>
      <c r="J10" s="1754">
        <f>ROUND(D10+F10+H10,5)</f>
        <v>4.2090000000000002E-2</v>
      </c>
      <c r="K10" s="222"/>
      <c r="L10" s="355">
        <v>4.5630000000000002E-3</v>
      </c>
      <c r="M10" s="222"/>
    </row>
    <row r="11" spans="1:14" ht="7.5" customHeight="1" x14ac:dyDescent="0.2">
      <c r="B11" s="222"/>
      <c r="C11" s="222"/>
      <c r="D11" s="2124" t="str">
        <f>IF(SUM(J10)&lt;=0.0999999,"","Enter the Tax Rates by moving the decimal two places to the left.")</f>
        <v/>
      </c>
      <c r="E11" s="2125"/>
      <c r="F11" s="2125"/>
      <c r="G11" s="2125"/>
      <c r="H11" s="2125"/>
      <c r="I11" s="2125"/>
      <c r="J11" s="212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2123209.9900000002</v>
      </c>
      <c r="E16" s="356"/>
      <c r="F16" s="1755">
        <f>SUM('Acct Summary 7-8'!C17,'Acct Summary 7-8'!D17,'Acct Summary 7-8'!F17)</f>
        <v>1872046</v>
      </c>
      <c r="G16" s="356"/>
      <c r="H16" s="1755">
        <f>SUM(D16-F16)</f>
        <v>251163.99000000022</v>
      </c>
      <c r="I16" s="222"/>
      <c r="J16" s="1755">
        <f>SUM('Acct Summary 7-8'!C81,'Acct Summary 7-8'!D81,'Acct Summary 7-8'!F81,'Acct Summary 7-8'!I81)</f>
        <v>3560985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2089</v>
      </c>
      <c r="C31" s="367" t="s">
        <v>607</v>
      </c>
      <c r="D31" s="237" t="s">
        <v>1132</v>
      </c>
      <c r="E31" s="222"/>
      <c r="F31" s="222"/>
      <c r="G31" s="363"/>
      <c r="H31" s="1757">
        <f>IF(B31="X",(J7*0.069),IF(B32="X",(J7*0.138),"Enter x in a.or b."))</f>
        <v>2532641.0670000003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5"/>
      <c r="C54" s="2116"/>
      <c r="D54" s="2116"/>
      <c r="E54" s="2116"/>
      <c r="F54" s="2116"/>
      <c r="G54" s="2116"/>
      <c r="H54" s="2116"/>
      <c r="I54" s="2116"/>
      <c r="J54" s="2116"/>
      <c r="K54" s="2116"/>
      <c r="L54" s="2117"/>
      <c r="M54" s="380"/>
    </row>
    <row r="55" spans="1:13" ht="12.75" customHeight="1" x14ac:dyDescent="0.2">
      <c r="B55" s="2118"/>
      <c r="C55" s="2119"/>
      <c r="D55" s="2119"/>
      <c r="E55" s="2119"/>
      <c r="F55" s="2119"/>
      <c r="G55" s="2119"/>
      <c r="H55" s="2119"/>
      <c r="I55" s="2119"/>
      <c r="J55" s="2119"/>
      <c r="K55" s="2119"/>
      <c r="L55" s="2120"/>
      <c r="M55" s="380"/>
    </row>
    <row r="56" spans="1:13" ht="12.75" customHeight="1" x14ac:dyDescent="0.2">
      <c r="B56" s="2118"/>
      <c r="C56" s="2119"/>
      <c r="D56" s="2119"/>
      <c r="E56" s="2119"/>
      <c r="F56" s="2119"/>
      <c r="G56" s="2119"/>
      <c r="H56" s="2119"/>
      <c r="I56" s="2119"/>
      <c r="J56" s="2119"/>
      <c r="K56" s="2119"/>
      <c r="L56" s="2120"/>
      <c r="M56" s="222"/>
    </row>
    <row r="57" spans="1:13" ht="12.75" customHeight="1" x14ac:dyDescent="0.2">
      <c r="B57" s="2118"/>
      <c r="C57" s="2119"/>
      <c r="D57" s="2119"/>
      <c r="E57" s="2119"/>
      <c r="F57" s="2119"/>
      <c r="G57" s="2119"/>
      <c r="H57" s="2119"/>
      <c r="I57" s="2119"/>
      <c r="J57" s="2119"/>
      <c r="K57" s="2119"/>
      <c r="L57" s="2120"/>
      <c r="M57" s="222"/>
    </row>
    <row r="58" spans="1:13" x14ac:dyDescent="0.2">
      <c r="B58" s="2121"/>
      <c r="C58" s="2122"/>
      <c r="D58" s="2122"/>
      <c r="E58" s="2122"/>
      <c r="F58" s="2122"/>
      <c r="G58" s="2122"/>
      <c r="H58" s="2122"/>
      <c r="I58" s="2122"/>
      <c r="J58" s="2122"/>
      <c r="K58" s="2122"/>
      <c r="L58" s="212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6"/>
      <c r="D61" s="212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5" zoomScale="110" zoomScaleNormal="110" workbookViewId="0">
      <selection activeCell="G563" sqref="G563:J56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9"/>
      <c r="B1" s="2130"/>
      <c r="C1" s="2130"/>
      <c r="D1" s="384"/>
      <c r="E1" s="384"/>
      <c r="F1" s="384"/>
      <c r="G1" s="384"/>
      <c r="H1" s="384"/>
      <c r="I1" s="384"/>
      <c r="J1" s="384"/>
      <c r="K1" s="384"/>
      <c r="L1" s="384"/>
      <c r="M1" s="384"/>
      <c r="N1" s="384"/>
      <c r="O1" s="2129"/>
      <c r="P1" s="2130"/>
      <c r="Q1" s="2130"/>
    </row>
    <row r="2" spans="1:18" ht="15" x14ac:dyDescent="0.2">
      <c r="A2" s="2133" t="s">
        <v>577</v>
      </c>
      <c r="B2" s="2133"/>
      <c r="C2" s="2133"/>
      <c r="D2" s="2133"/>
      <c r="E2" s="2133"/>
      <c r="F2" s="2133"/>
      <c r="G2" s="2133"/>
      <c r="H2" s="2133"/>
      <c r="I2" s="2133"/>
      <c r="J2" s="2133"/>
      <c r="K2" s="2133"/>
      <c r="L2" s="2133"/>
      <c r="M2" s="2133"/>
      <c r="N2" s="2133"/>
      <c r="O2" s="2133"/>
      <c r="P2" s="2133"/>
      <c r="Q2" s="2133"/>
      <c r="R2" s="2133"/>
    </row>
    <row r="3" spans="1:18" ht="12.75" x14ac:dyDescent="0.2">
      <c r="A3" s="2134" t="s">
        <v>1480</v>
      </c>
      <c r="B3" s="2134"/>
      <c r="C3" s="2134"/>
      <c r="D3" s="2134"/>
      <c r="E3" s="2134"/>
      <c r="F3" s="2134"/>
      <c r="G3" s="2134"/>
      <c r="H3" s="2134"/>
      <c r="I3" s="2134"/>
      <c r="J3" s="2134"/>
      <c r="K3" s="2134"/>
      <c r="L3" s="2134"/>
      <c r="M3" s="2134"/>
      <c r="N3" s="2134"/>
      <c r="O3" s="2134"/>
      <c r="P3" s="2134"/>
      <c r="Q3" s="2134"/>
      <c r="R3" s="2134"/>
    </row>
    <row r="4" spans="1:18" x14ac:dyDescent="0.2">
      <c r="A4" s="2135" t="s">
        <v>1635</v>
      </c>
      <c r="B4" s="2135"/>
      <c r="C4" s="2135"/>
      <c r="D4" s="2135"/>
      <c r="E4" s="2135"/>
      <c r="F4" s="2135"/>
      <c r="G4" s="2135"/>
      <c r="H4" s="2135"/>
      <c r="I4" s="2135"/>
      <c r="J4" s="2135"/>
      <c r="K4" s="2135"/>
      <c r="L4" s="2135"/>
      <c r="M4" s="2135"/>
      <c r="N4" s="2135"/>
      <c r="O4" s="2135"/>
      <c r="P4" s="2135"/>
      <c r="Q4" s="2135"/>
      <c r="R4" s="213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Saunemin Elementary</v>
      </c>
      <c r="E7" s="391"/>
      <c r="G7" s="252"/>
      <c r="H7" s="387"/>
      <c r="I7" s="387"/>
      <c r="J7" s="387"/>
      <c r="K7" s="387"/>
      <c r="L7" s="329"/>
      <c r="M7" s="329"/>
      <c r="N7" s="329"/>
      <c r="O7" s="329"/>
      <c r="P7" s="329"/>
    </row>
    <row r="8" spans="1:18" ht="12.75" x14ac:dyDescent="0.2">
      <c r="A8" s="329"/>
      <c r="B8" s="329"/>
      <c r="C8" s="389" t="s">
        <v>1187</v>
      </c>
      <c r="D8" s="392">
        <f>COVER!A13</f>
        <v>17053438004</v>
      </c>
      <c r="E8" s="393"/>
      <c r="G8" s="329"/>
      <c r="H8" s="329"/>
      <c r="I8" s="329"/>
      <c r="J8" s="329"/>
      <c r="K8" s="329"/>
      <c r="L8" s="329"/>
      <c r="M8" s="329"/>
      <c r="N8" s="329"/>
      <c r="O8" s="329"/>
      <c r="P8" s="329"/>
    </row>
    <row r="9" spans="1:18" ht="12.75" x14ac:dyDescent="0.2">
      <c r="A9" s="329"/>
      <c r="B9" s="329"/>
      <c r="C9" s="389" t="s">
        <v>737</v>
      </c>
      <c r="D9" s="394" t="str">
        <f>COVER!A15</f>
        <v>Livingston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3560985</v>
      </c>
      <c r="I12" s="404"/>
      <c r="J12" s="404"/>
      <c r="K12" s="405">
        <f>TRUNC((H12/H13*100000),5)/100000</f>
        <v>1.6771704243000001</v>
      </c>
      <c r="L12" s="406"/>
      <c r="M12" s="360" t="s">
        <v>1206</v>
      </c>
      <c r="N12" s="360"/>
      <c r="O12" s="407">
        <v>0.35</v>
      </c>
      <c r="P12" s="218"/>
      <c r="Q12" s="218"/>
    </row>
    <row r="13" spans="1:18" s="408" customFormat="1" ht="12.75" x14ac:dyDescent="0.2">
      <c r="A13" s="218"/>
      <c r="B13" s="401"/>
      <c r="C13" s="2131" t="s">
        <v>1391</v>
      </c>
      <c r="D13" s="2132"/>
      <c r="E13" s="218"/>
      <c r="F13" s="409" t="s">
        <v>826</v>
      </c>
      <c r="G13" s="402"/>
      <c r="H13" s="403">
        <f>SUM('Acct Summary 7-8'!C8+'Acct Summary 7-8'!D8+'Acct Summary 7-8'!F8+'Acct Summary 7-8'!I8)+H14</f>
        <v>2123209.9900000002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1872046</v>
      </c>
      <c r="I17" s="404"/>
      <c r="J17" s="416"/>
      <c r="K17" s="405">
        <f>TRUNC((H17/H18*100000),5)/100000</f>
        <v>0.88170553490000003</v>
      </c>
      <c r="L17" s="406"/>
      <c r="M17" s="417" t="s">
        <v>1233</v>
      </c>
      <c r="O17" s="418" t="str">
        <f>IF(AND(O16="2", J20 &gt; 2),"1",IF(AND(O16 = "1", J20 &gt; 2),"2",IF(AND(O16="1", J20 &gt;1),"1","0")))</f>
        <v>0</v>
      </c>
      <c r="P17" s="218"/>
    </row>
    <row r="18" spans="1:18" s="408" customFormat="1" ht="11.25" x14ac:dyDescent="0.2">
      <c r="A18" s="218"/>
      <c r="B18" s="401"/>
      <c r="C18" s="2131" t="s">
        <v>1384</v>
      </c>
      <c r="D18" s="2132"/>
      <c r="E18" s="218"/>
      <c r="F18" s="419" t="s">
        <v>827</v>
      </c>
      <c r="G18" s="402"/>
      <c r="H18" s="403">
        <f>SUM('Acct Summary 7-8'!C8+'Acct Summary 7-8'!D8+'Acct Summary 7-8'!F8+'Acct Summary 7-8'!I8)+H19</f>
        <v>2123209.9900000002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8" t="s">
        <v>1479</v>
      </c>
      <c r="D24" s="2128"/>
      <c r="E24" s="218"/>
      <c r="F24" s="218" t="s">
        <v>465</v>
      </c>
      <c r="G24" s="402"/>
      <c r="H24" s="403">
        <f>SUM('Assets-Liab 5-6'!C4+'Assets-Liab 5-6'!D4+'Assets-Liab 5-6'!F4+'Assets-Liab 5-6'!I4+'Assets-Liab 5-6'!C5+'Assets-Liab 5-6'!D5+'Assets-Liab 5-6'!F5+'Assets-Liab 5-6'!I5)</f>
        <v>3560985</v>
      </c>
      <c r="I24" s="422"/>
      <c r="J24" s="422"/>
      <c r="K24" s="423">
        <f>TRUNC(((H24/H25*100000)/100000),2)</f>
        <v>684.78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5200.1277799999998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1313174.3932399999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2532641.0670000003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Layout" colorId="8" zoomScaleNormal="110" workbookViewId="0">
      <selection activeCell="D9" sqref="D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8" t="s">
        <v>1030</v>
      </c>
      <c r="B3" s="2139"/>
      <c r="C3" s="1581"/>
      <c r="D3" s="1582"/>
      <c r="E3" s="1582"/>
      <c r="F3" s="1582"/>
      <c r="G3" s="1582"/>
      <c r="H3" s="1582"/>
      <c r="I3" s="1582"/>
      <c r="J3" s="1582"/>
      <c r="K3" s="1582"/>
      <c r="L3" s="1582"/>
      <c r="M3" s="1583"/>
      <c r="N3" s="1584"/>
    </row>
    <row r="4" spans="1:14" ht="13.5" customHeight="1" x14ac:dyDescent="0.2">
      <c r="A4" s="463" t="s">
        <v>1750</v>
      </c>
      <c r="B4" s="464"/>
      <c r="C4" s="465">
        <f>-5057+2000+1853638+100</f>
        <v>1850681</v>
      </c>
      <c r="D4" s="466">
        <v>604247</v>
      </c>
      <c r="E4" s="466"/>
      <c r="F4" s="466">
        <f>-1852+252710</f>
        <v>250858</v>
      </c>
      <c r="G4" s="466">
        <v>645</v>
      </c>
      <c r="H4" s="466">
        <v>140640</v>
      </c>
      <c r="I4" s="466">
        <v>88744</v>
      </c>
      <c r="J4" s="467">
        <f>795+49780</f>
        <v>50575</v>
      </c>
      <c r="K4" s="466"/>
      <c r="L4" s="466">
        <v>19105</v>
      </c>
      <c r="M4" s="468"/>
      <c r="N4" s="469"/>
    </row>
    <row r="5" spans="1:14" x14ac:dyDescent="0.2">
      <c r="A5" s="463" t="s">
        <v>1049</v>
      </c>
      <c r="B5" s="470">
        <v>120</v>
      </c>
      <c r="C5" s="465">
        <f>100000+369229+72</f>
        <v>469301</v>
      </c>
      <c r="D5" s="466"/>
      <c r="E5" s="466"/>
      <c r="F5" s="466">
        <f>82000+184076-10000</f>
        <v>256076</v>
      </c>
      <c r="G5" s="466">
        <f>84333+22526-5000+44</f>
        <v>101903</v>
      </c>
      <c r="H5" s="466"/>
      <c r="I5" s="466">
        <v>41078</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v>2028</v>
      </c>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2319982</v>
      </c>
      <c r="D13" s="1759">
        <f t="shared" ref="D13:L13" si="0">SUM(D4:D12)</f>
        <v>604247</v>
      </c>
      <c r="E13" s="1759">
        <f t="shared" si="0"/>
        <v>0</v>
      </c>
      <c r="F13" s="1759">
        <f t="shared" si="0"/>
        <v>506934</v>
      </c>
      <c r="G13" s="1759">
        <f t="shared" si="0"/>
        <v>102548</v>
      </c>
      <c r="H13" s="1759">
        <f t="shared" si="0"/>
        <v>140640</v>
      </c>
      <c r="I13" s="1759">
        <f t="shared" si="0"/>
        <v>129822</v>
      </c>
      <c r="J13" s="1759">
        <f t="shared" si="0"/>
        <v>52603</v>
      </c>
      <c r="K13" s="1759">
        <f t="shared" si="0"/>
        <v>0</v>
      </c>
      <c r="L13" s="1759">
        <f t="shared" si="0"/>
        <v>19105</v>
      </c>
      <c r="M13" s="468"/>
      <c r="N13" s="469"/>
    </row>
    <row r="14" spans="1:14" ht="18" customHeight="1" thickTop="1" x14ac:dyDescent="0.2">
      <c r="A14" s="2140" t="s">
        <v>149</v>
      </c>
      <c r="B14" s="214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78">
        <f>'Cap Outlay Deprec 26'!L5</f>
        <v>166496</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26'!L8</f>
        <v>2050285</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26'!L10</f>
        <v>20699</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26'!L12+'Cap Outlay Deprec 26'!L13</f>
        <v>158937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2396417</v>
      </c>
      <c r="N23" s="1710">
        <f>SUM(N21:N22)</f>
        <v>0</v>
      </c>
    </row>
    <row r="24" spans="1:14" ht="18" customHeight="1" thickTop="1" x14ac:dyDescent="0.2">
      <c r="A24" s="2142" t="s">
        <v>619</v>
      </c>
      <c r="B24" s="214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19105</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19105</v>
      </c>
      <c r="M34" s="468"/>
      <c r="N34" s="480"/>
    </row>
    <row r="35" spans="1:14" ht="18" customHeight="1" thickTop="1" x14ac:dyDescent="0.2">
      <c r="A35" s="2144" t="s">
        <v>550</v>
      </c>
      <c r="B35" s="214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2319982</v>
      </c>
      <c r="D39" s="466">
        <v>604247</v>
      </c>
      <c r="E39" s="466"/>
      <c r="F39" s="466">
        <v>506934</v>
      </c>
      <c r="G39" s="466">
        <v>102548</v>
      </c>
      <c r="H39" s="466">
        <v>140640</v>
      </c>
      <c r="I39" s="466">
        <v>129822</v>
      </c>
      <c r="J39" s="467">
        <v>52603</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2396417</v>
      </c>
      <c r="N40" s="497"/>
    </row>
    <row r="41" spans="1:14" ht="13.5" customHeight="1" thickBot="1" x14ac:dyDescent="0.25">
      <c r="A41" s="1758" t="s">
        <v>676</v>
      </c>
      <c r="B41" s="1728"/>
      <c r="C41" s="1710">
        <f>(SUM(C34,C37,C38,C39))</f>
        <v>2319982</v>
      </c>
      <c r="D41" s="1710">
        <f t="shared" ref="D41:L41" si="2">SUM(D34,D37,D38:D39)</f>
        <v>604247</v>
      </c>
      <c r="E41" s="1710">
        <f t="shared" si="2"/>
        <v>0</v>
      </c>
      <c r="F41" s="1710">
        <f t="shared" si="2"/>
        <v>506934</v>
      </c>
      <c r="G41" s="1710">
        <f t="shared" si="2"/>
        <v>102548</v>
      </c>
      <c r="H41" s="1710">
        <f t="shared" si="2"/>
        <v>140640</v>
      </c>
      <c r="I41" s="1710">
        <f t="shared" si="2"/>
        <v>129822</v>
      </c>
      <c r="J41" s="1710">
        <f t="shared" si="2"/>
        <v>52603</v>
      </c>
      <c r="K41" s="1710">
        <f t="shared" si="2"/>
        <v>0</v>
      </c>
      <c r="L41" s="1710">
        <f t="shared" si="2"/>
        <v>19105</v>
      </c>
      <c r="M41" s="1710">
        <f>SUM(M40)</f>
        <v>2396417</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3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Layout" topLeftCell="A61" colorId="8" zoomScaleNormal="110" zoomScaleSheetLayoutView="100" workbookViewId="0">
      <selection activeCell="A73" sqref="A7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6" t="s">
        <v>1237</v>
      </c>
      <c r="B3" s="2167"/>
      <c r="C3" s="1595"/>
      <c r="D3" s="1596"/>
      <c r="E3" s="1596"/>
      <c r="F3" s="1596"/>
      <c r="G3" s="1596"/>
      <c r="H3" s="1596"/>
      <c r="I3" s="1596"/>
      <c r="J3" s="1596"/>
      <c r="K3" s="1597"/>
      <c r="L3" s="506"/>
    </row>
    <row r="4" spans="1:13" ht="15.75" customHeight="1" x14ac:dyDescent="0.2">
      <c r="A4" s="1952" t="s">
        <v>1579</v>
      </c>
      <c r="B4" s="1953">
        <v>1000</v>
      </c>
      <c r="C4" s="1764">
        <f>'Revenues 9-14'!C109</f>
        <v>1086709</v>
      </c>
      <c r="D4" s="1764">
        <f>'Revenues 9-14'!D109</f>
        <v>163159</v>
      </c>
      <c r="E4" s="1764">
        <f>'Revenues 9-14'!E109</f>
        <v>0</v>
      </c>
      <c r="F4" s="1764">
        <f>'Revenues 9-14'!F109</f>
        <v>21533</v>
      </c>
      <c r="G4" s="1764">
        <f>'Revenues 9-14'!G109</f>
        <v>7708</v>
      </c>
      <c r="H4" s="1764">
        <f>'Revenues 9-14'!H109</f>
        <v>0</v>
      </c>
      <c r="I4" s="1764">
        <f>'Revenues 9-14'!I109</f>
        <v>10423</v>
      </c>
      <c r="J4" s="1764">
        <f>'Revenues 9-14'!J109</f>
        <v>9887</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371717</v>
      </c>
      <c r="D6" s="1765">
        <f>'Revenues 9-14'!D173</f>
        <v>71922</v>
      </c>
      <c r="E6" s="1765">
        <f>'Revenues 9-14'!E173</f>
        <v>0</v>
      </c>
      <c r="F6" s="1765">
        <f>'Revenues 9-14'!F173</f>
        <v>230250</v>
      </c>
      <c r="G6" s="1765">
        <f>'Revenues 9-14'!G173</f>
        <v>0</v>
      </c>
      <c r="H6" s="1765">
        <f>'Revenues 9-14'!H173</f>
        <v>60997</v>
      </c>
      <c r="I6" s="1765">
        <f>'Revenues 9-14'!I173</f>
        <v>0</v>
      </c>
      <c r="J6" s="1765">
        <f>'Revenues 9-14'!J173</f>
        <v>53617</v>
      </c>
      <c r="K6" s="1765">
        <f>'Revenues 9-14'!K173</f>
        <v>0</v>
      </c>
      <c r="L6" s="347"/>
      <c r="M6" s="513"/>
    </row>
    <row r="7" spans="1:13" ht="15.75" customHeight="1" x14ac:dyDescent="0.2">
      <c r="A7" s="1598" t="s">
        <v>1582</v>
      </c>
      <c r="B7" s="1600">
        <v>4000</v>
      </c>
      <c r="C7" s="1765">
        <f>'Revenues 9-14'!C274</f>
        <v>167496.99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1625922.99</v>
      </c>
      <c r="D8" s="1710">
        <f t="shared" ref="D8:K8" si="0">SUM(D4:D7)</f>
        <v>235081</v>
      </c>
      <c r="E8" s="1710">
        <f t="shared" si="0"/>
        <v>0</v>
      </c>
      <c r="F8" s="1710">
        <f t="shared" si="0"/>
        <v>251783</v>
      </c>
      <c r="G8" s="1710">
        <f t="shared" si="0"/>
        <v>7708</v>
      </c>
      <c r="H8" s="1710">
        <f t="shared" si="0"/>
        <v>60997</v>
      </c>
      <c r="I8" s="1710">
        <f t="shared" si="0"/>
        <v>10423</v>
      </c>
      <c r="J8" s="1710">
        <f t="shared" si="0"/>
        <v>63504</v>
      </c>
      <c r="K8" s="1710">
        <f t="shared" si="0"/>
        <v>0</v>
      </c>
      <c r="L8" s="347"/>
    </row>
    <row r="9" spans="1:13" ht="15.75" thickTop="1" x14ac:dyDescent="0.2">
      <c r="A9" s="514" t="s">
        <v>1752</v>
      </c>
      <c r="B9" s="515">
        <v>3998</v>
      </c>
      <c r="C9" s="481">
        <v>453671</v>
      </c>
      <c r="D9" s="516"/>
      <c r="E9" s="481"/>
      <c r="F9" s="481"/>
      <c r="G9" s="517"/>
      <c r="H9" s="481"/>
      <c r="I9" s="509" t="s">
        <v>1231</v>
      </c>
      <c r="J9" s="478"/>
      <c r="K9" s="481"/>
      <c r="L9" s="347"/>
    </row>
    <row r="10" spans="1:13" s="519" customFormat="1" ht="13.5" thickBot="1" x14ac:dyDescent="0.25">
      <c r="A10" s="1758" t="s">
        <v>1235</v>
      </c>
      <c r="B10" s="1731"/>
      <c r="C10" s="1710">
        <f>SUM(C8:C9)</f>
        <v>2079593.99</v>
      </c>
      <c r="D10" s="1710">
        <f t="shared" ref="D10:K10" si="1">SUM(D8:D9)</f>
        <v>235081</v>
      </c>
      <c r="E10" s="1710">
        <f t="shared" si="1"/>
        <v>0</v>
      </c>
      <c r="F10" s="1710">
        <f t="shared" si="1"/>
        <v>251783</v>
      </c>
      <c r="G10" s="1710">
        <f t="shared" si="1"/>
        <v>7708</v>
      </c>
      <c r="H10" s="1710">
        <f t="shared" si="1"/>
        <v>60997</v>
      </c>
      <c r="I10" s="1710">
        <f t="shared" si="1"/>
        <v>10423</v>
      </c>
      <c r="J10" s="1710">
        <f t="shared" si="1"/>
        <v>63504</v>
      </c>
      <c r="K10" s="1710">
        <f t="shared" si="1"/>
        <v>0</v>
      </c>
      <c r="L10" s="518"/>
    </row>
    <row r="11" spans="1:13" s="519" customFormat="1" ht="16.7" customHeight="1" thickTop="1" x14ac:dyDescent="0.2">
      <c r="A11" s="2140" t="s">
        <v>1238</v>
      </c>
      <c r="B11" s="2141"/>
      <c r="C11" s="1592"/>
      <c r="D11" s="1593"/>
      <c r="E11" s="1593"/>
      <c r="F11" s="1593"/>
      <c r="G11" s="1593"/>
      <c r="H11" s="1593"/>
      <c r="I11" s="1593"/>
      <c r="J11" s="1593"/>
      <c r="K11" s="1594"/>
      <c r="L11" s="518"/>
    </row>
    <row r="12" spans="1:13" ht="15.75" customHeight="1" x14ac:dyDescent="0.2">
      <c r="A12" s="1598" t="s">
        <v>476</v>
      </c>
      <c r="B12" s="1600">
        <v>1000</v>
      </c>
      <c r="C12" s="1764">
        <f>'Expenditures 15-22'!K33</f>
        <v>1039954</v>
      </c>
      <c r="D12" s="520" t="s">
        <v>1231</v>
      </c>
      <c r="E12" s="468" t="s">
        <v>1231</v>
      </c>
      <c r="F12" s="468" t="s">
        <v>1231</v>
      </c>
      <c r="G12" s="1764">
        <f>'Expenditures 15-22'!K229</f>
        <v>22540</v>
      </c>
      <c r="H12" s="521"/>
      <c r="I12" s="468" t="s">
        <v>1231</v>
      </c>
      <c r="J12" s="468" t="s">
        <v>1231</v>
      </c>
      <c r="K12" s="521" t="s">
        <v>1231</v>
      </c>
      <c r="L12" s="347"/>
    </row>
    <row r="13" spans="1:13" ht="15.75" customHeight="1" x14ac:dyDescent="0.2">
      <c r="A13" s="1598" t="s">
        <v>477</v>
      </c>
      <c r="B13" s="1600">
        <v>2000</v>
      </c>
      <c r="C13" s="1765">
        <f>'Expenditures 15-22'!K74</f>
        <v>364687</v>
      </c>
      <c r="D13" s="1765">
        <f>'Expenditures 15-22'!K129</f>
        <v>212870</v>
      </c>
      <c r="E13" s="469" t="s">
        <v>1231</v>
      </c>
      <c r="F13" s="1765">
        <f>'Expenditures 15-22'!K184</f>
        <v>137547</v>
      </c>
      <c r="G13" s="1765">
        <f>'Expenditures 15-22'!K279</f>
        <v>27720</v>
      </c>
      <c r="H13" s="1765">
        <f>'Expenditures 15-22'!K303</f>
        <v>1</v>
      </c>
      <c r="I13" s="468" t="s">
        <v>1231</v>
      </c>
      <c r="J13" s="1765">
        <f>'Expenditures 15-22'!K330</f>
        <v>108296</v>
      </c>
      <c r="K13" s="1769">
        <f>'Expenditures 15-22'!K352</f>
        <v>0</v>
      </c>
      <c r="L13" s="347"/>
    </row>
    <row r="14" spans="1:13" ht="15.75" customHeight="1" x14ac:dyDescent="0.2">
      <c r="A14" s="1598" t="s">
        <v>469</v>
      </c>
      <c r="B14" s="1600">
        <v>3000</v>
      </c>
      <c r="C14" s="1765">
        <f>'Expenditures 15-22'!K75</f>
        <v>625</v>
      </c>
      <c r="D14" s="1765">
        <f>'Expenditures 15-22'!K130</f>
        <v>27526</v>
      </c>
      <c r="E14" s="520" t="s">
        <v>1231</v>
      </c>
      <c r="F14" s="1765">
        <f>'Expenditures 15-22'!K185</f>
        <v>0</v>
      </c>
      <c r="G14" s="1765">
        <f>'Expenditures 15-22'!K280</f>
        <v>2116</v>
      </c>
      <c r="H14" s="512"/>
      <c r="I14" s="468" t="s">
        <v>1231</v>
      </c>
      <c r="J14" s="468" t="s">
        <v>1231</v>
      </c>
      <c r="K14" s="512" t="s">
        <v>1231</v>
      </c>
      <c r="L14" s="347"/>
    </row>
    <row r="15" spans="1:13" ht="15.75" customHeight="1" x14ac:dyDescent="0.2">
      <c r="A15" s="1598" t="s">
        <v>109</v>
      </c>
      <c r="B15" s="1600">
        <v>4000</v>
      </c>
      <c r="C15" s="1765">
        <f>'Expenditures 15-22'!K102</f>
        <v>88837</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1494103</v>
      </c>
      <c r="D17" s="1710">
        <f t="shared" si="2"/>
        <v>240396</v>
      </c>
      <c r="E17" s="1710">
        <f t="shared" si="2"/>
        <v>0</v>
      </c>
      <c r="F17" s="1710">
        <f t="shared" si="2"/>
        <v>137547</v>
      </c>
      <c r="G17" s="1710">
        <f t="shared" si="2"/>
        <v>52376</v>
      </c>
      <c r="H17" s="1710">
        <f t="shared" si="2"/>
        <v>1</v>
      </c>
      <c r="I17" s="468"/>
      <c r="J17" s="1710">
        <f>SUM(J12:J16)</f>
        <v>108296</v>
      </c>
      <c r="K17" s="1710">
        <f>SUM(K12:K16)</f>
        <v>0</v>
      </c>
      <c r="L17" s="347"/>
    </row>
    <row r="18" spans="1:12" ht="15" customHeight="1" thickTop="1" x14ac:dyDescent="0.2">
      <c r="A18" s="1766" t="s">
        <v>1753</v>
      </c>
      <c r="B18" s="1767">
        <v>4180</v>
      </c>
      <c r="C18" s="1764">
        <f t="shared" ref="C18:H18" si="3">C9</f>
        <v>453671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1947774</v>
      </c>
      <c r="D19" s="1710">
        <f t="shared" si="4"/>
        <v>240396</v>
      </c>
      <c r="E19" s="1710">
        <f t="shared" si="4"/>
        <v>0</v>
      </c>
      <c r="F19" s="1710">
        <f t="shared" si="4"/>
        <v>137547</v>
      </c>
      <c r="G19" s="1710">
        <f t="shared" si="4"/>
        <v>52376</v>
      </c>
      <c r="H19" s="1710">
        <f t="shared" si="4"/>
        <v>1</v>
      </c>
      <c r="I19" s="468"/>
      <c r="J19" s="1710">
        <f>SUM(J17:J18)</f>
        <v>108296</v>
      </c>
      <c r="K19" s="1710">
        <f>SUM(K17:K18)</f>
        <v>0</v>
      </c>
      <c r="L19" s="347"/>
    </row>
    <row r="20" spans="1:12" ht="16.5" thickTop="1" thickBot="1" x14ac:dyDescent="0.25">
      <c r="A20" s="2156" t="s">
        <v>1754</v>
      </c>
      <c r="B20" s="2157"/>
      <c r="C20" s="1768">
        <f>C8-C17</f>
        <v>131819.99</v>
      </c>
      <c r="D20" s="1768">
        <f t="shared" ref="D20:K20" si="5">D8-D17</f>
        <v>-5315</v>
      </c>
      <c r="E20" s="1768">
        <f t="shared" si="5"/>
        <v>0</v>
      </c>
      <c r="F20" s="1768">
        <f t="shared" si="5"/>
        <v>114236</v>
      </c>
      <c r="G20" s="1768">
        <f t="shared" si="5"/>
        <v>-44668</v>
      </c>
      <c r="H20" s="1768">
        <f t="shared" si="5"/>
        <v>60996</v>
      </c>
      <c r="I20" s="1768">
        <f t="shared" si="5"/>
        <v>10423</v>
      </c>
      <c r="J20" s="1768">
        <f t="shared" si="5"/>
        <v>-44792</v>
      </c>
      <c r="K20" s="1768">
        <f t="shared" si="5"/>
        <v>0</v>
      </c>
      <c r="L20" s="347"/>
    </row>
    <row r="21" spans="1:12" ht="16.7" customHeight="1" thickTop="1" x14ac:dyDescent="0.2">
      <c r="A21" s="2168" t="s">
        <v>616</v>
      </c>
      <c r="B21" s="2169"/>
      <c r="C21" s="1592"/>
      <c r="D21" s="1593"/>
      <c r="E21" s="1593"/>
      <c r="F21" s="1593"/>
      <c r="G21" s="1593"/>
      <c r="H21" s="1593"/>
      <c r="I21" s="1593"/>
      <c r="J21" s="1593"/>
      <c r="K21" s="1594"/>
      <c r="L21" s="524"/>
    </row>
    <row r="22" spans="1:12" ht="15.75" customHeight="1" collapsed="1" x14ac:dyDescent="0.2">
      <c r="A22" s="2164" t="s">
        <v>617</v>
      </c>
      <c r="B22" s="2165"/>
      <c r="C22" s="477"/>
      <c r="D22" s="477"/>
      <c r="E22" s="477"/>
      <c r="F22" s="477"/>
      <c r="G22" s="477"/>
      <c r="H22" s="477"/>
      <c r="I22" s="477"/>
      <c r="J22" s="477"/>
      <c r="K22" s="477"/>
      <c r="L22" s="347"/>
    </row>
    <row r="23" spans="1:12" s="485" customFormat="1" ht="15.75" customHeight="1" x14ac:dyDescent="0.2">
      <c r="A23" s="2160" t="s">
        <v>311</v>
      </c>
      <c r="B23" s="216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62" t="s">
        <v>1038</v>
      </c>
      <c r="B32" s="216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70" t="s">
        <v>392</v>
      </c>
      <c r="B44" s="2171"/>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4" t="s">
        <v>110</v>
      </c>
      <c r="B45" s="2165"/>
      <c r="C45" s="528"/>
      <c r="D45" s="528"/>
      <c r="E45" s="528"/>
      <c r="F45" s="528"/>
      <c r="G45" s="528"/>
      <c r="H45" s="528"/>
      <c r="I45" s="528"/>
      <c r="J45" s="528"/>
      <c r="K45" s="528"/>
      <c r="L45" s="347"/>
    </row>
    <row r="46" spans="1:12" s="485" customFormat="1" ht="15.75" customHeight="1" x14ac:dyDescent="0.2">
      <c r="A46" s="2172" t="s">
        <v>111</v>
      </c>
      <c r="B46" s="217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6" t="s">
        <v>460</v>
      </c>
      <c r="B76" s="2147"/>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8" t="s">
        <v>1239</v>
      </c>
      <c r="B77" s="2149"/>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52" t="s">
        <v>618</v>
      </c>
      <c r="B78" s="2153"/>
      <c r="C78" s="1724">
        <f t="shared" ref="C78:K78" si="9">C20+C77</f>
        <v>131819.99</v>
      </c>
      <c r="D78" s="1724">
        <f t="shared" si="9"/>
        <v>-5315</v>
      </c>
      <c r="E78" s="1724">
        <f t="shared" si="9"/>
        <v>0</v>
      </c>
      <c r="F78" s="1724">
        <f t="shared" si="9"/>
        <v>114236</v>
      </c>
      <c r="G78" s="1724">
        <f t="shared" si="9"/>
        <v>-44668</v>
      </c>
      <c r="H78" s="1724">
        <f t="shared" si="9"/>
        <v>60996</v>
      </c>
      <c r="I78" s="1724">
        <f t="shared" si="9"/>
        <v>10423</v>
      </c>
      <c r="J78" s="1724">
        <f t="shared" si="9"/>
        <v>-44792</v>
      </c>
      <c r="K78" s="1724">
        <f t="shared" si="9"/>
        <v>0</v>
      </c>
      <c r="L78" s="533"/>
    </row>
    <row r="79" spans="1:12" ht="13.5" thickTop="1" x14ac:dyDescent="0.2">
      <c r="A79" s="1516" t="s">
        <v>2073</v>
      </c>
      <c r="B79" s="534"/>
      <c r="C79" s="478">
        <v>2188162.0099999998</v>
      </c>
      <c r="D79" s="535">
        <v>609562</v>
      </c>
      <c r="E79" s="535">
        <v>0</v>
      </c>
      <c r="F79" s="535">
        <v>392698</v>
      </c>
      <c r="G79" s="535">
        <v>147216</v>
      </c>
      <c r="H79" s="535">
        <v>79644</v>
      </c>
      <c r="I79" s="535">
        <v>119399</v>
      </c>
      <c r="J79" s="535">
        <v>97395</v>
      </c>
      <c r="K79" s="535">
        <v>0</v>
      </c>
      <c r="L79" s="347"/>
    </row>
    <row r="80" spans="1:12" x14ac:dyDescent="0.2">
      <c r="A80" s="2158" t="s">
        <v>1898</v>
      </c>
      <c r="B80" s="2159"/>
      <c r="C80" s="467"/>
      <c r="D80" s="467"/>
      <c r="E80" s="467"/>
      <c r="F80" s="467"/>
      <c r="G80" s="467"/>
      <c r="H80" s="467"/>
      <c r="I80" s="467"/>
      <c r="J80" s="467"/>
      <c r="K80" s="467"/>
      <c r="L80" s="347"/>
    </row>
    <row r="81" spans="1:12" ht="13.5" thickBot="1" x14ac:dyDescent="0.25">
      <c r="A81" s="2150" t="s">
        <v>2074</v>
      </c>
      <c r="B81" s="2151"/>
      <c r="C81" s="1710">
        <f>(SUM(C78:C80))</f>
        <v>2319982</v>
      </c>
      <c r="D81" s="1710">
        <f>SUM(D78:D80)</f>
        <v>604247</v>
      </c>
      <c r="E81" s="1710">
        <f t="shared" ref="E81:K81" si="10">SUM(E78:E80)</f>
        <v>0</v>
      </c>
      <c r="F81" s="1710">
        <f t="shared" si="10"/>
        <v>506934</v>
      </c>
      <c r="G81" s="1710">
        <f t="shared" si="10"/>
        <v>102548</v>
      </c>
      <c r="H81" s="1710">
        <f t="shared" si="10"/>
        <v>140640</v>
      </c>
      <c r="I81" s="1710">
        <f t="shared" si="10"/>
        <v>129822</v>
      </c>
      <c r="J81" s="1710">
        <f t="shared" si="10"/>
        <v>52603</v>
      </c>
      <c r="K81" s="1710">
        <f t="shared" si="10"/>
        <v>0</v>
      </c>
      <c r="L81" s="347"/>
    </row>
    <row r="82" spans="1:12" ht="0.75" customHeight="1" thickTop="1" thickBot="1" x14ac:dyDescent="0.25">
      <c r="A82" s="536" t="s">
        <v>361</v>
      </c>
      <c r="B82" s="537"/>
      <c r="C82" s="538">
        <f>(C81-C79)</f>
        <v>131819.99000000022</v>
      </c>
      <c r="D82" s="538">
        <f t="shared" ref="D82:K82" si="11">(D81-D79)</f>
        <v>-5315</v>
      </c>
      <c r="E82" s="538">
        <f t="shared" si="11"/>
        <v>0</v>
      </c>
      <c r="F82" s="538">
        <f t="shared" si="11"/>
        <v>114236</v>
      </c>
      <c r="G82" s="538">
        <f t="shared" si="11"/>
        <v>-44668</v>
      </c>
      <c r="H82" s="538">
        <f t="shared" si="11"/>
        <v>60996</v>
      </c>
      <c r="I82" s="538">
        <f t="shared" si="11"/>
        <v>10423</v>
      </c>
      <c r="J82" s="538">
        <f t="shared" si="11"/>
        <v>-44792</v>
      </c>
      <c r="K82" s="538">
        <f t="shared" si="11"/>
        <v>0</v>
      </c>
    </row>
    <row r="83" spans="1:12" ht="14.25" hidden="1" thickTop="1" thickBot="1" x14ac:dyDescent="0.25">
      <c r="A83" s="539" t="s">
        <v>362</v>
      </c>
      <c r="B83" s="464"/>
      <c r="C83" s="540">
        <f>C82/C81</f>
        <v>5.6819402047084945E-2</v>
      </c>
      <c r="D83" s="540">
        <f t="shared" ref="D83:K83" si="12">D82/D81</f>
        <v>-8.7960718050730906E-3</v>
      </c>
      <c r="E83" s="540" t="e">
        <f t="shared" si="12"/>
        <v>#DIV/0!</v>
      </c>
      <c r="F83" s="540">
        <f t="shared" si="12"/>
        <v>0.22534688933865157</v>
      </c>
      <c r="G83" s="540">
        <f t="shared" si="12"/>
        <v>-0.43558138627764559</v>
      </c>
      <c r="H83" s="540">
        <f t="shared" si="12"/>
        <v>0.43370307167235495</v>
      </c>
      <c r="I83" s="540">
        <f t="shared" si="12"/>
        <v>8.0286854308206618E-2</v>
      </c>
      <c r="J83" s="540">
        <f t="shared" si="12"/>
        <v>-0.85151037013098108</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activeCell="D16" sqref="D1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4" t="s">
        <v>1905</v>
      </c>
      <c r="B1" s="452"/>
      <c r="C1" s="453" t="s">
        <v>445</v>
      </c>
      <c r="D1" s="453" t="s">
        <v>446</v>
      </c>
      <c r="E1" s="453" t="s">
        <v>447</v>
      </c>
      <c r="F1" s="453" t="s">
        <v>448</v>
      </c>
      <c r="G1" s="453" t="s">
        <v>449</v>
      </c>
      <c r="H1" s="453" t="s">
        <v>450</v>
      </c>
      <c r="I1" s="453" t="s">
        <v>451</v>
      </c>
      <c r="J1" s="453" t="s">
        <v>452</v>
      </c>
      <c r="K1" s="453" t="s">
        <v>780</v>
      </c>
    </row>
    <row r="2" spans="1:12" ht="36" x14ac:dyDescent="0.2">
      <c r="A2" s="215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763756</v>
      </c>
      <c r="D5" s="481">
        <v>98057</v>
      </c>
      <c r="E5" s="466"/>
      <c r="F5" s="548">
        <v>9886</v>
      </c>
      <c r="G5" s="466">
        <v>990</v>
      </c>
      <c r="H5" s="466"/>
      <c r="I5" s="466">
        <v>10265</v>
      </c>
      <c r="J5" s="467">
        <v>9887</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27678</v>
      </c>
      <c r="D7" s="466"/>
      <c r="E7" s="468"/>
      <c r="F7" s="467"/>
      <c r="G7" s="467"/>
      <c r="H7" s="467"/>
      <c r="I7" s="468"/>
      <c r="J7" s="468"/>
      <c r="K7" s="468"/>
    </row>
    <row r="8" spans="1:12" x14ac:dyDescent="0.2">
      <c r="A8" s="463" t="s">
        <v>433</v>
      </c>
      <c r="B8" s="470">
        <v>1150</v>
      </c>
      <c r="C8" s="475"/>
      <c r="D8" s="475"/>
      <c r="E8" s="477"/>
      <c r="F8" s="477"/>
      <c r="G8" s="481">
        <v>990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791434</v>
      </c>
      <c r="D12" s="1729">
        <f t="shared" si="0"/>
        <v>98057</v>
      </c>
      <c r="E12" s="1729">
        <f t="shared" si="0"/>
        <v>0</v>
      </c>
      <c r="F12" s="1729">
        <f t="shared" si="0"/>
        <v>9886</v>
      </c>
      <c r="G12" s="1729">
        <f t="shared" si="0"/>
        <v>1980</v>
      </c>
      <c r="H12" s="1729">
        <f t="shared" si="0"/>
        <v>0</v>
      </c>
      <c r="I12" s="1729">
        <f t="shared" si="0"/>
        <v>10265</v>
      </c>
      <c r="J12" s="1729">
        <f t="shared" si="0"/>
        <v>9887</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34220</v>
      </c>
      <c r="D16" s="466">
        <v>45000</v>
      </c>
      <c r="E16" s="466"/>
      <c r="F16" s="466">
        <v>10500</v>
      </c>
      <c r="G16" s="466">
        <v>5500</v>
      </c>
      <c r="H16" s="466"/>
      <c r="I16" s="466"/>
      <c r="J16" s="467"/>
      <c r="K16" s="466"/>
    </row>
    <row r="17" spans="1:11" ht="12.75" customHeight="1" x14ac:dyDescent="0.2">
      <c r="A17" s="463" t="s">
        <v>840</v>
      </c>
      <c r="B17" s="470">
        <v>1290</v>
      </c>
      <c r="C17" s="551">
        <v>231272</v>
      </c>
      <c r="D17" s="466"/>
      <c r="E17" s="466"/>
      <c r="F17" s="466"/>
      <c r="G17" s="466"/>
      <c r="H17" s="466"/>
      <c r="I17" s="466"/>
      <c r="J17" s="467"/>
      <c r="K17" s="466"/>
    </row>
    <row r="18" spans="1:11" ht="12.75" customHeight="1" thickBot="1" x14ac:dyDescent="0.25">
      <c r="A18" s="1730" t="s">
        <v>558</v>
      </c>
      <c r="B18" s="1731"/>
      <c r="C18" s="1732">
        <f>SUM(C14:C17)</f>
        <v>265492</v>
      </c>
      <c r="D18" s="1732">
        <f t="shared" ref="D18:K18" si="1">SUM(D14:D17)</f>
        <v>45000</v>
      </c>
      <c r="E18" s="1732">
        <f t="shared" si="1"/>
        <v>0</v>
      </c>
      <c r="F18" s="1732">
        <f t="shared" si="1"/>
        <v>10500</v>
      </c>
      <c r="G18" s="1732">
        <f t="shared" si="1"/>
        <v>5500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4151</v>
      </c>
      <c r="D65" s="466"/>
      <c r="E65" s="466"/>
      <c r="F65" s="467">
        <v>1147</v>
      </c>
      <c r="G65" s="466">
        <v>228</v>
      </c>
      <c r="H65" s="466"/>
      <c r="I65" s="466">
        <v>158</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4151</v>
      </c>
      <c r="D67" s="1710">
        <f t="shared" ref="D67:K67" si="2">SUM(D65:D66)</f>
        <v>0</v>
      </c>
      <c r="E67" s="1710">
        <f t="shared" si="2"/>
        <v>0</v>
      </c>
      <c r="F67" s="1710">
        <f t="shared" si="2"/>
        <v>1147</v>
      </c>
      <c r="G67" s="1710">
        <f t="shared" si="2"/>
        <v>228</v>
      </c>
      <c r="H67" s="1710">
        <f t="shared" si="2"/>
        <v>0</v>
      </c>
      <c r="I67" s="1710">
        <f t="shared" si="2"/>
        <v>158</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11873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580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12453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f>6762+2845</f>
        <v>9607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v>4845</v>
      </c>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9607</v>
      </c>
      <c r="D82" s="1710">
        <f>SUM(D77:D81)</f>
        <v>4845</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2060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2060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v>15257</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1512</v>
      </c>
      <c r="D107" s="466"/>
      <c r="E107" s="466"/>
      <c r="F107" s="466"/>
      <c r="G107" s="466"/>
      <c r="H107" s="466"/>
      <c r="I107" s="466"/>
      <c r="J107" s="467"/>
      <c r="K107" s="466"/>
    </row>
    <row r="108" spans="1:12" ht="12.75" customHeight="1" thickBot="1" x14ac:dyDescent="0.25">
      <c r="A108" s="1730" t="s">
        <v>508</v>
      </c>
      <c r="B108" s="1734"/>
      <c r="C108" s="1729">
        <f>SUM(C95:C107)</f>
        <v>1512</v>
      </c>
      <c r="D108" s="1729">
        <f t="shared" ref="D108:K108" si="3">SUM(D95:D107)</f>
        <v>15257</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1086709</v>
      </c>
      <c r="D109" s="1737">
        <f t="shared" si="4"/>
        <v>163159</v>
      </c>
      <c r="E109" s="1737">
        <f t="shared" si="4"/>
        <v>0</v>
      </c>
      <c r="F109" s="1737">
        <f t="shared" si="4"/>
        <v>21533</v>
      </c>
      <c r="G109" s="1737">
        <f t="shared" si="4"/>
        <v>7708</v>
      </c>
      <c r="H109" s="1737">
        <f t="shared" si="4"/>
        <v>0</v>
      </c>
      <c r="I109" s="1737">
        <f t="shared" si="4"/>
        <v>10423</v>
      </c>
      <c r="J109" s="1737">
        <f t="shared" si="4"/>
        <v>9887</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f>291357+2831</f>
        <v>294188</v>
      </c>
      <c r="D117" s="481">
        <v>71922</v>
      </c>
      <c r="E117" s="466"/>
      <c r="F117" s="481">
        <v>152221</v>
      </c>
      <c r="G117" s="481"/>
      <c r="H117" s="466"/>
      <c r="I117" s="468"/>
      <c r="J117" s="467">
        <v>53617</v>
      </c>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294188</v>
      </c>
      <c r="D121" s="1729">
        <f t="shared" si="5"/>
        <v>71922</v>
      </c>
      <c r="E121" s="1729">
        <f t="shared" si="5"/>
        <v>0</v>
      </c>
      <c r="F121" s="1729">
        <f t="shared" si="5"/>
        <v>152221</v>
      </c>
      <c r="G121" s="1729">
        <f t="shared" si="5"/>
        <v>0</v>
      </c>
      <c r="H121" s="1729">
        <f t="shared" si="5"/>
        <v>0</v>
      </c>
      <c r="I121" s="468"/>
      <c r="J121" s="1729">
        <f>SUM(J117:J120)</f>
        <v>53617</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7662</v>
      </c>
      <c r="D125" s="561"/>
      <c r="E125" s="468"/>
      <c r="F125" s="466"/>
      <c r="G125" s="468"/>
      <c r="H125" s="468"/>
      <c r="I125" s="468"/>
      <c r="J125" s="468"/>
      <c r="K125" s="468"/>
    </row>
    <row r="126" spans="1:11" ht="12.75" customHeight="1" x14ac:dyDescent="0.2">
      <c r="A126" s="463" t="s">
        <v>922</v>
      </c>
      <c r="B126" s="562">
        <v>3110</v>
      </c>
      <c r="C126" s="551">
        <v>8500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16162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f>238+398</f>
        <v>636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f>34370+16155</f>
        <v>50525</v>
      </c>
      <c r="G151" s="467"/>
      <c r="H151" s="468"/>
      <c r="I151" s="468"/>
      <c r="J151" s="468"/>
      <c r="K151" s="468"/>
    </row>
    <row r="152" spans="1:11" ht="12.75" customHeight="1" x14ac:dyDescent="0.2">
      <c r="A152" s="463" t="s">
        <v>1117</v>
      </c>
      <c r="B152" s="562">
        <v>3510</v>
      </c>
      <c r="C152" s="551"/>
      <c r="D152" s="466"/>
      <c r="E152" s="561"/>
      <c r="F152" s="466">
        <f>15979+11525</f>
        <v>27504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78029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f>39033+21698</f>
        <v>60731</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v>60997</v>
      </c>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74" t="s">
        <v>418</v>
      </c>
      <c r="B172" s="2175"/>
      <c r="C172" s="1744">
        <f t="shared" ref="C172:K172" si="6">SUM(C131,C140,C144,C145:C149,C154,C155:C170,C171)</f>
        <v>77529</v>
      </c>
      <c r="D172" s="1744">
        <f t="shared" si="6"/>
        <v>0</v>
      </c>
      <c r="E172" s="1744">
        <f t="shared" si="6"/>
        <v>0</v>
      </c>
      <c r="F172" s="1744">
        <f t="shared" si="6"/>
        <v>78029</v>
      </c>
      <c r="G172" s="1744">
        <f t="shared" si="6"/>
        <v>0</v>
      </c>
      <c r="H172" s="1744">
        <f t="shared" si="6"/>
        <v>60997</v>
      </c>
      <c r="I172" s="1744">
        <f t="shared" si="6"/>
        <v>0</v>
      </c>
      <c r="J172" s="1744">
        <f t="shared" si="6"/>
        <v>0</v>
      </c>
      <c r="K172" s="1725">
        <f t="shared" si="6"/>
        <v>0</v>
      </c>
    </row>
    <row r="173" spans="1:11" ht="12.75" customHeight="1" thickTop="1" thickBot="1" x14ac:dyDescent="0.25">
      <c r="A173" s="1730" t="s">
        <v>419</v>
      </c>
      <c r="B173" s="1736" t="s">
        <v>596</v>
      </c>
      <c r="C173" s="1737">
        <f>SUM(C121,C172)</f>
        <v>371717</v>
      </c>
      <c r="D173" s="1737">
        <f>SUM(D121,D172)</f>
        <v>71922</v>
      </c>
      <c r="E173" s="1737">
        <f>SUM(E121,E172)</f>
        <v>0</v>
      </c>
      <c r="F173" s="1737">
        <f t="shared" ref="F173:K173" si="7">SUM(F121,F172)</f>
        <v>230250</v>
      </c>
      <c r="G173" s="1737">
        <f t="shared" si="7"/>
        <v>0</v>
      </c>
      <c r="H173" s="1737">
        <f t="shared" si="7"/>
        <v>60997</v>
      </c>
      <c r="I173" s="1737">
        <f t="shared" si="7"/>
        <v>0</v>
      </c>
      <c r="J173" s="1737">
        <f t="shared" si="7"/>
        <v>53617</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6" t="s">
        <v>1572</v>
      </c>
      <c r="B175" s="217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0" t="s">
        <v>1764</v>
      </c>
      <c r="B178" s="218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4" t="s">
        <v>1763</v>
      </c>
      <c r="B179" s="218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34416</v>
      </c>
      <c r="D183" s="466"/>
      <c r="E183" s="468"/>
      <c r="F183" s="466"/>
      <c r="G183" s="466"/>
      <c r="H183" s="466"/>
      <c r="I183" s="468"/>
      <c r="J183" s="468"/>
      <c r="K183" s="466"/>
    </row>
    <row r="184" spans="1:11" ht="13.5" thickBot="1" x14ac:dyDescent="0.25">
      <c r="A184" s="2182" t="s">
        <v>818</v>
      </c>
      <c r="B184" s="2183"/>
      <c r="C184" s="1729">
        <f>SUM(C180:C183)</f>
        <v>34416</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8" t="s">
        <v>1906</v>
      </c>
      <c r="B185" s="217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f>6737+18095+5751</f>
        <v>30583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f>5985+1063</f>
        <v>7048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37631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f>48058+39106</f>
        <v>87164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87164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f>4783+3502.99</f>
        <v>8285.99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133080.99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167496.99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1625922.99</v>
      </c>
      <c r="D275" s="1737">
        <f t="shared" si="12"/>
        <v>235081</v>
      </c>
      <c r="E275" s="1737">
        <f t="shared" si="12"/>
        <v>0</v>
      </c>
      <c r="F275" s="1737">
        <f t="shared" si="12"/>
        <v>251783</v>
      </c>
      <c r="G275" s="1737">
        <f t="shared" si="12"/>
        <v>7708</v>
      </c>
      <c r="H275" s="1737">
        <f t="shared" si="12"/>
        <v>60997</v>
      </c>
      <c r="I275" s="1737">
        <f t="shared" si="12"/>
        <v>10423</v>
      </c>
      <c r="J275" s="1737">
        <f t="shared" si="12"/>
        <v>63504</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3" right="0.15" top="0.86" bottom="0.35" header="0.28000000000000003" footer="0.1"/>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 Date:  &amp;D
&amp;F&amp;CSee Notes To Financial Statements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topLeftCell="A310" colorId="8" zoomScaleNormal="100" workbookViewId="0">
      <selection activeCell="D341" sqref="D34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2" t="s">
        <v>315</v>
      </c>
      <c r="B3" s="219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544953</v>
      </c>
      <c r="D5" s="466">
        <v>87244</v>
      </c>
      <c r="E5" s="466">
        <v>15335</v>
      </c>
      <c r="F5" s="466">
        <v>99838</v>
      </c>
      <c r="G5" s="466">
        <v>43973</v>
      </c>
      <c r="H5" s="466">
        <v>7756</v>
      </c>
      <c r="I5" s="467"/>
      <c r="J5" s="467"/>
      <c r="K5" s="1693">
        <f>SUM(C5:J5)</f>
        <v>799099</v>
      </c>
      <c r="L5" s="466">
        <f>SUMIF(Data!$A:$A,"10-"&amp;LEFT($B5,3)&amp;"*",Data!$T:$T)</f>
        <v>0</v>
      </c>
    </row>
    <row r="6" spans="1:14" x14ac:dyDescent="0.2">
      <c r="A6" s="1526" t="s">
        <v>1508</v>
      </c>
      <c r="B6" s="615" t="s">
        <v>1506</v>
      </c>
      <c r="C6" s="477"/>
      <c r="D6" s="477"/>
      <c r="E6" s="466"/>
      <c r="F6" s="477"/>
      <c r="G6" s="477"/>
      <c r="H6" s="477"/>
      <c r="I6" s="477"/>
      <c r="J6" s="477"/>
      <c r="K6" s="1693">
        <f>SUM(C6,E6)</f>
        <v>0</v>
      </c>
      <c r="L6" s="466">
        <f>SUMIF(Data!$A:$A,"10-"&amp;LEFT($B6,3)&amp;"*-*",Data!$T:$T)</f>
        <v>787164</v>
      </c>
    </row>
    <row r="7" spans="1:14" x14ac:dyDescent="0.2">
      <c r="A7" s="1526" t="s">
        <v>165</v>
      </c>
      <c r="B7" s="615" t="s">
        <v>1024</v>
      </c>
      <c r="C7" s="467">
        <v>33325</v>
      </c>
      <c r="D7" s="467">
        <v>3823</v>
      </c>
      <c r="E7" s="467">
        <v>0</v>
      </c>
      <c r="F7" s="467">
        <v>2263</v>
      </c>
      <c r="G7" s="467">
        <v>462</v>
      </c>
      <c r="H7" s="467"/>
      <c r="I7" s="467"/>
      <c r="J7" s="467"/>
      <c r="K7" s="1693">
        <f t="shared" ref="K7:K32" si="0">SUM(C7:J7)</f>
        <v>39873</v>
      </c>
      <c r="L7" s="466">
        <f>SUMIF(Data!$A:$A,"10-"&amp;LEFT($B7,3)&amp;"*-*",Data!$T:$T)</f>
        <v>40731</v>
      </c>
    </row>
    <row r="8" spans="1:14" x14ac:dyDescent="0.2">
      <c r="A8" s="1526" t="s">
        <v>166</v>
      </c>
      <c r="B8" s="615">
        <v>1200</v>
      </c>
      <c r="C8" s="466">
        <v>82449</v>
      </c>
      <c r="D8" s="466">
        <v>7792</v>
      </c>
      <c r="E8" s="466">
        <v>4929</v>
      </c>
      <c r="F8" s="466"/>
      <c r="G8" s="466"/>
      <c r="H8" s="466"/>
      <c r="I8" s="467"/>
      <c r="J8" s="467"/>
      <c r="K8" s="1693">
        <f t="shared" si="0"/>
        <v>95170</v>
      </c>
      <c r="L8" s="466">
        <f>SUMIF(Data!$A:$A,"10-"&amp;LEFT($B8,3)&amp;"*-*",Data!$T:$T)</f>
        <v>99931</v>
      </c>
    </row>
    <row r="9" spans="1:14" x14ac:dyDescent="0.2">
      <c r="A9" s="1526" t="s">
        <v>745</v>
      </c>
      <c r="B9" s="615" t="s">
        <v>1025</v>
      </c>
      <c r="C9" s="467"/>
      <c r="D9" s="467"/>
      <c r="E9" s="467"/>
      <c r="F9" s="467"/>
      <c r="G9" s="467"/>
      <c r="H9" s="467"/>
      <c r="I9" s="467"/>
      <c r="J9" s="467"/>
      <c r="K9" s="1693">
        <f t="shared" si="0"/>
        <v>0</v>
      </c>
      <c r="L9" s="466">
        <f>SUMIF(Data!$A:$A,"10-"&amp;LEFT($B9,3)&amp;"*-*",Data!$T:$T)</f>
        <v>0</v>
      </c>
    </row>
    <row r="10" spans="1:14" x14ac:dyDescent="0.2">
      <c r="A10" s="1526" t="s">
        <v>746</v>
      </c>
      <c r="B10" s="615">
        <v>1250</v>
      </c>
      <c r="C10" s="466">
        <v>28959</v>
      </c>
      <c r="D10" s="466">
        <v>5788</v>
      </c>
      <c r="E10" s="466"/>
      <c r="F10" s="466">
        <v>25590</v>
      </c>
      <c r="G10" s="466"/>
      <c r="H10" s="466"/>
      <c r="I10" s="467"/>
      <c r="J10" s="467"/>
      <c r="K10" s="1693">
        <f t="shared" si="0"/>
        <v>60337</v>
      </c>
      <c r="L10" s="466">
        <f>SUMIF(Data!$A:$A,"10-"&amp;LEFT($B10,3)&amp;"*-*",Data!$T:$T)</f>
        <v>37500</v>
      </c>
    </row>
    <row r="11" spans="1:14" x14ac:dyDescent="0.2">
      <c r="A11" s="1526" t="s">
        <v>1192</v>
      </c>
      <c r="B11" s="615" t="s">
        <v>163</v>
      </c>
      <c r="C11" s="467"/>
      <c r="D11" s="467"/>
      <c r="E11" s="467"/>
      <c r="F11" s="467"/>
      <c r="G11" s="467"/>
      <c r="H11" s="467"/>
      <c r="I11" s="467"/>
      <c r="J11" s="467"/>
      <c r="K11" s="1693">
        <f t="shared" si="0"/>
        <v>0</v>
      </c>
      <c r="L11" s="466">
        <f>SUMIF(Data!$A:$A,"10-"&amp;LEFT($B11,3)&amp;"*-*",Data!$T:$T)</f>
        <v>0</v>
      </c>
    </row>
    <row r="12" spans="1:14" x14ac:dyDescent="0.2">
      <c r="A12" s="1526" t="s">
        <v>1019</v>
      </c>
      <c r="B12" s="615">
        <v>1300</v>
      </c>
      <c r="C12" s="466"/>
      <c r="D12" s="466"/>
      <c r="E12" s="466"/>
      <c r="F12" s="466"/>
      <c r="G12" s="466"/>
      <c r="H12" s="466"/>
      <c r="I12" s="467"/>
      <c r="J12" s="467"/>
      <c r="K12" s="1693">
        <f t="shared" si="0"/>
        <v>0</v>
      </c>
      <c r="L12" s="466">
        <f>SUMIF(Data!$A:$A,"10-"&amp;LEFT($B12,3)&amp;"*-*",Data!$T:$T)</f>
        <v>0</v>
      </c>
    </row>
    <row r="13" spans="1:14" x14ac:dyDescent="0.2">
      <c r="A13" s="1526" t="s">
        <v>747</v>
      </c>
      <c r="B13" s="615">
        <v>1400</v>
      </c>
      <c r="C13" s="466"/>
      <c r="D13" s="466"/>
      <c r="E13" s="466"/>
      <c r="F13" s="466"/>
      <c r="G13" s="466"/>
      <c r="H13" s="466"/>
      <c r="I13" s="467"/>
      <c r="J13" s="467"/>
      <c r="K13" s="1693">
        <f t="shared" si="0"/>
        <v>0</v>
      </c>
      <c r="L13" s="466">
        <f>SUMIF(Data!$A:$A,"10-"&amp;LEFT($B13,3)&amp;"*-*",Data!$T:$T)</f>
        <v>0</v>
      </c>
    </row>
    <row r="14" spans="1:14" x14ac:dyDescent="0.2">
      <c r="A14" s="1526" t="s">
        <v>1020</v>
      </c>
      <c r="B14" s="615">
        <v>1500</v>
      </c>
      <c r="C14" s="466">
        <v>22115</v>
      </c>
      <c r="D14" s="466">
        <v>248</v>
      </c>
      <c r="E14" s="466">
        <v>9289</v>
      </c>
      <c r="F14" s="466">
        <v>3158</v>
      </c>
      <c r="G14" s="466">
        <v>7187</v>
      </c>
      <c r="H14" s="466">
        <v>3478</v>
      </c>
      <c r="I14" s="467"/>
      <c r="J14" s="467"/>
      <c r="K14" s="1693">
        <f t="shared" si="0"/>
        <v>45475</v>
      </c>
      <c r="L14" s="466">
        <f>SUMIF(Data!$A:$A,"10-"&amp;LEFT($B14,3)&amp;"*-*",Data!$T:$T)</f>
        <v>35420</v>
      </c>
    </row>
    <row r="15" spans="1:14" x14ac:dyDescent="0.2">
      <c r="A15" s="1526" t="s">
        <v>1021</v>
      </c>
      <c r="B15" s="615">
        <v>1600</v>
      </c>
      <c r="C15" s="466"/>
      <c r="D15" s="466"/>
      <c r="E15" s="466"/>
      <c r="F15" s="466"/>
      <c r="G15" s="466"/>
      <c r="H15" s="466"/>
      <c r="I15" s="467"/>
      <c r="J15" s="467"/>
      <c r="K15" s="1693">
        <f t="shared" si="0"/>
        <v>0</v>
      </c>
      <c r="L15" s="466">
        <f>SUMIF(Data!$A:$A,"10-"&amp;LEFT($B15,3)&amp;"*-*",Data!$T:$T)</f>
        <v>0</v>
      </c>
    </row>
    <row r="16" spans="1:14" x14ac:dyDescent="0.2">
      <c r="A16" s="1526" t="s">
        <v>1044</v>
      </c>
      <c r="B16" s="615" t="s">
        <v>444</v>
      </c>
      <c r="C16" s="466"/>
      <c r="D16" s="466"/>
      <c r="E16" s="466"/>
      <c r="F16" s="466"/>
      <c r="G16" s="466"/>
      <c r="H16" s="466"/>
      <c r="I16" s="467"/>
      <c r="J16" s="467"/>
      <c r="K16" s="1693">
        <f t="shared" si="0"/>
        <v>0</v>
      </c>
      <c r="L16" s="466">
        <f>SUMIF(Data!$A:$A,"10-"&amp;LEFT($B16,3)&amp;"*-*",Data!$T:$T)</f>
        <v>0</v>
      </c>
    </row>
    <row r="17" spans="1:12" x14ac:dyDescent="0.2">
      <c r="A17" s="1526" t="s">
        <v>748</v>
      </c>
      <c r="B17" s="615" t="s">
        <v>164</v>
      </c>
      <c r="C17" s="467"/>
      <c r="D17" s="467"/>
      <c r="E17" s="467"/>
      <c r="F17" s="467"/>
      <c r="G17" s="467"/>
      <c r="H17" s="467"/>
      <c r="I17" s="467"/>
      <c r="J17" s="467"/>
      <c r="K17" s="1693">
        <f t="shared" si="0"/>
        <v>0</v>
      </c>
      <c r="L17" s="466">
        <f>SUMIF(Data!$A:$A,"10-"&amp;LEFT($B17,3)&amp;"*-*",Data!$T:$T)</f>
        <v>0</v>
      </c>
    </row>
    <row r="18" spans="1:12" x14ac:dyDescent="0.2">
      <c r="A18" s="1526" t="s">
        <v>1148</v>
      </c>
      <c r="B18" s="615">
        <v>1800</v>
      </c>
      <c r="C18" s="466"/>
      <c r="D18" s="466"/>
      <c r="E18" s="466"/>
      <c r="F18" s="466"/>
      <c r="G18" s="466"/>
      <c r="H18" s="466"/>
      <c r="I18" s="467"/>
      <c r="J18" s="467"/>
      <c r="K18" s="1693">
        <f t="shared" si="0"/>
        <v>0</v>
      </c>
      <c r="L18" s="466">
        <f>SUMIF(Data!$A:$A,"10-"&amp;LEFT($B18,3)&amp;"*-*",Data!$T:$T)</f>
        <v>0</v>
      </c>
    </row>
    <row r="19" spans="1:12" x14ac:dyDescent="0.2">
      <c r="A19" s="1526" t="s">
        <v>136</v>
      </c>
      <c r="B19" s="615">
        <v>1900</v>
      </c>
      <c r="C19" s="466"/>
      <c r="D19" s="466"/>
      <c r="E19" s="466"/>
      <c r="F19" s="466"/>
      <c r="G19" s="466"/>
      <c r="H19" s="466"/>
      <c r="I19" s="467"/>
      <c r="J19" s="467"/>
      <c r="K19" s="1693">
        <f t="shared" si="0"/>
        <v>0</v>
      </c>
      <c r="L19" s="466">
        <f>SUMIF(Data!$A:$A,"10-"&amp;LEFT($B19,3)&amp;"*-*",Data!$T:$T)</f>
        <v>0</v>
      </c>
    </row>
    <row r="20" spans="1:12" x14ac:dyDescent="0.2">
      <c r="A20" s="1527" t="s">
        <v>762</v>
      </c>
      <c r="B20" s="603" t="s">
        <v>749</v>
      </c>
      <c r="C20" s="477"/>
      <c r="D20" s="477"/>
      <c r="E20" s="477"/>
      <c r="F20" s="477"/>
      <c r="G20" s="477"/>
      <c r="H20" s="474"/>
      <c r="I20" s="617"/>
      <c r="J20" s="475"/>
      <c r="K20" s="1693">
        <f t="shared" si="0"/>
        <v>0</v>
      </c>
      <c r="L20" s="466">
        <f>SUMIF(Data!$A:$A,"10-"&amp;LEFT($B20,3)&amp;"*-*",Data!$T:$T)</f>
        <v>0</v>
      </c>
    </row>
    <row r="21" spans="1:12" x14ac:dyDescent="0.2">
      <c r="A21" s="1527" t="s">
        <v>763</v>
      </c>
      <c r="B21" s="603" t="s">
        <v>750</v>
      </c>
      <c r="C21" s="477"/>
      <c r="D21" s="477"/>
      <c r="E21" s="477"/>
      <c r="F21" s="477"/>
      <c r="G21" s="477"/>
      <c r="H21" s="474"/>
      <c r="I21" s="617"/>
      <c r="J21" s="477"/>
      <c r="K21" s="1693">
        <f t="shared" si="0"/>
        <v>0</v>
      </c>
      <c r="L21" s="466">
        <f>SUMIF(Data!$A:$A,"10-"&amp;LEFT($B21,3)&amp;"*-*",Data!$T:$T)</f>
        <v>0</v>
      </c>
    </row>
    <row r="22" spans="1:12" x14ac:dyDescent="0.2">
      <c r="A22" s="1527" t="s">
        <v>764</v>
      </c>
      <c r="B22" s="603" t="s">
        <v>751</v>
      </c>
      <c r="C22" s="477"/>
      <c r="D22" s="477"/>
      <c r="E22" s="477"/>
      <c r="F22" s="477"/>
      <c r="G22" s="477"/>
      <c r="H22" s="474"/>
      <c r="I22" s="617"/>
      <c r="J22" s="477"/>
      <c r="K22" s="1693">
        <f t="shared" si="0"/>
        <v>0</v>
      </c>
      <c r="L22" s="466">
        <f>SUMIF(Data!$A:$A,"10-"&amp;LEFT($B22,3)&amp;"*-*",Data!$T:$T)</f>
        <v>0</v>
      </c>
    </row>
    <row r="23" spans="1:12" x14ac:dyDescent="0.2">
      <c r="A23" s="1527" t="s">
        <v>765</v>
      </c>
      <c r="B23" s="603" t="s">
        <v>752</v>
      </c>
      <c r="C23" s="477"/>
      <c r="D23" s="477"/>
      <c r="E23" s="477"/>
      <c r="F23" s="477"/>
      <c r="G23" s="477"/>
      <c r="H23" s="474"/>
      <c r="I23" s="617"/>
      <c r="J23" s="477"/>
      <c r="K23" s="1693">
        <f t="shared" si="0"/>
        <v>0</v>
      </c>
      <c r="L23" s="466">
        <f>SUMIF(Data!$A:$A,"10-"&amp;LEFT($B23,3)&amp;"*-*",Data!$T:$T)</f>
        <v>0</v>
      </c>
    </row>
    <row r="24" spans="1:12" ht="12.75" customHeight="1" x14ac:dyDescent="0.2">
      <c r="A24" s="1527" t="s">
        <v>766</v>
      </c>
      <c r="B24" s="603" t="s">
        <v>753</v>
      </c>
      <c r="C24" s="477"/>
      <c r="D24" s="477"/>
      <c r="E24" s="477"/>
      <c r="F24" s="477"/>
      <c r="G24" s="477"/>
      <c r="H24" s="474"/>
      <c r="I24" s="617"/>
      <c r="J24" s="477"/>
      <c r="K24" s="1693">
        <f t="shared" si="0"/>
        <v>0</v>
      </c>
      <c r="L24" s="466">
        <f>SUMIF(Data!$A:$A,"10-"&amp;LEFT($B24,3)&amp;"*-*",Data!$T:$T)</f>
        <v>0</v>
      </c>
    </row>
    <row r="25" spans="1:12" ht="12.75" customHeight="1" x14ac:dyDescent="0.2">
      <c r="A25" s="1527" t="s">
        <v>835</v>
      </c>
      <c r="B25" s="603" t="s">
        <v>754</v>
      </c>
      <c r="C25" s="477"/>
      <c r="D25" s="477"/>
      <c r="E25" s="477"/>
      <c r="F25" s="477"/>
      <c r="G25" s="477"/>
      <c r="H25" s="474"/>
      <c r="I25" s="617"/>
      <c r="J25" s="477"/>
      <c r="K25" s="1693">
        <f t="shared" si="0"/>
        <v>0</v>
      </c>
      <c r="L25" s="466">
        <f>SUMIF(Data!$A:$A,"10-"&amp;LEFT($B25,3)&amp;"*-*",Data!$T:$T)</f>
        <v>0</v>
      </c>
    </row>
    <row r="26" spans="1:12" x14ac:dyDescent="0.2">
      <c r="A26" s="1527" t="s">
        <v>643</v>
      </c>
      <c r="B26" s="603" t="s">
        <v>755</v>
      </c>
      <c r="C26" s="477"/>
      <c r="D26" s="477"/>
      <c r="E26" s="477"/>
      <c r="F26" s="477"/>
      <c r="G26" s="477"/>
      <c r="H26" s="474"/>
      <c r="I26" s="617"/>
      <c r="J26" s="477"/>
      <c r="K26" s="1693">
        <f t="shared" si="0"/>
        <v>0</v>
      </c>
      <c r="L26" s="466">
        <f>SUMIF(Data!$A:$A,"10-"&amp;LEFT($B26,3)&amp;"*-*",Data!$T:$T)</f>
        <v>0</v>
      </c>
    </row>
    <row r="27" spans="1:12" x14ac:dyDescent="0.2">
      <c r="A27" s="1527" t="s">
        <v>644</v>
      </c>
      <c r="B27" s="603" t="s">
        <v>756</v>
      </c>
      <c r="C27" s="477"/>
      <c r="D27" s="477"/>
      <c r="E27" s="477"/>
      <c r="F27" s="477"/>
      <c r="G27" s="477"/>
      <c r="H27" s="474"/>
      <c r="I27" s="617"/>
      <c r="J27" s="477"/>
      <c r="K27" s="1693">
        <f t="shared" si="0"/>
        <v>0</v>
      </c>
      <c r="L27" s="466">
        <f>SUMIF(Data!$A:$A,"10-"&amp;LEFT($B27,3)&amp;"*-*",Data!$T:$T)</f>
        <v>0</v>
      </c>
    </row>
    <row r="28" spans="1:12" x14ac:dyDescent="0.2">
      <c r="A28" s="1527" t="s">
        <v>152</v>
      </c>
      <c r="B28" s="603" t="s">
        <v>757</v>
      </c>
      <c r="C28" s="477"/>
      <c r="D28" s="477"/>
      <c r="E28" s="477"/>
      <c r="F28" s="477"/>
      <c r="G28" s="477"/>
      <c r="H28" s="474"/>
      <c r="I28" s="617"/>
      <c r="J28" s="477"/>
      <c r="K28" s="1693">
        <f t="shared" si="0"/>
        <v>0</v>
      </c>
      <c r="L28" s="466">
        <f>SUMIF(Data!$A:$A,"10-"&amp;LEFT($B28,3)&amp;"*-*",Data!$T:$T)</f>
        <v>0</v>
      </c>
    </row>
    <row r="29" spans="1:12" x14ac:dyDescent="0.2">
      <c r="A29" s="1527" t="s">
        <v>153</v>
      </c>
      <c r="B29" s="603" t="s">
        <v>758</v>
      </c>
      <c r="C29" s="477"/>
      <c r="D29" s="477"/>
      <c r="E29" s="477"/>
      <c r="F29" s="477"/>
      <c r="G29" s="477"/>
      <c r="H29" s="474"/>
      <c r="I29" s="617"/>
      <c r="J29" s="477"/>
      <c r="K29" s="1693">
        <f t="shared" si="0"/>
        <v>0</v>
      </c>
      <c r="L29" s="466">
        <f>SUMIF(Data!$A:$A,"10-"&amp;LEFT($B29,3)&amp;"*-*",Data!$T:$T)</f>
        <v>0</v>
      </c>
    </row>
    <row r="30" spans="1:12" x14ac:dyDescent="0.2">
      <c r="A30" s="1527" t="s">
        <v>154</v>
      </c>
      <c r="B30" s="603" t="s">
        <v>759</v>
      </c>
      <c r="C30" s="477"/>
      <c r="D30" s="477"/>
      <c r="E30" s="477"/>
      <c r="F30" s="477"/>
      <c r="G30" s="477"/>
      <c r="H30" s="474"/>
      <c r="I30" s="617"/>
      <c r="J30" s="477"/>
      <c r="K30" s="1693">
        <f t="shared" si="0"/>
        <v>0</v>
      </c>
      <c r="L30" s="466">
        <f>SUMIF(Data!$A:$A,"10-"&amp;LEFT($B30,3)&amp;"*-*",Data!$T:$T)</f>
        <v>0</v>
      </c>
    </row>
    <row r="31" spans="1:12" x14ac:dyDescent="0.2">
      <c r="A31" s="1527" t="s">
        <v>155</v>
      </c>
      <c r="B31" s="603" t="s">
        <v>760</v>
      </c>
      <c r="C31" s="477"/>
      <c r="D31" s="477"/>
      <c r="E31" s="477"/>
      <c r="F31" s="477"/>
      <c r="G31" s="477"/>
      <c r="H31" s="474"/>
      <c r="I31" s="617"/>
      <c r="J31" s="477"/>
      <c r="K31" s="1693">
        <f t="shared" si="0"/>
        <v>0</v>
      </c>
      <c r="L31" s="466">
        <f>SUMIF(Data!$A:$A,"10-"&amp;LEFT($B31,3)&amp;"*-*",Data!$T:$T)</f>
        <v>0</v>
      </c>
    </row>
    <row r="32" spans="1:12" x14ac:dyDescent="0.2">
      <c r="A32" s="1528" t="s">
        <v>1191</v>
      </c>
      <c r="B32" s="615" t="s">
        <v>761</v>
      </c>
      <c r="C32" s="477"/>
      <c r="D32" s="477"/>
      <c r="E32" s="477"/>
      <c r="F32" s="477"/>
      <c r="G32" s="477"/>
      <c r="H32" s="474"/>
      <c r="I32" s="617"/>
      <c r="J32" s="480"/>
      <c r="K32" s="1693">
        <f t="shared" si="0"/>
        <v>0</v>
      </c>
      <c r="L32" s="466">
        <f>SUMIF(Data!$A:$A,"10-"&amp;LEFT($B32,3)&amp;"*-*",Data!$T:$T)</f>
        <v>0</v>
      </c>
    </row>
    <row r="33" spans="1:14" ht="12.75" customHeight="1" thickBot="1" x14ac:dyDescent="0.25">
      <c r="A33" s="1690" t="s">
        <v>1767</v>
      </c>
      <c r="B33" s="1691" t="s">
        <v>591</v>
      </c>
      <c r="C33" s="1692">
        <f>SUM(C5:C32)</f>
        <v>711801</v>
      </c>
      <c r="D33" s="1692">
        <f t="shared" ref="D33:L33" si="1">SUM(D5:D32)</f>
        <v>104895</v>
      </c>
      <c r="E33" s="1692">
        <f t="shared" si="1"/>
        <v>29553</v>
      </c>
      <c r="F33" s="1692">
        <f t="shared" si="1"/>
        <v>130849</v>
      </c>
      <c r="G33" s="1692">
        <f t="shared" si="1"/>
        <v>51622</v>
      </c>
      <c r="H33" s="1692">
        <f t="shared" si="1"/>
        <v>11234</v>
      </c>
      <c r="I33" s="1692">
        <f t="shared" si="1"/>
        <v>0</v>
      </c>
      <c r="J33" s="1692">
        <f t="shared" si="1"/>
        <v>0</v>
      </c>
      <c r="K33" s="1692">
        <f t="shared" si="1"/>
        <v>1039954</v>
      </c>
      <c r="L33" s="1692">
        <f t="shared" si="1"/>
        <v>1000746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f>SUMIF(Data!$A:$A,"10-"&amp;LEFT($B36,3)&amp;"*-*",Data!$T:$T)</f>
        <v>0</v>
      </c>
    </row>
    <row r="37" spans="1:14" x14ac:dyDescent="0.2">
      <c r="A37" s="1526" t="s">
        <v>1151</v>
      </c>
      <c r="B37" s="615">
        <v>2120</v>
      </c>
      <c r="C37" s="466"/>
      <c r="D37" s="466"/>
      <c r="E37" s="466"/>
      <c r="F37" s="466"/>
      <c r="G37" s="466"/>
      <c r="H37" s="466"/>
      <c r="I37" s="467"/>
      <c r="J37" s="467"/>
      <c r="K37" s="1693">
        <f t="shared" si="2"/>
        <v>0</v>
      </c>
      <c r="L37" s="466">
        <f>SUMIF(Data!$A:$A,"10-"&amp;LEFT($B37,3)&amp;"*-*",Data!$T:$T)</f>
        <v>0</v>
      </c>
    </row>
    <row r="38" spans="1:14" x14ac:dyDescent="0.2">
      <c r="A38" s="1526" t="s">
        <v>207</v>
      </c>
      <c r="B38" s="615">
        <v>2130</v>
      </c>
      <c r="C38" s="466"/>
      <c r="D38" s="466"/>
      <c r="E38" s="466"/>
      <c r="F38" s="466"/>
      <c r="G38" s="466"/>
      <c r="H38" s="466"/>
      <c r="I38" s="467"/>
      <c r="J38" s="467"/>
      <c r="K38" s="1693">
        <f t="shared" si="2"/>
        <v>0</v>
      </c>
      <c r="L38" s="466">
        <f>SUMIF(Data!$A:$A,"10-"&amp;LEFT($B38,3)&amp;"*-*",Data!$T:$T)</f>
        <v>0</v>
      </c>
    </row>
    <row r="39" spans="1:14" x14ac:dyDescent="0.2">
      <c r="A39" s="1526" t="s">
        <v>208</v>
      </c>
      <c r="B39" s="615">
        <v>2140</v>
      </c>
      <c r="C39" s="466"/>
      <c r="D39" s="466"/>
      <c r="E39" s="466"/>
      <c r="F39" s="466"/>
      <c r="G39" s="466"/>
      <c r="H39" s="466"/>
      <c r="I39" s="467"/>
      <c r="J39" s="467"/>
      <c r="K39" s="1693">
        <f t="shared" si="2"/>
        <v>0</v>
      </c>
      <c r="L39" s="466">
        <f>SUMIF(Data!$A:$A,"10-"&amp;LEFT($B39,3)&amp;"*-*",Data!$T:$T)</f>
        <v>0</v>
      </c>
    </row>
    <row r="40" spans="1:14" x14ac:dyDescent="0.2">
      <c r="A40" s="1526" t="s">
        <v>209</v>
      </c>
      <c r="B40" s="615">
        <v>2150</v>
      </c>
      <c r="C40" s="466"/>
      <c r="D40" s="466"/>
      <c r="E40" s="466">
        <v>62192</v>
      </c>
      <c r="F40" s="466"/>
      <c r="G40" s="466"/>
      <c r="H40" s="466"/>
      <c r="I40" s="467"/>
      <c r="J40" s="467"/>
      <c r="K40" s="1693">
        <f t="shared" si="2"/>
        <v>62192</v>
      </c>
      <c r="L40" s="466">
        <f>SUMIF(Data!$A:$A,"10-"&amp;LEFT($B40,3)&amp;"*-*",Data!$T:$T)</f>
        <v>33000</v>
      </c>
    </row>
    <row r="41" spans="1:14" x14ac:dyDescent="0.2">
      <c r="A41" s="1526" t="s">
        <v>1768</v>
      </c>
      <c r="B41" s="615">
        <v>2190</v>
      </c>
      <c r="C41" s="466"/>
      <c r="D41" s="466"/>
      <c r="E41" s="466"/>
      <c r="F41" s="466"/>
      <c r="G41" s="466"/>
      <c r="H41" s="466"/>
      <c r="I41" s="467"/>
      <c r="J41" s="467"/>
      <c r="K41" s="1693">
        <f t="shared" si="2"/>
        <v>0</v>
      </c>
      <c r="L41" s="466">
        <f>SUMIF(Data!$A:$A,"10-"&amp;LEFT($B41,3)&amp;"*-*",Data!$T:$T)</f>
        <v>0</v>
      </c>
    </row>
    <row r="42" spans="1:14" ht="12.75" customHeight="1" thickBot="1" x14ac:dyDescent="0.25">
      <c r="A42" s="1690" t="s">
        <v>581</v>
      </c>
      <c r="B42" s="1691" t="s">
        <v>740</v>
      </c>
      <c r="C42" s="1692">
        <f>SUM(C36:C41)</f>
        <v>0</v>
      </c>
      <c r="D42" s="1692">
        <f t="shared" ref="D42:L42" si="3">SUM(D36:D41)</f>
        <v>0</v>
      </c>
      <c r="E42" s="1692">
        <f t="shared" si="3"/>
        <v>62192</v>
      </c>
      <c r="F42" s="1692">
        <f t="shared" si="3"/>
        <v>0</v>
      </c>
      <c r="G42" s="1692">
        <f t="shared" si="3"/>
        <v>0</v>
      </c>
      <c r="H42" s="1692">
        <f t="shared" si="3"/>
        <v>0</v>
      </c>
      <c r="I42" s="1692">
        <f t="shared" si="3"/>
        <v>0</v>
      </c>
      <c r="J42" s="1692">
        <f t="shared" si="3"/>
        <v>0</v>
      </c>
      <c r="K42" s="1692">
        <f t="shared" si="3"/>
        <v>62192</v>
      </c>
      <c r="L42" s="1692">
        <f t="shared" si="3"/>
        <v>33000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4791</v>
      </c>
      <c r="F44" s="481"/>
      <c r="G44" s="481"/>
      <c r="H44" s="481"/>
      <c r="I44" s="467"/>
      <c r="J44" s="467"/>
      <c r="K44" s="1694">
        <f>SUM(C44:J44)</f>
        <v>4791</v>
      </c>
      <c r="L44" s="466">
        <f>SUMIF(Data!$A:$A,"10-"&amp;LEFT($B44,3)&amp;"*-*",Data!$T:$T)</f>
        <v>0</v>
      </c>
    </row>
    <row r="45" spans="1:14" x14ac:dyDescent="0.2">
      <c r="A45" s="1526" t="s">
        <v>869</v>
      </c>
      <c r="B45" s="615">
        <v>2220</v>
      </c>
      <c r="C45" s="466"/>
      <c r="D45" s="466"/>
      <c r="E45" s="466"/>
      <c r="F45" s="466">
        <v>7372</v>
      </c>
      <c r="G45" s="466"/>
      <c r="H45" s="466">
        <v>2721</v>
      </c>
      <c r="I45" s="467"/>
      <c r="J45" s="467"/>
      <c r="K45" s="1694">
        <f>SUM(C45:J45)</f>
        <v>10093</v>
      </c>
      <c r="L45" s="466">
        <f>SUMIF(Data!$A:$A,"10-"&amp;LEFT($B45,3)&amp;"*-*",Data!$T:$T)</f>
        <v>9350</v>
      </c>
    </row>
    <row r="46" spans="1:14" x14ac:dyDescent="0.2">
      <c r="A46" s="1526" t="s">
        <v>870</v>
      </c>
      <c r="B46" s="615">
        <v>2230</v>
      </c>
      <c r="C46" s="466"/>
      <c r="D46" s="466"/>
      <c r="E46" s="466"/>
      <c r="F46" s="466"/>
      <c r="G46" s="466"/>
      <c r="H46" s="466"/>
      <c r="I46" s="467"/>
      <c r="J46" s="467"/>
      <c r="K46" s="1694">
        <f>SUM(C46:J46)</f>
        <v>0</v>
      </c>
      <c r="L46" s="466">
        <f>SUMIF(Data!$A:$A,"10-"&amp;LEFT($B46,3)&amp;"*-*",Data!$T:$T)</f>
        <v>0</v>
      </c>
    </row>
    <row r="47" spans="1:14" ht="12.75" customHeight="1" thickBot="1" x14ac:dyDescent="0.25">
      <c r="A47" s="1690" t="s">
        <v>582</v>
      </c>
      <c r="B47" s="1691" t="s">
        <v>32</v>
      </c>
      <c r="C47" s="1692">
        <f>SUM(C44:C46)</f>
        <v>0</v>
      </c>
      <c r="D47" s="1692">
        <f t="shared" ref="D47:K47" si="4">SUM(D44:D46)</f>
        <v>0</v>
      </c>
      <c r="E47" s="1692">
        <f t="shared" si="4"/>
        <v>4791</v>
      </c>
      <c r="F47" s="1692">
        <f t="shared" si="4"/>
        <v>7372</v>
      </c>
      <c r="G47" s="1692">
        <f t="shared" si="4"/>
        <v>0</v>
      </c>
      <c r="H47" s="1692">
        <f t="shared" si="4"/>
        <v>2721</v>
      </c>
      <c r="I47" s="1692">
        <f t="shared" si="4"/>
        <v>0</v>
      </c>
      <c r="J47" s="1692">
        <f t="shared" si="4"/>
        <v>0</v>
      </c>
      <c r="K47" s="1692">
        <f t="shared" si="4"/>
        <v>14884</v>
      </c>
      <c r="L47" s="1692">
        <f>SUM(L44:L46)</f>
        <v>9350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f>240+1920</f>
        <v>2160</v>
      </c>
      <c r="D49" s="481"/>
      <c r="E49" s="481">
        <f>6261+385</f>
        <v>6646</v>
      </c>
      <c r="F49" s="481">
        <v>1085</v>
      </c>
      <c r="G49" s="481"/>
      <c r="H49" s="481">
        <v>8711</v>
      </c>
      <c r="I49" s="467"/>
      <c r="J49" s="467"/>
      <c r="K49" s="1694">
        <f>SUM(C49:J49)</f>
        <v>18602</v>
      </c>
      <c r="L49" s="466">
        <f>SUMIF(Data!$A:$A,"10-"&amp;LEFT($B49,3)&amp;"*-*",Data!$T:$T)</f>
        <v>29270</v>
      </c>
    </row>
    <row r="50" spans="1:14" x14ac:dyDescent="0.2">
      <c r="A50" s="1526" t="s">
        <v>872</v>
      </c>
      <c r="B50" s="615">
        <v>2320</v>
      </c>
      <c r="C50" s="466">
        <v>92139</v>
      </c>
      <c r="D50" s="466">
        <v>9059</v>
      </c>
      <c r="E50" s="466">
        <v>8635</v>
      </c>
      <c r="F50" s="466">
        <v>6407</v>
      </c>
      <c r="G50" s="466">
        <v>5055</v>
      </c>
      <c r="H50" s="466">
        <v>10202</v>
      </c>
      <c r="I50" s="467"/>
      <c r="J50" s="467"/>
      <c r="K50" s="1694">
        <f>SUM(C50:J50)</f>
        <v>131497</v>
      </c>
      <c r="L50" s="466">
        <f>SUMIF(Data!$A:$A,"10-"&amp;LEFT($B50,3)&amp;"*-*",Data!$T:$T)</f>
        <v>129021</v>
      </c>
    </row>
    <row r="51" spans="1:14" x14ac:dyDescent="0.2">
      <c r="A51" s="1526" t="s">
        <v>44</v>
      </c>
      <c r="B51" s="615">
        <v>2330</v>
      </c>
      <c r="C51" s="466"/>
      <c r="D51" s="466"/>
      <c r="E51" s="466">
        <v>12480</v>
      </c>
      <c r="F51" s="466"/>
      <c r="G51" s="466"/>
      <c r="H51" s="466"/>
      <c r="I51" s="467"/>
      <c r="J51" s="467"/>
      <c r="K51" s="1694">
        <f>SUM(C51:J51)</f>
        <v>12480</v>
      </c>
      <c r="L51" s="466">
        <f>SUMIF(Data!$A:$A,"10-"&amp;LEFT($B51,3)&amp;"*-*",Data!$T:$T)</f>
        <v>0</v>
      </c>
    </row>
    <row r="52" spans="1:14" ht="22.5" x14ac:dyDescent="0.2">
      <c r="A52" s="1527" t="s">
        <v>316</v>
      </c>
      <c r="B52" s="628" t="s">
        <v>384</v>
      </c>
      <c r="C52" s="474"/>
      <c r="D52" s="474"/>
      <c r="E52" s="474"/>
      <c r="F52" s="474"/>
      <c r="G52" s="474"/>
      <c r="H52" s="474"/>
      <c r="I52" s="474"/>
      <c r="J52" s="474"/>
      <c r="K52" s="1694">
        <f>SUM(C52:J52)</f>
        <v>0</v>
      </c>
      <c r="L52" s="466">
        <f>SUMIF(Data!$A:$A,"10-"&amp;LEFT($B52,3)&amp;"*-*",Data!$T:$T)</f>
        <v>0</v>
      </c>
    </row>
    <row r="53" spans="1:14" ht="12.75" customHeight="1" thickBot="1" x14ac:dyDescent="0.25">
      <c r="A53" s="1690" t="s">
        <v>741</v>
      </c>
      <c r="B53" s="1691" t="s">
        <v>33</v>
      </c>
      <c r="C53" s="1692">
        <f>SUM(C49:C52)</f>
        <v>94299</v>
      </c>
      <c r="D53" s="1692">
        <f t="shared" ref="D53:L53" si="5">SUM(D49:D52)</f>
        <v>9059</v>
      </c>
      <c r="E53" s="1692">
        <f t="shared" si="5"/>
        <v>27761</v>
      </c>
      <c r="F53" s="1692">
        <f t="shared" si="5"/>
        <v>7492</v>
      </c>
      <c r="G53" s="1692">
        <f t="shared" si="5"/>
        <v>5055</v>
      </c>
      <c r="H53" s="1692">
        <f t="shared" si="5"/>
        <v>18913</v>
      </c>
      <c r="I53" s="1692">
        <f t="shared" si="5"/>
        <v>0</v>
      </c>
      <c r="J53" s="1692">
        <f t="shared" si="5"/>
        <v>0</v>
      </c>
      <c r="K53" s="1692">
        <f t="shared" si="5"/>
        <v>162579</v>
      </c>
      <c r="L53" s="1692">
        <f t="shared" si="5"/>
        <v>158291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28385+2500</f>
        <v>30885</v>
      </c>
      <c r="D55" s="481">
        <v>749</v>
      </c>
      <c r="E55" s="481"/>
      <c r="F55" s="481"/>
      <c r="G55" s="481"/>
      <c r="H55" s="481">
        <v>485</v>
      </c>
      <c r="I55" s="467"/>
      <c r="J55" s="467"/>
      <c r="K55" s="1694">
        <f>SUM(C55:J55)</f>
        <v>32119</v>
      </c>
      <c r="L55" s="466">
        <f>SUMIF(Data!$A:$A,"10-"&amp;LEFT($B55,3)&amp;"*-*",Data!$T:$T)</f>
        <v>23210</v>
      </c>
    </row>
    <row r="56" spans="1:14" ht="12.75" customHeight="1" x14ac:dyDescent="0.2">
      <c r="A56" s="1530" t="s">
        <v>394</v>
      </c>
      <c r="B56" s="629">
        <v>2490</v>
      </c>
      <c r="C56" s="466"/>
      <c r="D56" s="466"/>
      <c r="E56" s="466"/>
      <c r="F56" s="466"/>
      <c r="G56" s="466"/>
      <c r="H56" s="466"/>
      <c r="I56" s="467"/>
      <c r="J56" s="467"/>
      <c r="K56" s="1694">
        <f>SUM(C56:J56)</f>
        <v>0</v>
      </c>
      <c r="L56" s="466">
        <f>SUMIF(Data!$A:$A,"10-"&amp;LEFT($B56,3)&amp;"*-*",Data!$T:$T)</f>
        <v>0</v>
      </c>
    </row>
    <row r="57" spans="1:14" s="343" customFormat="1" ht="12.75" customHeight="1" thickBot="1" x14ac:dyDescent="0.25">
      <c r="A57" s="1690" t="s">
        <v>281</v>
      </c>
      <c r="B57" s="1695" t="s">
        <v>34</v>
      </c>
      <c r="C57" s="1696">
        <f>SUM(C55:C56)</f>
        <v>30885</v>
      </c>
      <c r="D57" s="1696">
        <f t="shared" ref="D57:K57" si="6">SUM(D55:D56)</f>
        <v>749</v>
      </c>
      <c r="E57" s="1696">
        <f t="shared" si="6"/>
        <v>0</v>
      </c>
      <c r="F57" s="1696">
        <f t="shared" si="6"/>
        <v>0</v>
      </c>
      <c r="G57" s="1696">
        <f t="shared" si="6"/>
        <v>0</v>
      </c>
      <c r="H57" s="1696">
        <f t="shared" si="6"/>
        <v>485</v>
      </c>
      <c r="I57" s="1696">
        <f t="shared" si="6"/>
        <v>0</v>
      </c>
      <c r="J57" s="1696">
        <f t="shared" si="6"/>
        <v>0</v>
      </c>
      <c r="K57" s="1696">
        <f t="shared" si="6"/>
        <v>32119</v>
      </c>
      <c r="L57" s="1692">
        <f>SUM(L55:L56)</f>
        <v>23210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66">
        <f>SUMIF(Data!$A:$A,"10-"&amp;LEFT($B59,3)&amp;"*-*",Data!$T:$T)</f>
        <v>0</v>
      </c>
      <c r="M59" s="610"/>
      <c r="N59" s="610"/>
    </row>
    <row r="60" spans="1:14" s="343" customFormat="1" x14ac:dyDescent="0.2">
      <c r="A60" s="1526" t="s">
        <v>483</v>
      </c>
      <c r="B60" s="615">
        <v>2520</v>
      </c>
      <c r="C60" s="466">
        <v>21569</v>
      </c>
      <c r="D60" s="466">
        <v>6075</v>
      </c>
      <c r="E60" s="466">
        <v>264</v>
      </c>
      <c r="F60" s="466"/>
      <c r="G60" s="466"/>
      <c r="H60" s="466">
        <v>4747</v>
      </c>
      <c r="I60" s="467"/>
      <c r="J60" s="467"/>
      <c r="K60" s="1694">
        <f t="shared" si="7"/>
        <v>32655</v>
      </c>
      <c r="L60" s="466">
        <f>SUMIF(Data!$A:$A,"10-"&amp;LEFT($B60,3)&amp;"*-*",Data!$T:$T)</f>
        <v>33314.51</v>
      </c>
      <c r="M60" s="610"/>
      <c r="N60" s="610"/>
    </row>
    <row r="61" spans="1:14" s="343" customFormat="1" x14ac:dyDescent="0.2">
      <c r="A61" s="1526" t="s">
        <v>206</v>
      </c>
      <c r="B61" s="615">
        <v>2540</v>
      </c>
      <c r="C61" s="466"/>
      <c r="D61" s="466"/>
      <c r="E61" s="466"/>
      <c r="F61" s="466"/>
      <c r="G61" s="466"/>
      <c r="H61" s="466"/>
      <c r="I61" s="467"/>
      <c r="J61" s="467"/>
      <c r="K61" s="1694">
        <f t="shared" si="7"/>
        <v>0</v>
      </c>
      <c r="L61" s="466">
        <f>SUMIF(Data!$A:$A,"10-"&amp;LEFT($B61,3)&amp;"*-*",Data!$T:$T)</f>
        <v>0</v>
      </c>
      <c r="M61" s="610"/>
      <c r="N61" s="610"/>
    </row>
    <row r="62" spans="1:14" s="343" customFormat="1" x14ac:dyDescent="0.2">
      <c r="A62" s="1526" t="s">
        <v>1010</v>
      </c>
      <c r="B62" s="615">
        <v>2550</v>
      </c>
      <c r="C62" s="466"/>
      <c r="D62" s="466"/>
      <c r="E62" s="466"/>
      <c r="F62" s="466"/>
      <c r="G62" s="466"/>
      <c r="H62" s="466"/>
      <c r="I62" s="467"/>
      <c r="J62" s="467"/>
      <c r="K62" s="1694">
        <f t="shared" si="7"/>
        <v>0</v>
      </c>
      <c r="L62" s="466">
        <f>SUMIF(Data!$A:$A,"10-"&amp;LEFT($B62,3)&amp;"*-*",Data!$T:$T)</f>
        <v>0</v>
      </c>
      <c r="M62" s="610"/>
      <c r="N62" s="610"/>
    </row>
    <row r="63" spans="1:14" s="610" customFormat="1" x14ac:dyDescent="0.2">
      <c r="A63" s="1526" t="s">
        <v>102</v>
      </c>
      <c r="B63" s="615">
        <v>2560</v>
      </c>
      <c r="C63" s="466">
        <v>31129</v>
      </c>
      <c r="D63" s="466">
        <v>48</v>
      </c>
      <c r="E63" s="466"/>
      <c r="F63" s="466">
        <v>24936</v>
      </c>
      <c r="G63" s="466">
        <v>3982</v>
      </c>
      <c r="H63" s="466">
        <v>103</v>
      </c>
      <c r="I63" s="467"/>
      <c r="J63" s="467"/>
      <c r="K63" s="1694">
        <f t="shared" si="7"/>
        <v>60198</v>
      </c>
      <c r="L63" s="466">
        <f>SUMIF(Data!$A:$A,"10-"&amp;LEFT($B63,3)&amp;"*-*",Data!$T:$T)</f>
        <v>62674</v>
      </c>
    </row>
    <row r="64" spans="1:14" s="610" customFormat="1" x14ac:dyDescent="0.2">
      <c r="A64" s="1531" t="s">
        <v>103</v>
      </c>
      <c r="B64" s="631">
        <v>2570</v>
      </c>
      <c r="C64" s="481"/>
      <c r="D64" s="481"/>
      <c r="E64" s="481"/>
      <c r="F64" s="481"/>
      <c r="G64" s="481"/>
      <c r="H64" s="481"/>
      <c r="I64" s="467"/>
      <c r="J64" s="467"/>
      <c r="K64" s="1694">
        <f t="shared" si="7"/>
        <v>0</v>
      </c>
      <c r="L64" s="466">
        <f>SUMIF(Data!$A:$A,"10-"&amp;LEFT($B64,3)&amp;"*-*",Data!$T:$T)</f>
        <v>0</v>
      </c>
    </row>
    <row r="65" spans="1:14" s="343" customFormat="1" ht="12.75" customHeight="1" thickBot="1" x14ac:dyDescent="0.25">
      <c r="A65" s="1690" t="s">
        <v>743</v>
      </c>
      <c r="B65" s="1691" t="s">
        <v>35</v>
      </c>
      <c r="C65" s="1692">
        <f>SUM(C59:C64)</f>
        <v>52698</v>
      </c>
      <c r="D65" s="1692">
        <f t="shared" ref="D65:L65" si="8">SUM(D59:D64)</f>
        <v>6123</v>
      </c>
      <c r="E65" s="1692">
        <f t="shared" si="8"/>
        <v>264</v>
      </c>
      <c r="F65" s="1692">
        <f t="shared" si="8"/>
        <v>24936</v>
      </c>
      <c r="G65" s="1692">
        <f t="shared" si="8"/>
        <v>3982</v>
      </c>
      <c r="H65" s="1692">
        <f t="shared" si="8"/>
        <v>4850</v>
      </c>
      <c r="I65" s="1692">
        <f t="shared" si="8"/>
        <v>0</v>
      </c>
      <c r="J65" s="1692">
        <f t="shared" si="8"/>
        <v>0</v>
      </c>
      <c r="K65" s="1692">
        <f t="shared" si="8"/>
        <v>92853</v>
      </c>
      <c r="L65" s="1692">
        <f t="shared" si="8"/>
        <v>95988.510000000009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66">
        <f>SUMIF(Data!$A:$A,"10-"&amp;LEFT($B67,3)&amp;"*-*",Data!$T:$T)</f>
        <v>0</v>
      </c>
      <c r="M67" s="610"/>
      <c r="N67" s="610"/>
    </row>
    <row r="68" spans="1:14" s="343" customFormat="1" x14ac:dyDescent="0.2">
      <c r="A68" s="1526" t="s">
        <v>628</v>
      </c>
      <c r="B68" s="615">
        <v>2620</v>
      </c>
      <c r="C68" s="466"/>
      <c r="D68" s="466"/>
      <c r="E68" s="466"/>
      <c r="F68" s="466"/>
      <c r="G68" s="466"/>
      <c r="H68" s="466"/>
      <c r="I68" s="467"/>
      <c r="J68" s="467"/>
      <c r="K68" s="1694">
        <f>SUM(C68:J68)</f>
        <v>0</v>
      </c>
      <c r="L68" s="466">
        <f>SUMIF(Data!$A:$A,"10-"&amp;LEFT($B68,3)&amp;"*-*",Data!$T:$T)</f>
        <v>0</v>
      </c>
      <c r="M68" s="610"/>
      <c r="N68" s="610"/>
    </row>
    <row r="69" spans="1:14" s="343" customFormat="1" x14ac:dyDescent="0.2">
      <c r="A69" s="1526" t="s">
        <v>1121</v>
      </c>
      <c r="B69" s="615">
        <v>2630</v>
      </c>
      <c r="C69" s="466"/>
      <c r="D69" s="466"/>
      <c r="E69" s="466"/>
      <c r="F69" s="466"/>
      <c r="G69" s="466"/>
      <c r="H69" s="466"/>
      <c r="I69" s="467"/>
      <c r="J69" s="467"/>
      <c r="K69" s="1694">
        <f>SUM(C69:J69)</f>
        <v>0</v>
      </c>
      <c r="L69" s="466">
        <f>SUMIF(Data!$A:$A,"10-"&amp;LEFT($B69,3)&amp;"*-*",Data!$T:$T)</f>
        <v>0</v>
      </c>
      <c r="M69" s="610"/>
      <c r="N69" s="610"/>
    </row>
    <row r="70" spans="1:14" s="343" customFormat="1" x14ac:dyDescent="0.2">
      <c r="A70" s="1526" t="s">
        <v>423</v>
      </c>
      <c r="B70" s="615">
        <v>2640</v>
      </c>
      <c r="C70" s="466"/>
      <c r="D70" s="466"/>
      <c r="E70" s="466"/>
      <c r="F70" s="466"/>
      <c r="G70" s="466"/>
      <c r="H70" s="466"/>
      <c r="I70" s="467"/>
      <c r="J70" s="467"/>
      <c r="K70" s="1694">
        <f>SUM(C70:J70)</f>
        <v>0</v>
      </c>
      <c r="L70" s="466">
        <f>SUMIF(Data!$A:$A,"10-"&amp;LEFT($B70,3)&amp;"*-*",Data!$T:$T)</f>
        <v>0</v>
      </c>
      <c r="M70" s="610"/>
      <c r="N70" s="610"/>
    </row>
    <row r="71" spans="1:14" s="343" customFormat="1" x14ac:dyDescent="0.2">
      <c r="A71" s="1526" t="s">
        <v>424</v>
      </c>
      <c r="B71" s="615">
        <v>2660</v>
      </c>
      <c r="C71" s="466"/>
      <c r="D71" s="466"/>
      <c r="E71" s="466"/>
      <c r="F71" s="466"/>
      <c r="G71" s="466"/>
      <c r="H71" s="466"/>
      <c r="I71" s="467"/>
      <c r="J71" s="467"/>
      <c r="K71" s="1694">
        <f>SUM(C71:J71)</f>
        <v>0</v>
      </c>
      <c r="L71" s="466">
        <f>SUMIF(Data!$A:$A,"10-"&amp;LEFT($B71,3)&amp;"*-*",Data!$T:$T)</f>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v>60</v>
      </c>
      <c r="G73" s="573"/>
      <c r="H73" s="573"/>
      <c r="I73" s="531"/>
      <c r="J73" s="531"/>
      <c r="K73" s="1692">
        <f>SUM(C73:J73)</f>
        <v>60</v>
      </c>
      <c r="L73" s="466">
        <f>SUMIF(Data!$A:$A,"10-"&amp;LEFT($B73,3)&amp;"*-*",Data!$T:$T)</f>
        <v>0</v>
      </c>
      <c r="M73" s="610"/>
      <c r="N73" s="610"/>
    </row>
    <row r="74" spans="1:14" ht="12.75" customHeight="1" thickTop="1" thickBot="1" x14ac:dyDescent="0.25">
      <c r="A74" s="1690" t="s">
        <v>865</v>
      </c>
      <c r="B74" s="1698">
        <v>2000</v>
      </c>
      <c r="C74" s="1699">
        <f>SUM(C42,C47,C53,C57,C65,C72,C73)</f>
        <v>177882</v>
      </c>
      <c r="D74" s="1699">
        <f t="shared" ref="D74:K74" si="10">SUM(D42,D47,D53,D57,D65,D72,D73)</f>
        <v>15931</v>
      </c>
      <c r="E74" s="1699">
        <f t="shared" si="10"/>
        <v>95008</v>
      </c>
      <c r="F74" s="1699">
        <f t="shared" si="10"/>
        <v>39860</v>
      </c>
      <c r="G74" s="1699">
        <f t="shared" si="10"/>
        <v>9037</v>
      </c>
      <c r="H74" s="1699">
        <f t="shared" si="10"/>
        <v>26969</v>
      </c>
      <c r="I74" s="1699">
        <f t="shared" si="10"/>
        <v>0</v>
      </c>
      <c r="J74" s="1699">
        <f t="shared" si="10"/>
        <v>0</v>
      </c>
      <c r="K74" s="1699">
        <f t="shared" si="10"/>
        <v>364687</v>
      </c>
      <c r="L74" s="1699">
        <f>SUM(L42,L47,L53,L57,L65,L72,L73)</f>
        <v>319839.51</v>
      </c>
    </row>
    <row r="75" spans="1:14" s="259" customFormat="1" ht="15.75" customHeight="1" thickTop="1" thickBot="1" x14ac:dyDescent="0.25">
      <c r="A75" s="1632" t="s">
        <v>49</v>
      </c>
      <c r="B75" s="1633" t="s">
        <v>596</v>
      </c>
      <c r="C75" s="573"/>
      <c r="D75" s="573"/>
      <c r="E75" s="573"/>
      <c r="F75" s="573">
        <v>425</v>
      </c>
      <c r="G75" s="573"/>
      <c r="H75" s="573"/>
      <c r="I75" s="531">
        <v>200</v>
      </c>
      <c r="J75" s="531"/>
      <c r="K75" s="1692">
        <f>SUM(C75:J75)</f>
        <v>625</v>
      </c>
      <c r="L75" s="466">
        <f>SUMIF(Data!$A:$A,"10-"&amp;LEFT($B75,3)&amp;"*-*",Data!$T:$T)</f>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1581</v>
      </c>
      <c r="I78" s="477"/>
      <c r="J78" s="477"/>
      <c r="K78" s="1693">
        <f t="shared" ref="K78:K83" si="11">SUM(C78:J78)</f>
        <v>1581</v>
      </c>
      <c r="L78" s="466">
        <f>SUMIF(Data!$A:$A,"10-"&amp;LEFT($B78,3)&amp;"*-*",Data!$T:$T)</f>
        <v>0</v>
      </c>
    </row>
    <row r="79" spans="1:14" x14ac:dyDescent="0.2">
      <c r="A79" s="1526" t="s">
        <v>322</v>
      </c>
      <c r="B79" s="615">
        <v>4120</v>
      </c>
      <c r="C79" s="617"/>
      <c r="D79" s="617"/>
      <c r="E79" s="466">
        <v>4037</v>
      </c>
      <c r="F79" s="617"/>
      <c r="G79" s="617"/>
      <c r="H79" s="466"/>
      <c r="I79" s="477"/>
      <c r="J79" s="477"/>
      <c r="K79" s="1693">
        <f t="shared" si="11"/>
        <v>4037</v>
      </c>
      <c r="L79" s="466">
        <f>SUMIF(Data!$A:$A,"10-"&amp;LEFT($B79,3)&amp;"*-*",Data!$T:$T)</f>
        <v>27000</v>
      </c>
    </row>
    <row r="80" spans="1:14" x14ac:dyDescent="0.2">
      <c r="A80" s="1526" t="s">
        <v>323</v>
      </c>
      <c r="B80" s="615">
        <v>4130</v>
      </c>
      <c r="C80" s="617"/>
      <c r="D80" s="617"/>
      <c r="E80" s="466"/>
      <c r="F80" s="617"/>
      <c r="G80" s="617"/>
      <c r="H80" s="466"/>
      <c r="I80" s="477"/>
      <c r="J80" s="477"/>
      <c r="K80" s="1693">
        <f t="shared" si="11"/>
        <v>0</v>
      </c>
      <c r="L80" s="466">
        <f>SUMIF(Data!$A:$A,"10-"&amp;LEFT($B80,3)&amp;"*-*",Data!$T:$T)</f>
        <v>0</v>
      </c>
    </row>
    <row r="81" spans="1:12" x14ac:dyDescent="0.2">
      <c r="A81" s="1526" t="s">
        <v>721</v>
      </c>
      <c r="B81" s="615">
        <v>4140</v>
      </c>
      <c r="C81" s="617"/>
      <c r="D81" s="617"/>
      <c r="E81" s="466"/>
      <c r="F81" s="617"/>
      <c r="G81" s="617"/>
      <c r="H81" s="466"/>
      <c r="I81" s="477"/>
      <c r="J81" s="477"/>
      <c r="K81" s="1693">
        <f t="shared" si="11"/>
        <v>0</v>
      </c>
      <c r="L81" s="466">
        <f>SUMIF(Data!$A:$A,"10-"&amp;LEFT($B81,3)&amp;"*-*",Data!$T:$T)</f>
        <v>0</v>
      </c>
    </row>
    <row r="82" spans="1:12" x14ac:dyDescent="0.2">
      <c r="A82" s="1526" t="s">
        <v>88</v>
      </c>
      <c r="B82" s="615">
        <v>4170</v>
      </c>
      <c r="C82" s="617"/>
      <c r="D82" s="617"/>
      <c r="E82" s="466"/>
      <c r="F82" s="617"/>
      <c r="G82" s="617"/>
      <c r="H82" s="466"/>
      <c r="I82" s="477"/>
      <c r="J82" s="477"/>
      <c r="K82" s="1693">
        <f t="shared" si="11"/>
        <v>0</v>
      </c>
      <c r="L82" s="466">
        <f>SUMIF(Data!$A:$A,"10-"&amp;LEFT($B82,3)&amp;"*-*",Data!$T:$T)</f>
        <v>0</v>
      </c>
    </row>
    <row r="83" spans="1:12" x14ac:dyDescent="0.2">
      <c r="A83" s="1530" t="s">
        <v>722</v>
      </c>
      <c r="B83" s="629">
        <v>4190</v>
      </c>
      <c r="C83" s="617"/>
      <c r="D83" s="617"/>
      <c r="E83" s="466"/>
      <c r="F83" s="617"/>
      <c r="G83" s="617"/>
      <c r="H83" s="466"/>
      <c r="I83" s="477"/>
      <c r="J83" s="477"/>
      <c r="K83" s="1693">
        <f t="shared" si="11"/>
        <v>0</v>
      </c>
      <c r="L83" s="466">
        <f>SUMIF(Data!$A:$A,"10-"&amp;LEFT($B83,3)&amp;"*-*",Data!$T:$T)</f>
        <v>0</v>
      </c>
    </row>
    <row r="84" spans="1:12" ht="13.5" thickBot="1" x14ac:dyDescent="0.25">
      <c r="A84" s="1690" t="s">
        <v>1565</v>
      </c>
      <c r="B84" s="1700">
        <v>4100</v>
      </c>
      <c r="C84" s="617"/>
      <c r="D84" s="617"/>
      <c r="E84" s="1692">
        <f>SUM(E78:E83)</f>
        <v>4037</v>
      </c>
      <c r="F84" s="617"/>
      <c r="G84" s="617"/>
      <c r="H84" s="1692">
        <f>SUM(H78:H83)</f>
        <v>1581</v>
      </c>
      <c r="I84" s="477"/>
      <c r="J84" s="477"/>
      <c r="K84" s="1692">
        <f>SUM(K78:K83)</f>
        <v>5618</v>
      </c>
      <c r="L84" s="1692">
        <f>SUM(L78:L83)</f>
        <v>27000</v>
      </c>
    </row>
    <row r="85" spans="1:12" ht="12.75" customHeight="1" thickTop="1" thickBot="1" x14ac:dyDescent="0.25">
      <c r="A85" s="1533" t="s">
        <v>273</v>
      </c>
      <c r="B85" s="636">
        <v>4210</v>
      </c>
      <c r="C85" s="617"/>
      <c r="D85" s="617"/>
      <c r="E85" s="637"/>
      <c r="F85" s="617"/>
      <c r="G85" s="617"/>
      <c r="H85" s="535"/>
      <c r="I85" s="477"/>
      <c r="J85" s="477"/>
      <c r="K85" s="1699">
        <f>H85</f>
        <v>0</v>
      </c>
      <c r="L85" s="466">
        <f>SUMIF(Data!$A:$A,"10-"&amp;LEFT($B85,3)&amp;"*-*",Data!$T:$T)</f>
        <v>0</v>
      </c>
    </row>
    <row r="86" spans="1:12" ht="12.75" customHeight="1" thickTop="1" thickBot="1" x14ac:dyDescent="0.25">
      <c r="A86" s="1534" t="s">
        <v>723</v>
      </c>
      <c r="B86" s="638">
        <v>4220</v>
      </c>
      <c r="C86" s="617"/>
      <c r="D86" s="617"/>
      <c r="E86" s="639"/>
      <c r="F86" s="617"/>
      <c r="G86" s="617"/>
      <c r="H86" s="467">
        <v>83219</v>
      </c>
      <c r="I86" s="477"/>
      <c r="J86" s="477"/>
      <c r="K86" s="1699">
        <f t="shared" ref="K86:K98" si="12">H86</f>
        <v>83219</v>
      </c>
      <c r="L86" s="466">
        <f>SUMIF(Data!$A:$A,"10-"&amp;LEFT($B86,3)&amp;"*-*",Data!$T:$T)</f>
        <v>120000</v>
      </c>
    </row>
    <row r="87" spans="1:12" ht="14.25" thickTop="1" thickBot="1" x14ac:dyDescent="0.25">
      <c r="A87" s="1535" t="s">
        <v>724</v>
      </c>
      <c r="B87" s="640">
        <v>4230</v>
      </c>
      <c r="C87" s="617"/>
      <c r="D87" s="617"/>
      <c r="E87" s="639"/>
      <c r="F87" s="617"/>
      <c r="G87" s="617"/>
      <c r="H87" s="467"/>
      <c r="I87" s="477"/>
      <c r="J87" s="477"/>
      <c r="K87" s="1699">
        <f t="shared" si="12"/>
        <v>0</v>
      </c>
      <c r="L87" s="466">
        <f>SUMIF(Data!$A:$A,"10-"&amp;LEFT($B87,3)&amp;"*-*",Data!$T:$T)</f>
        <v>0</v>
      </c>
    </row>
    <row r="88" spans="1:12" ht="12.75" customHeight="1" thickTop="1" thickBot="1" x14ac:dyDescent="0.25">
      <c r="A88" s="1535" t="s">
        <v>789</v>
      </c>
      <c r="B88" s="640">
        <v>4240</v>
      </c>
      <c r="C88" s="617"/>
      <c r="D88" s="617"/>
      <c r="E88" s="639"/>
      <c r="F88" s="617"/>
      <c r="G88" s="617"/>
      <c r="H88" s="467"/>
      <c r="I88" s="477"/>
      <c r="J88" s="477"/>
      <c r="K88" s="1699">
        <f t="shared" si="12"/>
        <v>0</v>
      </c>
      <c r="L88" s="466">
        <f>SUMIF(Data!$A:$A,"10-"&amp;LEFT($B88,3)&amp;"*-*",Data!$T:$T)</f>
        <v>0</v>
      </c>
    </row>
    <row r="89" spans="1:12" ht="12.75" customHeight="1" thickTop="1" thickBot="1" x14ac:dyDescent="0.25">
      <c r="A89" s="1535" t="s">
        <v>725</v>
      </c>
      <c r="B89" s="640">
        <v>4270</v>
      </c>
      <c r="C89" s="617"/>
      <c r="D89" s="617"/>
      <c r="E89" s="639"/>
      <c r="F89" s="617"/>
      <c r="G89" s="617"/>
      <c r="H89" s="467"/>
      <c r="I89" s="477"/>
      <c r="J89" s="477"/>
      <c r="K89" s="1699">
        <f t="shared" si="12"/>
        <v>0</v>
      </c>
      <c r="L89" s="466">
        <f>SUMIF(Data!$A:$A,"10-"&amp;LEFT($B89,3)&amp;"*-*",Data!$T:$T)</f>
        <v>0</v>
      </c>
    </row>
    <row r="90" spans="1:12" ht="12.75" customHeight="1" thickTop="1" thickBot="1" x14ac:dyDescent="0.25">
      <c r="A90" s="1535" t="s">
        <v>710</v>
      </c>
      <c r="B90" s="640">
        <v>4280</v>
      </c>
      <c r="C90" s="617"/>
      <c r="D90" s="617"/>
      <c r="E90" s="639"/>
      <c r="F90" s="617"/>
      <c r="G90" s="617"/>
      <c r="H90" s="467"/>
      <c r="I90" s="477"/>
      <c r="J90" s="477"/>
      <c r="K90" s="1699">
        <f t="shared" si="12"/>
        <v>0</v>
      </c>
      <c r="L90" s="466">
        <f>SUMIF(Data!$A:$A,"10-"&amp;LEFT($B90,3)&amp;"*-*",Data!$T:$T)</f>
        <v>0</v>
      </c>
    </row>
    <row r="91" spans="1:12" ht="12.75" customHeight="1" thickTop="1" thickBot="1" x14ac:dyDescent="0.25">
      <c r="A91" s="1535" t="s">
        <v>711</v>
      </c>
      <c r="B91" s="640">
        <v>4290</v>
      </c>
      <c r="C91" s="617"/>
      <c r="D91" s="617"/>
      <c r="E91" s="639"/>
      <c r="F91" s="617"/>
      <c r="G91" s="617"/>
      <c r="H91" s="467"/>
      <c r="I91" s="477"/>
      <c r="J91" s="477"/>
      <c r="K91" s="1699">
        <f t="shared" si="12"/>
        <v>0</v>
      </c>
      <c r="L91" s="466">
        <f>SUMIF(Data!$A:$A,"10-"&amp;LEFT($B91,3)&amp;"*-*",Data!$T:$T)</f>
        <v>0</v>
      </c>
    </row>
    <row r="92" spans="1:12" ht="14.25" thickTop="1" thickBot="1" x14ac:dyDescent="0.25">
      <c r="A92" s="1702" t="s">
        <v>1641</v>
      </c>
      <c r="B92" s="1700">
        <v>4200</v>
      </c>
      <c r="C92" s="617"/>
      <c r="D92" s="617"/>
      <c r="E92" s="639"/>
      <c r="F92" s="617"/>
      <c r="G92" s="617"/>
      <c r="H92" s="1692">
        <f>SUM(H85:H91)</f>
        <v>83219</v>
      </c>
      <c r="I92" s="477"/>
      <c r="J92" s="477"/>
      <c r="K92" s="1699">
        <f t="shared" si="12"/>
        <v>83219</v>
      </c>
      <c r="L92" s="1692">
        <f>SUM(L85:L91)</f>
        <v>120000</v>
      </c>
    </row>
    <row r="93" spans="1:12" ht="14.25" thickTop="1" thickBot="1" x14ac:dyDescent="0.25">
      <c r="A93" s="1534" t="s">
        <v>712</v>
      </c>
      <c r="B93" s="641">
        <v>4310</v>
      </c>
      <c r="C93" s="617"/>
      <c r="D93" s="617"/>
      <c r="E93" s="639"/>
      <c r="F93" s="617"/>
      <c r="G93" s="617"/>
      <c r="H93" s="642"/>
      <c r="I93" s="477"/>
      <c r="J93" s="477"/>
      <c r="K93" s="1699">
        <f t="shared" si="12"/>
        <v>0</v>
      </c>
      <c r="L93" s="466">
        <f>SUMIF(Data!$A:$A,"10-"&amp;LEFT($B93,3)&amp;"*-*",Data!$T:$T)</f>
        <v>0</v>
      </c>
    </row>
    <row r="94" spans="1:12" ht="12.75" customHeight="1" thickTop="1" thickBot="1" x14ac:dyDescent="0.25">
      <c r="A94" s="1535" t="s">
        <v>713</v>
      </c>
      <c r="B94" s="640">
        <v>4320</v>
      </c>
      <c r="C94" s="617"/>
      <c r="D94" s="617"/>
      <c r="E94" s="639"/>
      <c r="F94" s="617"/>
      <c r="G94" s="617"/>
      <c r="H94" s="467"/>
      <c r="I94" s="477"/>
      <c r="J94" s="477"/>
      <c r="K94" s="1699">
        <f t="shared" si="12"/>
        <v>0</v>
      </c>
      <c r="L94" s="466">
        <f>SUMIF(Data!$A:$A,"10-"&amp;LEFT($B94,3)&amp;"*-*",Data!$T:$T)</f>
        <v>0</v>
      </c>
    </row>
    <row r="95" spans="1:12" ht="15" customHeight="1" thickTop="1" thickBot="1" x14ac:dyDescent="0.25">
      <c r="A95" s="1535" t="s">
        <v>1568</v>
      </c>
      <c r="B95" s="640">
        <v>4330</v>
      </c>
      <c r="C95" s="617"/>
      <c r="D95" s="617"/>
      <c r="E95" s="639"/>
      <c r="F95" s="617"/>
      <c r="G95" s="617"/>
      <c r="H95" s="467"/>
      <c r="I95" s="477"/>
      <c r="J95" s="477"/>
      <c r="K95" s="1699">
        <f t="shared" si="12"/>
        <v>0</v>
      </c>
      <c r="L95" s="466">
        <f>SUMIF(Data!$A:$A,"10-"&amp;LEFT($B95,3)&amp;"*-*",Data!$T:$T)</f>
        <v>0</v>
      </c>
    </row>
    <row r="96" spans="1:12" ht="14.25" thickTop="1" thickBot="1" x14ac:dyDescent="0.25">
      <c r="A96" s="1535" t="s">
        <v>714</v>
      </c>
      <c r="B96" s="640">
        <v>4340</v>
      </c>
      <c r="C96" s="617"/>
      <c r="D96" s="617"/>
      <c r="E96" s="639"/>
      <c r="F96" s="617"/>
      <c r="G96" s="617"/>
      <c r="H96" s="467"/>
      <c r="I96" s="477"/>
      <c r="J96" s="477"/>
      <c r="K96" s="1699">
        <f t="shared" si="12"/>
        <v>0</v>
      </c>
      <c r="L96" s="466">
        <f>SUMIF(Data!$A:$A,"10-"&amp;LEFT($B96,3)&amp;"*-*",Data!$T:$T)</f>
        <v>0</v>
      </c>
    </row>
    <row r="97" spans="1:14" ht="12.75" customHeight="1" thickTop="1" thickBot="1" x14ac:dyDescent="0.25">
      <c r="A97" s="1535" t="s">
        <v>787</v>
      </c>
      <c r="B97" s="640">
        <v>4370</v>
      </c>
      <c r="C97" s="617"/>
      <c r="D97" s="617"/>
      <c r="E97" s="639"/>
      <c r="F97" s="617"/>
      <c r="G97" s="617"/>
      <c r="H97" s="467"/>
      <c r="I97" s="477"/>
      <c r="J97" s="477"/>
      <c r="K97" s="1699">
        <f t="shared" si="12"/>
        <v>0</v>
      </c>
      <c r="L97" s="466">
        <f>SUMIF(Data!$A:$A,"10-"&amp;LEFT($B97,3)&amp;"*-*",Data!$T:$T)</f>
        <v>0</v>
      </c>
    </row>
    <row r="98" spans="1:14" ht="14.25" thickTop="1" thickBot="1" x14ac:dyDescent="0.25">
      <c r="A98" s="1535" t="s">
        <v>788</v>
      </c>
      <c r="B98" s="640">
        <v>4380</v>
      </c>
      <c r="C98" s="617"/>
      <c r="D98" s="617"/>
      <c r="E98" s="643"/>
      <c r="F98" s="617"/>
      <c r="G98" s="617"/>
      <c r="H98" s="467"/>
      <c r="I98" s="477"/>
      <c r="J98" s="477"/>
      <c r="K98" s="1699">
        <f t="shared" si="12"/>
        <v>0</v>
      </c>
      <c r="L98" s="466">
        <f>SUMIF(Data!$A:$A,"10-"&amp;LEFT($B98,3)&amp;"*-*",Data!$T:$T)</f>
        <v>0</v>
      </c>
    </row>
    <row r="99" spans="1:14" ht="14.25" thickTop="1" thickBot="1" x14ac:dyDescent="0.25">
      <c r="A99" s="1535" t="s">
        <v>385</v>
      </c>
      <c r="B99" s="640">
        <v>4390</v>
      </c>
      <c r="C99" s="617"/>
      <c r="D99" s="617"/>
      <c r="E99" s="532"/>
      <c r="F99" s="617"/>
      <c r="G99" s="617"/>
      <c r="H99" s="467"/>
      <c r="I99" s="477"/>
      <c r="J99" s="477"/>
      <c r="K99" s="1699">
        <f>SUM(E99,H99)</f>
        <v>0</v>
      </c>
      <c r="L99" s="466">
        <f>SUMIF(Data!$A:$A,"10-"&amp;LEFT($B99,3)&amp;"*-*",Data!$T:$T)</f>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466">
        <f>SUMIF(Data!$A:$A,"10-"&amp;LEFT($B101,3)&amp;"*-*",Data!$T:$T)</f>
        <v>0</v>
      </c>
    </row>
    <row r="102" spans="1:14" ht="12.75" customHeight="1" thickTop="1" thickBot="1" x14ac:dyDescent="0.25">
      <c r="A102" s="1690" t="s">
        <v>1567</v>
      </c>
      <c r="B102" s="1700">
        <v>4000</v>
      </c>
      <c r="C102" s="617"/>
      <c r="D102" s="617"/>
      <c r="E102" s="1699">
        <f>SUM(E84,E92,E100,E101)</f>
        <v>4037</v>
      </c>
      <c r="F102" s="617"/>
      <c r="G102" s="617"/>
      <c r="H102" s="1699">
        <f>SUM(H84,H92,H100,H101)</f>
        <v>84800</v>
      </c>
      <c r="I102" s="477"/>
      <c r="J102" s="477"/>
      <c r="K102" s="1699">
        <f>SUM(K84,K92,K100,K101)</f>
        <v>88837</v>
      </c>
      <c r="L102" s="1699">
        <f>SUM(L84,L92,L100,L101)</f>
        <v>147000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66">
        <f>SUMIF(Data!$A:$A,"10-"&amp;LEFT($B105,3)&amp;"*-*",Data!$T:$T)</f>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f>SUMIF(Data!$A:$A,"10-"&amp;LEFT($B106,3)&amp;"*-*",Data!$T:$T)</f>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f>SUMIF(Data!$A:$A,"10-"&amp;LEFT($B107,3)&amp;"*-*",Data!$T:$T)</f>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f>SUMIF(Data!$A:$A,"10-"&amp;LEFT($B108,3)&amp;"*-*",Data!$T:$T)</f>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f>SUMIF(Data!$A:$A,"10-"&amp;LEFT($B109,3)&amp;"*-*",Data!$T:$T)</f>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x14ac:dyDescent="0.2">
      <c r="A111" s="1536" t="s">
        <v>386</v>
      </c>
      <c r="B111" s="648" t="s">
        <v>38</v>
      </c>
      <c r="C111" s="617"/>
      <c r="D111" s="617"/>
      <c r="E111" s="617"/>
      <c r="F111" s="617"/>
      <c r="G111" s="617"/>
      <c r="H111" s="535"/>
      <c r="I111" s="468"/>
      <c r="J111" s="468"/>
      <c r="K111" s="1705">
        <f>H111</f>
        <v>0</v>
      </c>
      <c r="L111" s="466">
        <f>SUMIF(Data!$A:$A,"10-"&amp;LEFT($B111,3)&amp;"*-*",Data!$T:$T)</f>
        <v>0</v>
      </c>
      <c r="M111" s="210"/>
      <c r="N111" s="210"/>
    </row>
    <row r="112" spans="1:14" s="598" customFormat="1" ht="12.75" customHeight="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x14ac:dyDescent="0.2">
      <c r="A113" s="1628" t="s">
        <v>535</v>
      </c>
      <c r="B113" s="1635" t="s">
        <v>916</v>
      </c>
      <c r="C113" s="624"/>
      <c r="D113" s="624"/>
      <c r="E113" s="617"/>
      <c r="F113" s="617"/>
      <c r="G113" s="617"/>
      <c r="H113" s="624"/>
      <c r="I113" s="468"/>
      <c r="J113" s="468"/>
      <c r="K113" s="624"/>
      <c r="L113" s="466">
        <f>SUMIF(Data!$A:$A,"10-"&amp;LEFT($B113,3)&amp;"*-*",Data!$T:$T)</f>
        <v>0</v>
      </c>
      <c r="M113" s="614"/>
      <c r="N113" s="614"/>
    </row>
    <row r="114" spans="1:14" ht="12.75" customHeight="1" thickBot="1" x14ac:dyDescent="0.25">
      <c r="A114" s="1690" t="s">
        <v>50</v>
      </c>
      <c r="B114" s="1704"/>
      <c r="C114" s="1692">
        <f>SUM(C33,C74,C75,C102,C112,C113)</f>
        <v>889683</v>
      </c>
      <c r="D114" s="1692">
        <f t="shared" ref="D114:K114" si="13">SUM(D33,D74,D75,D102,D112,D113)</f>
        <v>120826</v>
      </c>
      <c r="E114" s="1692">
        <f t="shared" si="13"/>
        <v>128598</v>
      </c>
      <c r="F114" s="1692">
        <f t="shared" si="13"/>
        <v>171134</v>
      </c>
      <c r="G114" s="1692">
        <f t="shared" si="13"/>
        <v>60659</v>
      </c>
      <c r="H114" s="1692">
        <f>SUM(H33,H74,H75,H102,H112,H113)</f>
        <v>123003</v>
      </c>
      <c r="I114" s="1692">
        <f t="shared" si="13"/>
        <v>200</v>
      </c>
      <c r="J114" s="1692">
        <f t="shared" si="13"/>
        <v>0</v>
      </c>
      <c r="K114" s="1692">
        <f t="shared" si="13"/>
        <v>1494103</v>
      </c>
      <c r="L114" s="1692">
        <f>SUM(L33,L74,L75,L102,L112,L113)</f>
        <v>1467585.51</v>
      </c>
    </row>
    <row r="115" spans="1:14" ht="13.5" thickTop="1" x14ac:dyDescent="0.2">
      <c r="A115" s="2211" t="s">
        <v>1053</v>
      </c>
      <c r="B115" s="2212"/>
      <c r="C115" s="619"/>
      <c r="D115" s="619"/>
      <c r="E115" s="619"/>
      <c r="F115" s="619"/>
      <c r="G115" s="619"/>
      <c r="H115" s="619"/>
      <c r="I115" s="619"/>
      <c r="J115" s="619"/>
      <c r="K115" s="1706">
        <f>'Revenues 9-14'!C275-'Expenditures 15-22'!K114</f>
        <v>131819.99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9" t="s">
        <v>314</v>
      </c>
      <c r="B117" s="219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f>ROUND(SUMIF(Data!$A:$A,"20-"&amp;$B120&amp;"-1*",Data!$P:$P),0)</f>
        <v>0</v>
      </c>
      <c r="D120" s="466">
        <f>ROUND(SUMIF(Data!$A:$A,"20-"&amp;$B120&amp;"-2*",Data!$P:$P),0)</f>
        <v>0</v>
      </c>
      <c r="E120" s="466">
        <f>ROUND(SUMIF(Data!$A:$A,"20-"&amp;$B120&amp;"-3*",Data!$P:$P),0)</f>
        <v>0</v>
      </c>
      <c r="F120" s="466">
        <f>ROUND(SUMIF(Data!$A:$A,"20-"&amp;$B120&amp;"-4*",Data!$P:$P),0)</f>
        <v>0</v>
      </c>
      <c r="G120" s="466">
        <f>ROUND(SUMIF(Data!$A:$A,"20-"&amp;$B120&amp;"-5*",Data!$P:$P),0)</f>
        <v>0</v>
      </c>
      <c r="H120" s="466">
        <f>ROUND(SUMIF(Data!$A:$A,"20-"&amp;$B120&amp;"-6*",Data!$P:$P),0)</f>
        <v>0</v>
      </c>
      <c r="I120" s="466">
        <f>ROUND(SUMIF(Data!$A:$A,"20-"&amp;$B120&amp;"-7*",Data!$P:$P),0)</f>
        <v>0</v>
      </c>
      <c r="J120" s="466">
        <f>ROUND(SUMIF(Data!$A:$A,"20-"&amp;$B120&amp;"-8*",Data!$P:$P),0)</f>
        <v>0</v>
      </c>
      <c r="K120" s="1693">
        <f>SUM(C120:J120)</f>
        <v>0</v>
      </c>
      <c r="L120" s="466">
        <f>SUMIF(Data!$A:$A,"20-"&amp;LEFT($B120,3)&amp;"*-*",Data!$T:$T)</f>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f>ROUND(SUMIF(Data!$A:$A,"20-"&amp;$B122&amp;"-1*",Data!$P:$P),0)</f>
        <v>0</v>
      </c>
      <c r="D122" s="466">
        <f>ROUND(SUMIF(Data!$A:$A,"20-"&amp;$B122&amp;"-2*",Data!$P:$P),0)</f>
        <v>0</v>
      </c>
      <c r="E122" s="466">
        <f>ROUND(SUMIF(Data!$A:$A,"20-"&amp;$B122&amp;"-3*",Data!$P:$P),0)</f>
        <v>0</v>
      </c>
      <c r="F122" s="466">
        <f>ROUND(SUMIF(Data!$A:$A,"20-"&amp;$B122&amp;"-4*",Data!$P:$P),0)</f>
        <v>0</v>
      </c>
      <c r="G122" s="466">
        <f>ROUND(SUMIF(Data!$A:$A,"20-"&amp;$B122&amp;"-5*",Data!$P:$P),0)</f>
        <v>0</v>
      </c>
      <c r="H122" s="466">
        <f>ROUND(SUMIF(Data!$A:$A,"20-"&amp;$B122&amp;"-6*",Data!$P:$P),0)</f>
        <v>0</v>
      </c>
      <c r="I122" s="466">
        <f>ROUND(SUMIF(Data!$A:$A,"20-"&amp;$B122&amp;"-7*",Data!$P:$P),0)</f>
        <v>0</v>
      </c>
      <c r="J122" s="466">
        <f>ROUND(SUMIF(Data!$A:$A,"20-"&amp;$B122&amp;"-8*",Data!$P:$P),0)</f>
        <v>0</v>
      </c>
      <c r="K122" s="1692">
        <f>SUM(C122:J122)</f>
        <v>0</v>
      </c>
      <c r="L122" s="466">
        <f>SUMIF(Data!$A:$A,"20-"&amp;LEFT($B122,3)&amp;"*-*",Data!$T:$T)</f>
        <v>0</v>
      </c>
    </row>
    <row r="123" spans="1:14" ht="14.25" thickTop="1" thickBot="1" x14ac:dyDescent="0.25">
      <c r="A123" s="1526" t="s">
        <v>4</v>
      </c>
      <c r="B123" s="615">
        <v>2530</v>
      </c>
      <c r="C123" s="466">
        <f>ROUND(SUMIF(Data!$A:$A,"20-"&amp;$B123&amp;"-1*",Data!$P:$P),0)</f>
        <v>0</v>
      </c>
      <c r="D123" s="466">
        <f>ROUND(SUMIF(Data!$A:$A,"20-"&amp;$B123&amp;"-2*",Data!$P:$P),0)</f>
        <v>0</v>
      </c>
      <c r="E123" s="466">
        <f>ROUND(SUMIF(Data!$A:$A,"20-"&amp;$B123&amp;"-3*",Data!$P:$P),0)</f>
        <v>566</v>
      </c>
      <c r="F123" s="466">
        <f>ROUND(SUMIF(Data!$A:$A,"20-"&amp;$B123&amp;"-4*",Data!$P:$P),0)</f>
        <v>0</v>
      </c>
      <c r="G123" s="466">
        <f>ROUND(SUMIF(Data!$A:$A,"20-"&amp;$B123&amp;"-5*",Data!$P:$P),0)</f>
        <v>0</v>
      </c>
      <c r="H123" s="466">
        <f>ROUND(SUMIF(Data!$A:$A,"20-"&amp;$B123&amp;"-6*",Data!$P:$P),0)</f>
        <v>0</v>
      </c>
      <c r="I123" s="466">
        <f>ROUND(SUMIF(Data!$A:$A,"20-"&amp;$B123&amp;"-7*",Data!$P:$P),0)</f>
        <v>0</v>
      </c>
      <c r="J123" s="466">
        <f>ROUND(SUMIF(Data!$A:$A,"20-"&amp;$B123&amp;"-8*",Data!$P:$P),0)</f>
        <v>0</v>
      </c>
      <c r="K123" s="1692">
        <f>SUM(C123:J123)</f>
        <v>566</v>
      </c>
      <c r="L123" s="466">
        <f>SUMIF(Data!$A:$A,"20-"&amp;LEFT($B123,3)&amp;"*-*",Data!$T:$T)</f>
        <v>0</v>
      </c>
    </row>
    <row r="124" spans="1:14" ht="14.25" thickTop="1" thickBot="1" x14ac:dyDescent="0.25">
      <c r="A124" s="1526" t="s">
        <v>206</v>
      </c>
      <c r="B124" s="615">
        <v>2540</v>
      </c>
      <c r="C124" s="466">
        <f>ROUND(SUMIF(Data!$A:$A,"20-"&amp;$B124&amp;"-1*",Data!$P:$P),0)</f>
        <v>67757</v>
      </c>
      <c r="D124" s="466">
        <f>ROUND(SUMIF(Data!$A:$A,"20-"&amp;$B124&amp;"-2*",Data!$P:$P),0)</f>
        <v>6636</v>
      </c>
      <c r="E124" s="466">
        <f>ROUND(SUMIF(Data!$A:$A,"20-"&amp;$B124&amp;"-3*",Data!$P:$P),0)</f>
        <v>48636</v>
      </c>
      <c r="F124" s="466">
        <f>ROUND(SUMIF(Data!$A:$A,"20-"&amp;$B124&amp;"-4*",Data!$P:$P),0)</f>
        <v>45853</v>
      </c>
      <c r="G124" s="466">
        <f>ROUND(SUMIF(Data!$A:$A,"20-"&amp;$B124&amp;"-5*",Data!$P:$P),0)</f>
        <v>43422</v>
      </c>
      <c r="H124" s="466">
        <f>ROUND(SUMIF(Data!$A:$A,"20-"&amp;$B124&amp;"-6*",Data!$P:$P),0)</f>
        <v>0</v>
      </c>
      <c r="I124" s="466">
        <f>ROUND(SUMIF(Data!$A:$A,"20-"&amp;$B124&amp;"-7*",Data!$P:$P),0)</f>
        <v>0</v>
      </c>
      <c r="J124" s="466">
        <f>ROUND(SUMIF(Data!$A:$A,"20-"&amp;$B124&amp;"-8*",Data!$P:$P),0)</f>
        <v>0</v>
      </c>
      <c r="K124" s="1692">
        <f>SUM(C124:J124)</f>
        <v>212304</v>
      </c>
      <c r="L124" s="466">
        <f>SUMIF(Data!$A:$A,"20-"&amp;LEFT($B124,3)&amp;"*-*",Data!$T:$T)</f>
        <v>209124</v>
      </c>
    </row>
    <row r="125" spans="1:14" ht="14.25" thickTop="1" thickBot="1" x14ac:dyDescent="0.25">
      <c r="A125" s="1526" t="s">
        <v>1010</v>
      </c>
      <c r="B125" s="615">
        <v>2550</v>
      </c>
      <c r="C125" s="466">
        <f>ROUND(SUMIF(Data!$A:$A,"20-"&amp;$B125&amp;"-1*",Data!$P:$P),0)</f>
        <v>0</v>
      </c>
      <c r="D125" s="466">
        <f>ROUND(SUMIF(Data!$A:$A,"20-"&amp;$B125&amp;"-2*",Data!$P:$P),0)</f>
        <v>0</v>
      </c>
      <c r="E125" s="466">
        <f>ROUND(SUMIF(Data!$A:$A,"20-"&amp;$B125&amp;"-3*",Data!$P:$P),0)</f>
        <v>0</v>
      </c>
      <c r="F125" s="466">
        <f>ROUND(SUMIF(Data!$A:$A,"20-"&amp;$B125&amp;"-4*",Data!$P:$P),0)</f>
        <v>0</v>
      </c>
      <c r="G125" s="466">
        <f>ROUND(SUMIF(Data!$A:$A,"20-"&amp;$B125&amp;"-5*",Data!$P:$P),0)</f>
        <v>0</v>
      </c>
      <c r="H125" s="466">
        <f>ROUND(SUMIF(Data!$A:$A,"20-"&amp;$B125&amp;"-6*",Data!$P:$P),0)</f>
        <v>0</v>
      </c>
      <c r="I125" s="466">
        <f>ROUND(SUMIF(Data!$A:$A,"20-"&amp;$B125&amp;"-7*",Data!$P:$P),0)</f>
        <v>0</v>
      </c>
      <c r="J125" s="466">
        <f>ROUND(SUMIF(Data!$A:$A,"20-"&amp;$B125&amp;"-8*",Data!$P:$P),0)</f>
        <v>0</v>
      </c>
      <c r="K125" s="1692">
        <f>SUM(C125:J125)</f>
        <v>0</v>
      </c>
      <c r="L125" s="466">
        <f>SUMIF(Data!$A:$A,"20-"&amp;LEFT($B125,3)&amp;"*-*",Data!$T:$T)</f>
        <v>0</v>
      </c>
    </row>
    <row r="126" spans="1:14" ht="14.25" thickTop="1" thickBot="1" x14ac:dyDescent="0.25">
      <c r="A126" s="1526" t="s">
        <v>102</v>
      </c>
      <c r="B126" s="615">
        <v>2560</v>
      </c>
      <c r="C126" s="655"/>
      <c r="D126" s="655"/>
      <c r="E126" s="655"/>
      <c r="F126" s="655"/>
      <c r="G126" s="466">
        <f>ROUND(SUMIF(Data!$A:$A,"20-"&amp;$B126&amp;"-5*",Data!$P:$P),0)</f>
        <v>0</v>
      </c>
      <c r="H126" s="655"/>
      <c r="I126" s="466">
        <f>SUMIF(Data!$A:$A,"20-"&amp;$B126&amp;"-7*",Data!$P:$P)</f>
        <v>0</v>
      </c>
      <c r="J126" s="617"/>
      <c r="K126" s="1692">
        <f>SUM(C126:J126)</f>
        <v>0</v>
      </c>
      <c r="L126" s="466">
        <f>SUMIF(Data!$A:$A,"20-"&amp;LEFT($B126,3)&amp;"*-*",Data!$T:$T)</f>
        <v>0</v>
      </c>
    </row>
    <row r="127" spans="1:14" ht="12.75" customHeight="1" thickTop="1" thickBot="1" x14ac:dyDescent="0.25">
      <c r="A127" s="1690" t="s">
        <v>743</v>
      </c>
      <c r="B127" s="1691" t="s">
        <v>35</v>
      </c>
      <c r="C127" s="1692">
        <f>SUM(C122:C126)</f>
        <v>67757</v>
      </c>
      <c r="D127" s="1692">
        <f t="shared" ref="D127:L127" si="14">SUM(D122:D126)</f>
        <v>6636</v>
      </c>
      <c r="E127" s="1692">
        <f t="shared" si="14"/>
        <v>49202</v>
      </c>
      <c r="F127" s="1692">
        <f t="shared" si="14"/>
        <v>45853</v>
      </c>
      <c r="G127" s="1692">
        <f t="shared" si="14"/>
        <v>43422</v>
      </c>
      <c r="H127" s="1692">
        <f t="shared" si="14"/>
        <v>0</v>
      </c>
      <c r="I127" s="1692">
        <f t="shared" si="14"/>
        <v>0</v>
      </c>
      <c r="J127" s="1692">
        <f t="shared" si="14"/>
        <v>0</v>
      </c>
      <c r="K127" s="1692">
        <f t="shared" si="14"/>
        <v>212870</v>
      </c>
      <c r="L127" s="1692">
        <f t="shared" si="14"/>
        <v>209124</v>
      </c>
    </row>
    <row r="128" spans="1:14" ht="12.75" customHeight="1" thickTop="1" x14ac:dyDescent="0.2">
      <c r="A128" s="1533" t="s">
        <v>1037</v>
      </c>
      <c r="B128" s="656" t="s">
        <v>595</v>
      </c>
      <c r="C128" s="466">
        <f>ROUND(SUMIF(Data!$A:$A,"20-"&amp;$B128&amp;"-1*",Data!$P:$P),0)</f>
        <v>0</v>
      </c>
      <c r="D128" s="466">
        <f>ROUND(SUMIF(Data!$A:$A,"20-"&amp;$B128&amp;"-2*",Data!$P:$P),0)</f>
        <v>0</v>
      </c>
      <c r="E128" s="466">
        <f>ROUND(SUMIF(Data!$A:$A,"20-"&amp;$B128&amp;"-3*",Data!$P:$P),0)</f>
        <v>0</v>
      </c>
      <c r="F128" s="466">
        <f>ROUND(SUMIF(Data!$A:$A,"20-"&amp;$B128&amp;"-4*",Data!$P:$P),0)</f>
        <v>0</v>
      </c>
      <c r="G128" s="466">
        <f>ROUND(SUMIF(Data!$A:$A,"20-"&amp;$B128&amp;"-5*",Data!$P:$P),0)</f>
        <v>0</v>
      </c>
      <c r="H128" s="466">
        <f>ROUND(SUMIF(Data!$A:$A,"20-"&amp;$B128&amp;"-6*",Data!$P:$P),0)</f>
        <v>0</v>
      </c>
      <c r="I128" s="466">
        <f>ROUND(SUMIF(Data!$A:$A,"20-"&amp;$B128&amp;"-7*",Data!$P:$P),0)</f>
        <v>0</v>
      </c>
      <c r="J128" s="466">
        <f>ROUND(SUMIF(Data!$A:$A,"20-"&amp;$B128&amp;"-8*",Data!$P:$P),0)</f>
        <v>0</v>
      </c>
      <c r="K128" s="1707">
        <f>SUM(C128:J128)</f>
        <v>0</v>
      </c>
      <c r="L128" s="466">
        <f>SUMIF(Data!$A:$A,"20-"&amp;LEFT($B128,3)&amp;"*-*",Data!$T:$T)</f>
        <v>0</v>
      </c>
    </row>
    <row r="129" spans="1:14" ht="12.75" customHeight="1" thickBot="1" x14ac:dyDescent="0.25">
      <c r="A129" s="1708" t="s">
        <v>865</v>
      </c>
      <c r="B129" s="1709" t="s">
        <v>590</v>
      </c>
      <c r="C129" s="1699">
        <f>SUM(C120,C127,C128)</f>
        <v>67757</v>
      </c>
      <c r="D129" s="1699">
        <f t="shared" ref="D129:L129" si="15">SUM(D120,D127,D128)</f>
        <v>6636</v>
      </c>
      <c r="E129" s="1699">
        <f t="shared" si="15"/>
        <v>49202</v>
      </c>
      <c r="F129" s="1699">
        <f t="shared" si="15"/>
        <v>45853</v>
      </c>
      <c r="G129" s="1699">
        <f t="shared" si="15"/>
        <v>43422</v>
      </c>
      <c r="H129" s="1699">
        <f t="shared" si="15"/>
        <v>0</v>
      </c>
      <c r="I129" s="1699">
        <f t="shared" si="15"/>
        <v>0</v>
      </c>
      <c r="J129" s="1699">
        <f t="shared" si="15"/>
        <v>0</v>
      </c>
      <c r="K129" s="1699">
        <f t="shared" si="15"/>
        <v>212870</v>
      </c>
      <c r="L129" s="1699">
        <f t="shared" si="15"/>
        <v>209124</v>
      </c>
    </row>
    <row r="130" spans="1:14" ht="15.75" customHeight="1" thickTop="1" thickBot="1" x14ac:dyDescent="0.25">
      <c r="A130" s="1632" t="s">
        <v>1096</v>
      </c>
      <c r="B130" s="1633" t="s">
        <v>596</v>
      </c>
      <c r="C130" s="466">
        <v>27338</v>
      </c>
      <c r="D130" s="466">
        <v>0</v>
      </c>
      <c r="E130" s="466">
        <v>104</v>
      </c>
      <c r="F130" s="466">
        <v>84</v>
      </c>
      <c r="G130" s="466">
        <v>0</v>
      </c>
      <c r="H130" s="466">
        <v>0</v>
      </c>
      <c r="I130" s="466">
        <v>0</v>
      </c>
      <c r="J130" s="466">
        <v>0</v>
      </c>
      <c r="K130" s="1692">
        <f>SUM(C130:J130)</f>
        <v>27526</v>
      </c>
      <c r="L130" s="466">
        <v>31000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466">
        <f>SUMIF(Data!$A:$A,"20-"&amp;$B133&amp;"-3*",Data!$P:$P)</f>
        <v>0</v>
      </c>
      <c r="F133" s="468"/>
      <c r="G133" s="468"/>
      <c r="H133" s="466">
        <f>SUMIF(Data!$A:$A,"20-"&amp;$B133&amp;"-6*",Data!$P:$P)</f>
        <v>0</v>
      </c>
      <c r="I133" s="468"/>
      <c r="J133" s="468"/>
      <c r="K133" s="1844">
        <f>SUM(E133,H133)</f>
        <v>0</v>
      </c>
      <c r="L133" s="466">
        <f>SUMIF(Data!$A:$A,"20-"&amp;LEFT($B133,3)&amp;"*-*",Data!$T:$T)</f>
        <v>0</v>
      </c>
      <c r="M133" s="206"/>
      <c r="N133" s="206"/>
    </row>
    <row r="134" spans="1:14" x14ac:dyDescent="0.2">
      <c r="A134" s="1526" t="s">
        <v>322</v>
      </c>
      <c r="B134" s="615">
        <v>4120</v>
      </c>
      <c r="C134" s="617"/>
      <c r="D134" s="617"/>
      <c r="E134" s="466">
        <f>SUMIF(Data!$A:$A,"20-"&amp;$B134&amp;"-3*",Data!$P:$P)</f>
        <v>0</v>
      </c>
      <c r="F134" s="617"/>
      <c r="G134" s="617"/>
      <c r="H134" s="466">
        <f>SUMIF(Data!$A:$A,"20-"&amp;$B134&amp;"-6*",Data!$P:$P)</f>
        <v>0</v>
      </c>
      <c r="I134" s="477"/>
      <c r="J134" s="617"/>
      <c r="K134" s="1694">
        <f>SUM(E134,H134)</f>
        <v>0</v>
      </c>
      <c r="L134" s="466">
        <f>SUMIF(Data!$A:$A,"20-"&amp;LEFT($B134,3)&amp;"*-*",Data!$T:$T)</f>
        <v>0</v>
      </c>
    </row>
    <row r="135" spans="1:14" x14ac:dyDescent="0.2">
      <c r="A135" s="1526" t="s">
        <v>721</v>
      </c>
      <c r="B135" s="615">
        <v>4140</v>
      </c>
      <c r="C135" s="617"/>
      <c r="D135" s="617"/>
      <c r="E135" s="466">
        <f>SUMIF(Data!$A:$A,"20-"&amp;$B135&amp;"-3*",Data!$P:$P)</f>
        <v>0</v>
      </c>
      <c r="F135" s="617"/>
      <c r="G135" s="617"/>
      <c r="H135" s="466">
        <f>SUMIF(Data!$A:$A,"20-"&amp;$B135&amp;"-6*",Data!$P:$P)</f>
        <v>0</v>
      </c>
      <c r="I135" s="477"/>
      <c r="J135" s="617"/>
      <c r="K135" s="1694">
        <f>SUM(E135,H135)</f>
        <v>0</v>
      </c>
      <c r="L135" s="466">
        <f>SUMIF(Data!$A:$A,"20-"&amp;LEFT($B135,3)&amp;"*-*",Data!$T:$T)</f>
        <v>0</v>
      </c>
    </row>
    <row r="136" spans="1:14" x14ac:dyDescent="0.2">
      <c r="A136" s="1530" t="s">
        <v>722</v>
      </c>
      <c r="B136" s="629">
        <v>4190</v>
      </c>
      <c r="C136" s="617"/>
      <c r="D136" s="617"/>
      <c r="E136" s="466">
        <f>SUMIF(Data!$A:$A,"20-"&amp;$B136&amp;"-3*",Data!$P:$P)</f>
        <v>0</v>
      </c>
      <c r="F136" s="617"/>
      <c r="G136" s="617"/>
      <c r="H136" s="466">
        <f>SUMIF(Data!$A:$A,"20-"&amp;$B136&amp;"-6*",Data!$P:$P)</f>
        <v>0</v>
      </c>
      <c r="I136" s="477"/>
      <c r="J136" s="617"/>
      <c r="K136" s="1694">
        <f>SUM(E136,H136)</f>
        <v>0</v>
      </c>
      <c r="L136" s="466">
        <f>SUMIF(Data!$A:$A,"20-"&amp;LEFT($B136,3)&amp;"*-*",Data!$T:$T)</f>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66">
        <f>SUMIF(Data!$A:$A,"20-"&amp;$B138&amp;"-3*",Data!$P:$P)</f>
        <v>0</v>
      </c>
      <c r="F138" s="617"/>
      <c r="G138" s="617"/>
      <c r="H138" s="466">
        <f>SUMIF(Data!$A:$A,"20-"&amp;$B138&amp;"-6*",Data!$P:$P)</f>
        <v>0</v>
      </c>
      <c r="I138" s="477"/>
      <c r="J138" s="617"/>
      <c r="K138" s="1694">
        <f>SUM(E138,H138)</f>
        <v>0</v>
      </c>
      <c r="L138" s="466">
        <f>SUMIF(Data!$A:$A,"20-"&amp;LEFT($B138,3)&amp;"*-*",Data!$T:$T)</f>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66">
        <f>SUMIF(Data!$A:$A,"20-"&amp;$B142&amp;"-6*",Data!$P:$P)</f>
        <v>0</v>
      </c>
      <c r="I142" s="468"/>
      <c r="J142" s="617"/>
      <c r="K142" s="1694">
        <f>SUM(H142)</f>
        <v>0</v>
      </c>
      <c r="L142" s="466">
        <f>SUMIF(Data!$A:$A,"20-"&amp;LEFT($B142,3)&amp;"*-*",Data!$T:$T)</f>
        <v>0</v>
      </c>
    </row>
    <row r="143" spans="1:14" x14ac:dyDescent="0.2">
      <c r="A143" s="1526" t="s">
        <v>90</v>
      </c>
      <c r="B143" s="615">
        <v>5120</v>
      </c>
      <c r="C143" s="617"/>
      <c r="D143" s="617"/>
      <c r="E143" s="617"/>
      <c r="F143" s="617"/>
      <c r="G143" s="617"/>
      <c r="H143" s="466">
        <f>SUMIF(Data!$A:$A,"20-"&amp;$B143&amp;"-6*",Data!$P:$P)</f>
        <v>0</v>
      </c>
      <c r="I143" s="468"/>
      <c r="J143" s="617"/>
      <c r="K143" s="1694">
        <f>SUM(H143)</f>
        <v>0</v>
      </c>
      <c r="L143" s="466">
        <f>SUMIF(Data!$A:$A,"20-"&amp;LEFT($B143,3)&amp;"*-*",Data!$T:$T)</f>
        <v>0</v>
      </c>
    </row>
    <row r="144" spans="1:14" ht="12.75" customHeight="1" x14ac:dyDescent="0.2">
      <c r="A144" s="1526" t="s">
        <v>1232</v>
      </c>
      <c r="B144" s="629" t="s">
        <v>638</v>
      </c>
      <c r="C144" s="617"/>
      <c r="D144" s="617"/>
      <c r="E144" s="617"/>
      <c r="F144" s="617"/>
      <c r="G144" s="617"/>
      <c r="H144" s="466">
        <f>SUMIF(Data!$A:$A,"20-"&amp;$B144&amp;"-6*",Data!$P:$P)</f>
        <v>0</v>
      </c>
      <c r="I144" s="468"/>
      <c r="J144" s="617"/>
      <c r="K144" s="1694">
        <f>SUM(H144)</f>
        <v>0</v>
      </c>
      <c r="L144" s="466">
        <f>SUMIF(Data!$A:$A,"20-"&amp;LEFT($B144,3)&amp;"*-*",Data!$T:$T)</f>
        <v>0</v>
      </c>
    </row>
    <row r="145" spans="1:14" x14ac:dyDescent="0.2">
      <c r="A145" s="1526" t="s">
        <v>91</v>
      </c>
      <c r="B145" s="615" t="s">
        <v>610</v>
      </c>
      <c r="C145" s="617"/>
      <c r="D145" s="617"/>
      <c r="E145" s="617"/>
      <c r="F145" s="617"/>
      <c r="G145" s="617"/>
      <c r="H145" s="466">
        <f>SUMIF(Data!$A:$A,"20-"&amp;$B145&amp;"-6*",Data!$P:$P)</f>
        <v>0</v>
      </c>
      <c r="I145" s="468"/>
      <c r="J145" s="617"/>
      <c r="K145" s="1694">
        <f>SUM(H145)</f>
        <v>0</v>
      </c>
      <c r="L145" s="466">
        <f>SUMIF(Data!$A:$A,"20-"&amp;LEFT($B145,3)&amp;"*-*",Data!$T:$T)</f>
        <v>0</v>
      </c>
    </row>
    <row r="146" spans="1:14" ht="12.75" customHeight="1" x14ac:dyDescent="0.2">
      <c r="A146" s="1526" t="s">
        <v>640</v>
      </c>
      <c r="B146" s="615" t="s">
        <v>639</v>
      </c>
      <c r="C146" s="617"/>
      <c r="D146" s="617"/>
      <c r="E146" s="617"/>
      <c r="F146" s="617"/>
      <c r="G146" s="617"/>
      <c r="H146" s="466">
        <f>SUMIF(Data!$A:$A,"20-"&amp;$B146&amp;"-6*",Data!$P:$P)</f>
        <v>0</v>
      </c>
      <c r="I146" s="468"/>
      <c r="J146" s="617"/>
      <c r="K146" s="1694">
        <f>SUM(H146)</f>
        <v>0</v>
      </c>
      <c r="L146" s="466">
        <f>SUMIF(Data!$A:$A,"20-"&amp;LEFT($B146,3)&amp;"*-*",Data!$T:$T)</f>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66">
        <f>SUMIF(Data!$A:$A,"20-"&amp;$B148&amp;"-6*",Data!$P:$P)</f>
        <v>0</v>
      </c>
      <c r="I148" s="468"/>
      <c r="J148" s="617"/>
      <c r="K148" s="1694">
        <f>SUM(H148)</f>
        <v>0</v>
      </c>
      <c r="L148" s="466">
        <f>SUMIF(Data!$A:$A,"20-"&amp;LEFT($B148,3)&amp;"*-*",Data!$T:$T)</f>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x14ac:dyDescent="0.2">
      <c r="A150" s="1628" t="s">
        <v>1098</v>
      </c>
      <c r="B150" s="1635" t="s">
        <v>916</v>
      </c>
      <c r="C150" s="617"/>
      <c r="D150" s="617"/>
      <c r="E150" s="617"/>
      <c r="F150" s="617"/>
      <c r="G150" s="617"/>
      <c r="H150" s="663"/>
      <c r="I150" s="521"/>
      <c r="J150" s="617"/>
      <c r="K150" s="624"/>
      <c r="L150" s="466">
        <f>SUMIF(Data!$A:$A,"20-"&amp;LEFT($B150,3)&amp;"*-*",Data!$T:$T)</f>
        <v>0</v>
      </c>
    </row>
    <row r="151" spans="1:14" ht="12.75" customHeight="1" thickBot="1" x14ac:dyDescent="0.25">
      <c r="A151" s="2201" t="s">
        <v>641</v>
      </c>
      <c r="B151" s="2183"/>
      <c r="C151" s="1692">
        <f>SUM(C129,C130,C139,C149,C150)</f>
        <v>95095</v>
      </c>
      <c r="D151" s="1692">
        <f t="shared" ref="D151:K151" si="16">SUM(D129,D130,D139,D149,D150)</f>
        <v>6636</v>
      </c>
      <c r="E151" s="1692">
        <f t="shared" si="16"/>
        <v>49306</v>
      </c>
      <c r="F151" s="1692">
        <f t="shared" si="16"/>
        <v>45937</v>
      </c>
      <c r="G151" s="1692">
        <f t="shared" si="16"/>
        <v>43422</v>
      </c>
      <c r="H151" s="1692">
        <f t="shared" si="16"/>
        <v>0</v>
      </c>
      <c r="I151" s="1692">
        <f t="shared" si="16"/>
        <v>0</v>
      </c>
      <c r="J151" s="1692">
        <f t="shared" si="16"/>
        <v>0</v>
      </c>
      <c r="K151" s="1692">
        <f t="shared" si="16"/>
        <v>240396</v>
      </c>
      <c r="L151" s="1692">
        <f>SUM(L129,L130,L139,L149,L150)</f>
        <v>240124</v>
      </c>
    </row>
    <row r="152" spans="1:14" ht="12.75" customHeight="1" thickTop="1" x14ac:dyDescent="0.2">
      <c r="A152" s="2204" t="s">
        <v>1240</v>
      </c>
      <c r="B152" s="2205"/>
      <c r="C152" s="619"/>
      <c r="D152" s="619"/>
      <c r="E152" s="619"/>
      <c r="F152" s="619"/>
      <c r="G152" s="619"/>
      <c r="H152" s="619"/>
      <c r="I152" s="619"/>
      <c r="J152" s="617"/>
      <c r="K152" s="1706">
        <f>'Revenues 9-14'!D275-'Expenditures 15-22'!K151</f>
        <v>-5315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9" t="s">
        <v>642</v>
      </c>
      <c r="B154" s="219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211" t="s">
        <v>1053</v>
      </c>
      <c r="B175" s="2212"/>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f>SUMIF(Data!$A:$A,"40-"&amp;$B180&amp;"-1*",Data!$P:$P)</f>
        <v>0</v>
      </c>
      <c r="D180" s="466">
        <f>SUMIF(Data!$A:$A,"40-"&amp;$B180&amp;"-2*",Data!$P:$P)</f>
        <v>0</v>
      </c>
      <c r="E180" s="466">
        <f>SUMIF(Data!$A:$A,"40-"&amp;$B180&amp;"-3*",Data!$P:$P)</f>
        <v>0</v>
      </c>
      <c r="F180" s="466">
        <f>SUMIF(Data!$A:$A,"40-"&amp;$B180&amp;"-4*",Data!$P:$P)</f>
        <v>0</v>
      </c>
      <c r="G180" s="466">
        <f>SUMIF(Data!$A:$A,"40-"&amp;$B180&amp;"-5*",Data!$P:$P)</f>
        <v>0</v>
      </c>
      <c r="H180" s="466">
        <f>SUMIF(Data!$A:$A,"40-"&amp;$B180&amp;"-6*",Data!$P:$P)</f>
        <v>0</v>
      </c>
      <c r="I180" s="466">
        <f>SUMIF(Data!$A:$A,"40-"&amp;$B180&amp;"-7*",Data!$P:$P)</f>
        <v>0</v>
      </c>
      <c r="J180" s="466">
        <f>SUMIF(Data!$A:$A,"40-"&amp;$B180&amp;"-8*",Data!$P:$P)</f>
        <v>0</v>
      </c>
      <c r="K180" s="1693">
        <f>SUM(C180:J180)</f>
        <v>0</v>
      </c>
      <c r="L180" s="466">
        <f>SUMIF(Data!$A:$A,"40-"&amp;LEFT($B180,3)&amp;"*-*",Data!$T:$T)</f>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f>ROUND(SUMIF(Data!$A:$A,"40-"&amp;$B182&amp;"-1*",Data!$P:$P),0)</f>
        <v>25794</v>
      </c>
      <c r="D182" s="466">
        <f>ROUND(SUMIF(Data!$A:$A,"40-"&amp;$B182&amp;"-2*",Data!$P:$P),0)</f>
        <v>5652</v>
      </c>
      <c r="E182" s="466">
        <f>ROUND(SUMIF(Data!$A:$A,"40-"&amp;$B182&amp;"-3*",Data!$P:$P),0)</f>
        <v>91291</v>
      </c>
      <c r="F182" s="466">
        <f>ROUND(SUMIF(Data!$A:$A,"40-"&amp;$B182&amp;"-4*",Data!$P:$P),0)</f>
        <v>13603</v>
      </c>
      <c r="G182" s="466">
        <f>ROUND(SUMIF(Data!$A:$A,"40-"&amp;$B182&amp;"-5*",Data!$P:$P),0)</f>
        <v>742</v>
      </c>
      <c r="H182" s="466">
        <f>ROUND(SUMIF(Data!$A:$A,"40-"&amp;$B182&amp;"-6*",Data!$P:$P),0)</f>
        <v>465</v>
      </c>
      <c r="I182" s="466">
        <f>ROUND(SUMIF(Data!$A:$A,"40-"&amp;$B182&amp;"-7*",Data!$P:$P),0)</f>
        <v>0</v>
      </c>
      <c r="J182" s="466">
        <f>ROUND(SUMIF(Data!$A:$A,"40-"&amp;$B182&amp;"-8*",Data!$P:$P),0)</f>
        <v>0</v>
      </c>
      <c r="K182" s="1693">
        <f>SUM(C182:J182)</f>
        <v>137547</v>
      </c>
      <c r="L182" s="466">
        <f>SUMIF(Data!$A:$A,"40-"&amp;LEFT($B182,3)&amp;"*-*",Data!$T:$T)</f>
        <v>167565</v>
      </c>
    </row>
    <row r="183" spans="1:14" ht="12.75" customHeight="1" thickBot="1" x14ac:dyDescent="0.25">
      <c r="A183" s="1531" t="s">
        <v>1037</v>
      </c>
      <c r="B183" s="678">
        <v>2900</v>
      </c>
      <c r="C183" s="466">
        <f>SUMIF(Data!$A:$A,"40-"&amp;$B183&amp;"-1*",Data!$P:$P)</f>
        <v>0</v>
      </c>
      <c r="D183" s="466">
        <f>SUMIF(Data!$A:$A,"40-"&amp;$B183&amp;"-2*",Data!$P:$P)</f>
        <v>0</v>
      </c>
      <c r="E183" s="466">
        <f>SUMIF(Data!$A:$A,"40-"&amp;$B183&amp;"-3*",Data!$P:$P)</f>
        <v>0</v>
      </c>
      <c r="F183" s="466">
        <f>SUMIF(Data!$A:$A,"40-"&amp;$B183&amp;"-4*",Data!$P:$P)</f>
        <v>0</v>
      </c>
      <c r="G183" s="466">
        <f>SUMIF(Data!$A:$A,"40-"&amp;$B183&amp;"-5*",Data!$P:$P)</f>
        <v>0</v>
      </c>
      <c r="H183" s="466">
        <f>SUMIF(Data!$A:$A,"40-"&amp;$B183&amp;"-6*",Data!$P:$P)</f>
        <v>0</v>
      </c>
      <c r="I183" s="466">
        <f>SUMIF(Data!$A:$A,"40-"&amp;$B183&amp;"-7*",Data!$P:$P)</f>
        <v>0</v>
      </c>
      <c r="J183" s="466">
        <f>SUMIF(Data!$A:$A,"40-"&amp;$B183&amp;"-8*",Data!$P:$P)</f>
        <v>0</v>
      </c>
      <c r="K183" s="1699">
        <f>SUM(C183:J183)</f>
        <v>0</v>
      </c>
      <c r="L183" s="466">
        <f>SUMIF(Data!$A:$A,"40-"&amp;LEFT($B183,3)&amp;"*-*",Data!$T:$T)</f>
        <v>0</v>
      </c>
    </row>
    <row r="184" spans="1:14" ht="12.75" customHeight="1" thickTop="1" thickBot="1" x14ac:dyDescent="0.25">
      <c r="A184" s="1713" t="s">
        <v>865</v>
      </c>
      <c r="B184" s="1691" t="s">
        <v>590</v>
      </c>
      <c r="C184" s="1699">
        <f>SUM(C180,C182,C183)</f>
        <v>25794</v>
      </c>
      <c r="D184" s="1699">
        <f t="shared" ref="D184:J184" si="17">SUM(D180,D182,D183)</f>
        <v>5652</v>
      </c>
      <c r="E184" s="1699">
        <f t="shared" si="17"/>
        <v>91291</v>
      </c>
      <c r="F184" s="1699">
        <f t="shared" si="17"/>
        <v>13603</v>
      </c>
      <c r="G184" s="1699">
        <f t="shared" si="17"/>
        <v>742</v>
      </c>
      <c r="H184" s="1699">
        <f t="shared" si="17"/>
        <v>465</v>
      </c>
      <c r="I184" s="1699">
        <f t="shared" si="17"/>
        <v>0</v>
      </c>
      <c r="J184" s="1699">
        <f t="shared" si="17"/>
        <v>0</v>
      </c>
      <c r="K184" s="1699">
        <f>SUM(K180,K182,K183)</f>
        <v>137547</v>
      </c>
      <c r="L184" s="1699">
        <f>SUM(L180, L182:L183)</f>
        <v>167565</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25794</v>
      </c>
      <c r="D210" s="1692">
        <f>SUM(D184,D185)</f>
        <v>5652</v>
      </c>
      <c r="E210" s="1692">
        <f>SUM(E184,E185,E196)</f>
        <v>91291</v>
      </c>
      <c r="F210" s="1692">
        <f>SUM(F184,F185)</f>
        <v>13603</v>
      </c>
      <c r="G210" s="1692">
        <f>SUM(G184,G185)</f>
        <v>742</v>
      </c>
      <c r="H210" s="1692">
        <f>SUM(H184,H185,H196,H208,H209)</f>
        <v>465</v>
      </c>
      <c r="I210" s="1692">
        <f>SUM(I184,I185)</f>
        <v>0</v>
      </c>
      <c r="J210" s="1692">
        <f>SUM(J184,J185)</f>
        <v>0</v>
      </c>
      <c r="K210" s="1693">
        <f>SUM(K184,K185,K196,K208,K209)</f>
        <v>137547</v>
      </c>
      <c r="L210" s="1692">
        <f>SUM(L184,L185,L196,L208,L209)</f>
        <v>167565</v>
      </c>
    </row>
    <row r="211" spans="1:14" ht="13.5" thickTop="1" x14ac:dyDescent="0.2">
      <c r="A211" s="2211" t="s">
        <v>1053</v>
      </c>
      <c r="B211" s="2212"/>
      <c r="C211" s="619"/>
      <c r="D211" s="619"/>
      <c r="E211" s="619"/>
      <c r="F211" s="619"/>
      <c r="G211" s="619"/>
      <c r="H211" s="619"/>
      <c r="I211" s="617"/>
      <c r="J211" s="617"/>
      <c r="K211" s="1706">
        <f>'Revenues 9-14'!F275-'Expenditures 15-22'!K210</f>
        <v>114236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6" t="s">
        <v>1022</v>
      </c>
      <c r="B213" s="220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8102</v>
      </c>
      <c r="E215" s="617"/>
      <c r="F215" s="617"/>
      <c r="G215" s="617"/>
      <c r="H215" s="617"/>
      <c r="I215" s="617"/>
      <c r="J215" s="617"/>
      <c r="K215" s="1693">
        <f>D215</f>
        <v>8102</v>
      </c>
      <c r="L215" s="466">
        <v>10124</v>
      </c>
    </row>
    <row r="216" spans="1:14" x14ac:dyDescent="0.2">
      <c r="A216" s="1526" t="s">
        <v>165</v>
      </c>
      <c r="B216" s="615" t="s">
        <v>1024</v>
      </c>
      <c r="C216" s="617"/>
      <c r="D216" s="466">
        <f>ROUND(SUMIF(Data!$A:$A,"50-"&amp;$B216&amp;"-2*",Data!$P:$P),0)</f>
        <v>1841</v>
      </c>
      <c r="E216" s="617"/>
      <c r="F216" s="617"/>
      <c r="G216" s="617"/>
      <c r="H216" s="617"/>
      <c r="I216" s="617"/>
      <c r="J216" s="617"/>
      <c r="K216" s="1693">
        <f t="shared" ref="K216:K228" si="19">D216</f>
        <v>1841</v>
      </c>
      <c r="L216" s="466">
        <f>SUMIF(Data!$A:$A,"50-"&amp;LEFT($B216,3)&amp;"*-*",Data!$T:$T)</f>
        <v>2014</v>
      </c>
    </row>
    <row r="217" spans="1:14" x14ac:dyDescent="0.2">
      <c r="A217" s="1526" t="s">
        <v>166</v>
      </c>
      <c r="B217" s="615">
        <v>1200</v>
      </c>
      <c r="C217" s="617"/>
      <c r="D217" s="466">
        <v>7408</v>
      </c>
      <c r="E217" s="617"/>
      <c r="F217" s="617"/>
      <c r="G217" s="617"/>
      <c r="H217" s="617"/>
      <c r="I217" s="617"/>
      <c r="J217" s="617"/>
      <c r="K217" s="1693">
        <f t="shared" si="19"/>
        <v>7408</v>
      </c>
      <c r="L217" s="466">
        <f>SUMIF(Data!$A:$A,"50-"&amp;LEFT($B217,3)&amp;"*-*",Data!$T:$T)</f>
        <v>5900</v>
      </c>
    </row>
    <row r="218" spans="1:14" x14ac:dyDescent="0.2">
      <c r="A218" s="1526" t="s">
        <v>296</v>
      </c>
      <c r="B218" s="615" t="s">
        <v>1025</v>
      </c>
      <c r="C218" s="617"/>
      <c r="D218" s="466">
        <f>ROUND(SUMIF(Data!$A:$A,"50-"&amp;$B218&amp;"-2*",Data!$P:$P),0)</f>
        <v>0</v>
      </c>
      <c r="E218" s="617"/>
      <c r="F218" s="617"/>
      <c r="G218" s="617"/>
      <c r="H218" s="617"/>
      <c r="I218" s="617"/>
      <c r="J218" s="617"/>
      <c r="K218" s="1693">
        <f t="shared" si="19"/>
        <v>0</v>
      </c>
      <c r="L218" s="466">
        <f>SUMIF(Data!$A:$A,"50-"&amp;LEFT($B218,3)&amp;"*-*",Data!$T:$T)</f>
        <v>0</v>
      </c>
    </row>
    <row r="219" spans="1:14" x14ac:dyDescent="0.2">
      <c r="A219" s="1526" t="s">
        <v>297</v>
      </c>
      <c r="B219" s="615">
        <v>1250</v>
      </c>
      <c r="C219" s="617"/>
      <c r="D219" s="466">
        <f>ROUND(SUMIF(Data!$A:$A,"50-"&amp;$B219&amp;"-2*",Data!$P:$P),0)</f>
        <v>4568</v>
      </c>
      <c r="E219" s="617"/>
      <c r="F219" s="617"/>
      <c r="G219" s="617"/>
      <c r="H219" s="617"/>
      <c r="I219" s="617"/>
      <c r="J219" s="617"/>
      <c r="K219" s="1693">
        <f t="shared" si="19"/>
        <v>4568</v>
      </c>
      <c r="L219" s="466">
        <f>SUMIF(Data!$A:$A,"50-"&amp;LEFT($B219,3)&amp;"*-*",Data!$T:$T)</f>
        <v>2100</v>
      </c>
    </row>
    <row r="220" spans="1:14" x14ac:dyDescent="0.2">
      <c r="A220" s="1526" t="s">
        <v>298</v>
      </c>
      <c r="B220" s="615" t="s">
        <v>163</v>
      </c>
      <c r="C220" s="617"/>
      <c r="D220" s="466">
        <f>ROUND(SUMIF(Data!$A:$A,"50-"&amp;$B220&amp;"-2*",Data!$P:$P),0)</f>
        <v>0</v>
      </c>
      <c r="E220" s="617"/>
      <c r="F220" s="617"/>
      <c r="G220" s="617"/>
      <c r="H220" s="617"/>
      <c r="I220" s="617"/>
      <c r="J220" s="617"/>
      <c r="K220" s="1693">
        <f t="shared" si="19"/>
        <v>0</v>
      </c>
      <c r="L220" s="466">
        <f>SUMIF(Data!$A:$A,"50-"&amp;LEFT($B220,3)&amp;"*-*",Data!$T:$T)</f>
        <v>0</v>
      </c>
    </row>
    <row r="221" spans="1:14" x14ac:dyDescent="0.2">
      <c r="A221" s="1526" t="s">
        <v>1019</v>
      </c>
      <c r="B221" s="615">
        <v>1300</v>
      </c>
      <c r="C221" s="617"/>
      <c r="D221" s="466">
        <f>ROUND(SUMIF(Data!$A:$A,"50-"&amp;$B221&amp;"-2*",Data!$P:$P),0)</f>
        <v>0</v>
      </c>
      <c r="E221" s="617"/>
      <c r="F221" s="617"/>
      <c r="G221" s="617"/>
      <c r="H221" s="617"/>
      <c r="I221" s="617"/>
      <c r="J221" s="617"/>
      <c r="K221" s="1693">
        <f t="shared" si="19"/>
        <v>0</v>
      </c>
      <c r="L221" s="466">
        <f>SUMIF(Data!$A:$A,"50-"&amp;LEFT($B221,3)&amp;"*-*",Data!$T:$T)</f>
        <v>0</v>
      </c>
    </row>
    <row r="222" spans="1:14" x14ac:dyDescent="0.2">
      <c r="A222" s="1526" t="s">
        <v>747</v>
      </c>
      <c r="B222" s="615">
        <v>1400</v>
      </c>
      <c r="C222" s="617"/>
      <c r="D222" s="466">
        <f>ROUND(SUMIF(Data!$A:$A,"50-"&amp;$B222&amp;"-2*",Data!$P:$P),0)</f>
        <v>0</v>
      </c>
      <c r="E222" s="617"/>
      <c r="F222" s="617"/>
      <c r="G222" s="617"/>
      <c r="H222" s="617"/>
      <c r="I222" s="617"/>
      <c r="J222" s="617"/>
      <c r="K222" s="1693">
        <f t="shared" si="19"/>
        <v>0</v>
      </c>
      <c r="L222" s="466">
        <f>SUMIF(Data!$A:$A,"50-"&amp;LEFT($B222,3)&amp;"*-*",Data!$T:$T)</f>
        <v>0</v>
      </c>
    </row>
    <row r="223" spans="1:14" x14ac:dyDescent="0.2">
      <c r="A223" s="1526" t="s">
        <v>1020</v>
      </c>
      <c r="B223" s="615">
        <v>1500</v>
      </c>
      <c r="C223" s="617"/>
      <c r="D223" s="466">
        <f>ROUND(SUMIF(Data!$A:$A,"50-"&amp;$B223&amp;"-2*",Data!$P:$P),0)</f>
        <v>621</v>
      </c>
      <c r="E223" s="617"/>
      <c r="F223" s="617"/>
      <c r="G223" s="617"/>
      <c r="H223" s="617"/>
      <c r="I223" s="617"/>
      <c r="J223" s="617"/>
      <c r="K223" s="1693">
        <f t="shared" si="19"/>
        <v>621</v>
      </c>
      <c r="L223" s="466">
        <f>SUMIF(Data!$A:$A,"50-"&amp;LEFT($B223,3)&amp;"*-*",Data!$T:$T)</f>
        <v>450</v>
      </c>
    </row>
    <row r="224" spans="1:14" x14ac:dyDescent="0.2">
      <c r="A224" s="1526" t="s">
        <v>1021</v>
      </c>
      <c r="B224" s="615">
        <v>1600</v>
      </c>
      <c r="C224" s="617"/>
      <c r="D224" s="466">
        <f>ROUND(SUMIF(Data!$A:$A,"50-"&amp;$B224&amp;"-2*",Data!$P:$P),0)</f>
        <v>0</v>
      </c>
      <c r="E224" s="617"/>
      <c r="F224" s="617"/>
      <c r="G224" s="617"/>
      <c r="H224" s="617"/>
      <c r="I224" s="617"/>
      <c r="J224" s="617"/>
      <c r="K224" s="1693">
        <f t="shared" si="19"/>
        <v>0</v>
      </c>
      <c r="L224" s="466">
        <f>SUMIF(Data!$A:$A,"50-"&amp;LEFT($B224,3)&amp;"*-*",Data!$T:$T)</f>
        <v>0</v>
      </c>
    </row>
    <row r="225" spans="1:12" x14ac:dyDescent="0.2">
      <c r="A225" s="1526" t="s">
        <v>1044</v>
      </c>
      <c r="B225" s="615">
        <v>1650</v>
      </c>
      <c r="C225" s="617"/>
      <c r="D225" s="466">
        <f>ROUND(SUMIF(Data!$A:$A,"50-"&amp;$B225&amp;"-2*",Data!$P:$P),0)</f>
        <v>0</v>
      </c>
      <c r="E225" s="617"/>
      <c r="F225" s="617"/>
      <c r="G225" s="617"/>
      <c r="H225" s="617"/>
      <c r="I225" s="617"/>
      <c r="J225" s="617"/>
      <c r="K225" s="1693">
        <f t="shared" si="19"/>
        <v>0</v>
      </c>
      <c r="L225" s="466">
        <f>SUMIF(Data!$A:$A,"50-"&amp;LEFT($B225,3)&amp;"*-*",Data!$T:$T)</f>
        <v>0</v>
      </c>
    </row>
    <row r="226" spans="1:12" x14ac:dyDescent="0.2">
      <c r="A226" s="1526" t="s">
        <v>748</v>
      </c>
      <c r="B226" s="615" t="s">
        <v>164</v>
      </c>
      <c r="C226" s="617"/>
      <c r="D226" s="466">
        <f>ROUND(SUMIF(Data!$A:$A,"50-"&amp;$B226&amp;"-2*",Data!$P:$P),0)</f>
        <v>0</v>
      </c>
      <c r="E226" s="617"/>
      <c r="F226" s="617"/>
      <c r="G226" s="617"/>
      <c r="H226" s="617"/>
      <c r="I226" s="617"/>
      <c r="J226" s="617"/>
      <c r="K226" s="1693">
        <f t="shared" si="19"/>
        <v>0</v>
      </c>
      <c r="L226" s="466">
        <f>SUMIF(Data!$A:$A,"50-"&amp;LEFT($B226,3)&amp;"*-*",Data!$T:$T)</f>
        <v>0</v>
      </c>
    </row>
    <row r="227" spans="1:12" x14ac:dyDescent="0.2">
      <c r="A227" s="1526" t="s">
        <v>1148</v>
      </c>
      <c r="B227" s="615">
        <v>1800</v>
      </c>
      <c r="C227" s="617"/>
      <c r="D227" s="466">
        <f>ROUND(SUMIF(Data!$A:$A,"50-"&amp;$B227&amp;"-2*",Data!$P:$P),0)</f>
        <v>0</v>
      </c>
      <c r="E227" s="617"/>
      <c r="F227" s="617"/>
      <c r="G227" s="617"/>
      <c r="H227" s="617"/>
      <c r="I227" s="617"/>
      <c r="J227" s="617"/>
      <c r="K227" s="1693">
        <f t="shared" si="19"/>
        <v>0</v>
      </c>
      <c r="L227" s="466">
        <f>SUMIF(Data!$A:$A,"50-"&amp;LEFT($B227,3)&amp;"*-*",Data!$T:$T)</f>
        <v>0</v>
      </c>
    </row>
    <row r="228" spans="1:12" x14ac:dyDescent="0.2">
      <c r="A228" s="1526" t="s">
        <v>1149</v>
      </c>
      <c r="B228" s="615">
        <v>1900</v>
      </c>
      <c r="C228" s="617"/>
      <c r="D228" s="466">
        <f>ROUND(SUMIF(Data!$A:$A,"50-"&amp;$B228&amp;"-2*",Data!$P:$P),0)</f>
        <v>0</v>
      </c>
      <c r="E228" s="617"/>
      <c r="F228" s="617"/>
      <c r="G228" s="617"/>
      <c r="H228" s="617"/>
      <c r="I228" s="617"/>
      <c r="J228" s="617"/>
      <c r="K228" s="1693">
        <f t="shared" si="19"/>
        <v>0</v>
      </c>
      <c r="L228" s="466">
        <f>SUMIF(Data!$A:$A,"50-"&amp;LEFT($B228,3)&amp;"*-*",Data!$T:$T)</f>
        <v>0</v>
      </c>
    </row>
    <row r="229" spans="1:12" ht="12.75" customHeight="1" thickBot="1" x14ac:dyDescent="0.25">
      <c r="A229" s="1690" t="s">
        <v>739</v>
      </c>
      <c r="B229" s="1697" t="s">
        <v>591</v>
      </c>
      <c r="C229" s="617"/>
      <c r="D229" s="1692">
        <f>SUM(D215:D228)</f>
        <v>22540</v>
      </c>
      <c r="E229" s="617"/>
      <c r="F229" s="617"/>
      <c r="G229" s="617"/>
      <c r="H229" s="617"/>
      <c r="I229" s="617"/>
      <c r="J229" s="617"/>
      <c r="K229" s="1692">
        <f>SUM(K215:K228)</f>
        <v>22540</v>
      </c>
      <c r="L229" s="1692">
        <f>SUM(L215:L228)</f>
        <v>20588</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f>ROUND(SUMIF(Data!$A:$A,"50-"&amp;$B232&amp;"-2*",Data!$P:$P),0)</f>
        <v>0</v>
      </c>
      <c r="E232" s="617"/>
      <c r="F232" s="617"/>
      <c r="G232" s="617"/>
      <c r="H232" s="617"/>
      <c r="I232" s="617"/>
      <c r="J232" s="617"/>
      <c r="K232" s="1693">
        <f t="shared" ref="K232:K237" si="20">D232</f>
        <v>0</v>
      </c>
      <c r="L232" s="466">
        <f>SUMIF(Data!$A:$A,"50-"&amp;LEFT($B232,3)&amp;"*-*",Data!$T:$T)</f>
        <v>0</v>
      </c>
    </row>
    <row r="233" spans="1:12" x14ac:dyDescent="0.2">
      <c r="A233" s="1526" t="s">
        <v>1151</v>
      </c>
      <c r="B233" s="615">
        <v>2120</v>
      </c>
      <c r="C233" s="617"/>
      <c r="D233" s="466">
        <f>ROUND(SUMIF(Data!$A:$A,"50-"&amp;$B233&amp;"-2*",Data!$P:$P),0)</f>
        <v>0</v>
      </c>
      <c r="E233" s="617"/>
      <c r="F233" s="617"/>
      <c r="G233" s="617"/>
      <c r="H233" s="617"/>
      <c r="I233" s="617"/>
      <c r="J233" s="617"/>
      <c r="K233" s="1693">
        <f t="shared" si="20"/>
        <v>0</v>
      </c>
      <c r="L233" s="466">
        <f>SUMIF(Data!$A:$A,"50-"&amp;LEFT($B233,3)&amp;"*-*",Data!$T:$T)</f>
        <v>0</v>
      </c>
    </row>
    <row r="234" spans="1:12" x14ac:dyDescent="0.2">
      <c r="A234" s="1526" t="s">
        <v>207</v>
      </c>
      <c r="B234" s="615">
        <v>2130</v>
      </c>
      <c r="C234" s="617"/>
      <c r="D234" s="466">
        <f>ROUND(SUMIF(Data!$A:$A,"50-"&amp;$B234&amp;"-2*",Data!$P:$P),0)</f>
        <v>0</v>
      </c>
      <c r="E234" s="617"/>
      <c r="F234" s="617"/>
      <c r="G234" s="617"/>
      <c r="H234" s="617"/>
      <c r="I234" s="617"/>
      <c r="J234" s="617"/>
      <c r="K234" s="1693">
        <f t="shared" si="20"/>
        <v>0</v>
      </c>
      <c r="L234" s="466">
        <f>SUMIF(Data!$A:$A,"50-"&amp;LEFT($B234,3)&amp;"*-*",Data!$T:$T)</f>
        <v>0</v>
      </c>
    </row>
    <row r="235" spans="1:12" x14ac:dyDescent="0.2">
      <c r="A235" s="1526" t="s">
        <v>208</v>
      </c>
      <c r="B235" s="615">
        <v>2140</v>
      </c>
      <c r="C235" s="617"/>
      <c r="D235" s="466">
        <f>ROUND(SUMIF(Data!$A:$A,"50-"&amp;$B235&amp;"-2*",Data!$P:$P),0)</f>
        <v>0</v>
      </c>
      <c r="E235" s="617"/>
      <c r="F235" s="617"/>
      <c r="G235" s="617"/>
      <c r="H235" s="617"/>
      <c r="I235" s="617"/>
      <c r="J235" s="617"/>
      <c r="K235" s="1693">
        <f t="shared" si="20"/>
        <v>0</v>
      </c>
      <c r="L235" s="466">
        <f>SUMIF(Data!$A:$A,"50-"&amp;LEFT($B235,3)&amp;"*-*",Data!$T:$T)</f>
        <v>0</v>
      </c>
    </row>
    <row r="236" spans="1:12" x14ac:dyDescent="0.2">
      <c r="A236" s="1526" t="s">
        <v>209</v>
      </c>
      <c r="B236" s="615">
        <v>2150</v>
      </c>
      <c r="C236" s="617"/>
      <c r="D236" s="466">
        <f>ROUND(SUMIF(Data!$A:$A,"50-"&amp;$B236&amp;"-2*",Data!$P:$P),0)</f>
        <v>0</v>
      </c>
      <c r="E236" s="617"/>
      <c r="F236" s="617"/>
      <c r="G236" s="617"/>
      <c r="H236" s="617"/>
      <c r="I236" s="617"/>
      <c r="J236" s="617"/>
      <c r="K236" s="1693">
        <f t="shared" si="20"/>
        <v>0</v>
      </c>
      <c r="L236" s="466">
        <f>SUMIF(Data!$A:$A,"50-"&amp;LEFT($B236,3)&amp;"*-*",Data!$T:$T)</f>
        <v>0</v>
      </c>
    </row>
    <row r="237" spans="1:12" x14ac:dyDescent="0.2">
      <c r="A237" s="1526" t="s">
        <v>167</v>
      </c>
      <c r="B237" s="615">
        <v>2190</v>
      </c>
      <c r="C237" s="617"/>
      <c r="D237" s="466">
        <f>ROUND(SUMIF(Data!$A:$A,"50-"&amp;$B237&amp;"-2*",Data!$P:$P),0)</f>
        <v>0</v>
      </c>
      <c r="E237" s="617"/>
      <c r="F237" s="617"/>
      <c r="G237" s="617"/>
      <c r="H237" s="617"/>
      <c r="I237" s="617"/>
      <c r="J237" s="617"/>
      <c r="K237" s="1693">
        <f t="shared" si="20"/>
        <v>0</v>
      </c>
      <c r="L237" s="466">
        <f>SUMIF(Data!$A:$A,"50-"&amp;LEFT($B237,3)&amp;"*-*",Data!$T:$T)</f>
        <v>0</v>
      </c>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66">
        <f>ROUND(SUMIF(Data!$A:$A,"50-"&amp;$B240&amp;"-2*",Data!$P:$P),0)</f>
        <v>0</v>
      </c>
      <c r="E240" s="617"/>
      <c r="F240" s="617"/>
      <c r="G240" s="617"/>
      <c r="H240" s="617"/>
      <c r="I240" s="617"/>
      <c r="J240" s="617"/>
      <c r="K240" s="1694">
        <f>D240</f>
        <v>0</v>
      </c>
      <c r="L240" s="466">
        <f>SUMIF(Data!$A:$A,"50-"&amp;LEFT($B240,3)&amp;"*-*",Data!$T:$T)</f>
        <v>0</v>
      </c>
    </row>
    <row r="241" spans="1:12" x14ac:dyDescent="0.2">
      <c r="A241" s="1526" t="s">
        <v>869</v>
      </c>
      <c r="B241" s="615">
        <v>2220</v>
      </c>
      <c r="C241" s="617"/>
      <c r="D241" s="466">
        <f>ROUND(SUMIF(Data!$A:$A,"50-"&amp;$B241&amp;"-2*",Data!$P:$P),0)</f>
        <v>0</v>
      </c>
      <c r="E241" s="617"/>
      <c r="F241" s="617"/>
      <c r="G241" s="617"/>
      <c r="H241" s="617"/>
      <c r="I241" s="617"/>
      <c r="J241" s="617"/>
      <c r="K241" s="1694">
        <f>D241</f>
        <v>0</v>
      </c>
      <c r="L241" s="466">
        <f>SUMIF(Data!$A:$A,"50-"&amp;LEFT($B241,3)&amp;"*-*",Data!$T:$T)</f>
        <v>0</v>
      </c>
    </row>
    <row r="242" spans="1:12" x14ac:dyDescent="0.2">
      <c r="A242" s="1526" t="s">
        <v>870</v>
      </c>
      <c r="B242" s="615">
        <v>2230</v>
      </c>
      <c r="C242" s="617"/>
      <c r="D242" s="466">
        <f>ROUND(SUMIF(Data!$A:$A,"50-"&amp;$B242&amp;"-2*",Data!$P:$P),0)</f>
        <v>0</v>
      </c>
      <c r="E242" s="617"/>
      <c r="F242" s="617"/>
      <c r="G242" s="617"/>
      <c r="H242" s="617"/>
      <c r="I242" s="617"/>
      <c r="J242" s="617"/>
      <c r="K242" s="1694">
        <f>D242</f>
        <v>0</v>
      </c>
      <c r="L242" s="466">
        <f>SUMIF(Data!$A:$A,"50-"&amp;LEFT($B242,3)&amp;"*-*",Data!$T:$T)</f>
        <v>0</v>
      </c>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66">
        <v>188</v>
      </c>
      <c r="E245" s="617"/>
      <c r="F245" s="617"/>
      <c r="G245" s="617"/>
      <c r="H245" s="617"/>
      <c r="I245" s="617"/>
      <c r="J245" s="617"/>
      <c r="K245" s="1694">
        <f>D245</f>
        <v>188</v>
      </c>
      <c r="L245" s="466">
        <f>SUMIF(Data!$A:$A,"50-"&amp;LEFT($B245,3)&amp;"*-*",Data!$T:$T)</f>
        <v>240</v>
      </c>
    </row>
    <row r="246" spans="1:12" x14ac:dyDescent="0.2">
      <c r="A246" s="1526" t="s">
        <v>872</v>
      </c>
      <c r="B246" s="615">
        <v>2320</v>
      </c>
      <c r="C246" s="617"/>
      <c r="D246" s="466">
        <f>ROUND(SUMIF(Data!$A:$A,"50-"&amp;$B246&amp;"-2*",Data!$P:$P),0)</f>
        <v>3651</v>
      </c>
      <c r="E246" s="617"/>
      <c r="F246" s="617"/>
      <c r="G246" s="617"/>
      <c r="H246" s="617"/>
      <c r="I246" s="617"/>
      <c r="J246" s="617"/>
      <c r="K246" s="1694">
        <f t="shared" ref="K246:K256" si="21">D246</f>
        <v>3651</v>
      </c>
      <c r="L246" s="466">
        <f>SUMIF(Data!$A:$A,"50-"&amp;LEFT($B246,3)&amp;"*-*",Data!$T:$T)</f>
        <v>3350</v>
      </c>
    </row>
    <row r="247" spans="1:12" x14ac:dyDescent="0.2">
      <c r="A247" s="1526" t="s">
        <v>873</v>
      </c>
      <c r="B247" s="615">
        <v>2330</v>
      </c>
      <c r="C247" s="617"/>
      <c r="D247" s="466">
        <f>ROUND(SUMIF(Data!$A:$A,"50-"&amp;$B247&amp;"-2*",Data!$P:$P),0)</f>
        <v>0</v>
      </c>
      <c r="E247" s="617"/>
      <c r="F247" s="617"/>
      <c r="G247" s="617"/>
      <c r="H247" s="617"/>
      <c r="I247" s="617"/>
      <c r="J247" s="617"/>
      <c r="K247" s="1694">
        <f t="shared" si="21"/>
        <v>0</v>
      </c>
      <c r="L247" s="466">
        <f>SUMIF(Data!$A:$A,"50-"&amp;LEFT($B247,3)&amp;"*-*",Data!$T:$T)</f>
        <v>0</v>
      </c>
    </row>
    <row r="248" spans="1:12" x14ac:dyDescent="0.2">
      <c r="A248" s="1527" t="s">
        <v>317</v>
      </c>
      <c r="B248" s="603" t="s">
        <v>299</v>
      </c>
      <c r="C248" s="617"/>
      <c r="D248" s="466">
        <f>ROUND(SUMIF(Data!$A:$A,"50-"&amp;$B248&amp;"-2*",Data!$P:$P),0)</f>
        <v>0</v>
      </c>
      <c r="E248" s="617"/>
      <c r="F248" s="617"/>
      <c r="G248" s="617"/>
      <c r="H248" s="617"/>
      <c r="I248" s="617"/>
      <c r="J248" s="617"/>
      <c r="K248" s="1694">
        <f t="shared" si="21"/>
        <v>0</v>
      </c>
      <c r="L248" s="466"/>
    </row>
    <row r="249" spans="1:12" x14ac:dyDescent="0.2">
      <c r="A249" s="1528" t="s">
        <v>1908</v>
      </c>
      <c r="B249" s="684" t="s">
        <v>300</v>
      </c>
      <c r="C249" s="617"/>
      <c r="D249" s="466">
        <f>ROUND(SUMIF(Data!$A:$A,"50-"&amp;$B249&amp;"-2*",Data!$P:$P),0)</f>
        <v>0</v>
      </c>
      <c r="E249" s="617"/>
      <c r="F249" s="617"/>
      <c r="G249" s="617"/>
      <c r="H249" s="617"/>
      <c r="I249" s="617"/>
      <c r="J249" s="617"/>
      <c r="K249" s="1694">
        <f t="shared" si="21"/>
        <v>0</v>
      </c>
      <c r="L249" s="466"/>
    </row>
    <row r="250" spans="1:12" x14ac:dyDescent="0.2">
      <c r="A250" s="1527" t="s">
        <v>1909</v>
      </c>
      <c r="B250" s="603" t="s">
        <v>301</v>
      </c>
      <c r="C250" s="617"/>
      <c r="D250" s="466">
        <f>ROUND(SUMIF(Data!$A:$A,"50-"&amp;$B250&amp;"-2*",Data!$P:$P),0)</f>
        <v>0</v>
      </c>
      <c r="E250" s="617"/>
      <c r="F250" s="617"/>
      <c r="G250" s="617"/>
      <c r="H250" s="617"/>
      <c r="I250" s="617"/>
      <c r="J250" s="617"/>
      <c r="K250" s="1694">
        <f t="shared" si="21"/>
        <v>0</v>
      </c>
      <c r="L250" s="466"/>
    </row>
    <row r="251" spans="1:12" x14ac:dyDescent="0.2">
      <c r="A251" s="1527" t="s">
        <v>256</v>
      </c>
      <c r="B251" s="603" t="s">
        <v>302</v>
      </c>
      <c r="C251" s="617"/>
      <c r="D251" s="466">
        <f>ROUND(SUMIF(Data!$A:$A,"50-"&amp;$B251&amp;"-2*",Data!$P:$P),0)</f>
        <v>0</v>
      </c>
      <c r="E251" s="617"/>
      <c r="F251" s="617"/>
      <c r="G251" s="617"/>
      <c r="H251" s="617"/>
      <c r="I251" s="617"/>
      <c r="J251" s="617"/>
      <c r="K251" s="1694">
        <f t="shared" si="21"/>
        <v>0</v>
      </c>
      <c r="L251" s="466"/>
    </row>
    <row r="252" spans="1:12" x14ac:dyDescent="0.2">
      <c r="A252" s="1527" t="s">
        <v>726</v>
      </c>
      <c r="B252" s="603" t="s">
        <v>303</v>
      </c>
      <c r="C252" s="617"/>
      <c r="D252" s="466">
        <f>ROUND(SUMIF(Data!$A:$A,"50-"&amp;$B252&amp;"-2*",Data!$P:$P),0)</f>
        <v>1268</v>
      </c>
      <c r="E252" s="617"/>
      <c r="F252" s="617"/>
      <c r="G252" s="617"/>
      <c r="H252" s="617"/>
      <c r="I252" s="617"/>
      <c r="J252" s="617"/>
      <c r="K252" s="1694">
        <f t="shared" si="21"/>
        <v>1268</v>
      </c>
      <c r="L252" s="466">
        <f>SUMIF(Data!$A:$A,"50-"&amp;LEFT($B252,3)&amp;"*-*",Data!$T:$T)</f>
        <v>1425</v>
      </c>
    </row>
    <row r="253" spans="1:12" x14ac:dyDescent="0.2">
      <c r="A253" s="1527" t="s">
        <v>257</v>
      </c>
      <c r="B253" s="603" t="s">
        <v>304</v>
      </c>
      <c r="C253" s="617"/>
      <c r="D253" s="466">
        <f>ROUND(SUMIF(Data!$A:$A,"50-"&amp;$B253&amp;"-2*",Data!$P:$P),0)</f>
        <v>0</v>
      </c>
      <c r="E253" s="617"/>
      <c r="F253" s="617"/>
      <c r="G253" s="617"/>
      <c r="H253" s="617"/>
      <c r="I253" s="617"/>
      <c r="J253" s="617"/>
      <c r="K253" s="1694">
        <f t="shared" si="21"/>
        <v>0</v>
      </c>
      <c r="L253" s="466"/>
    </row>
    <row r="254" spans="1:12" ht="22.5" x14ac:dyDescent="0.2">
      <c r="A254" s="1527" t="s">
        <v>1087</v>
      </c>
      <c r="B254" s="684" t="s">
        <v>305</v>
      </c>
      <c r="C254" s="617"/>
      <c r="D254" s="466">
        <f>ROUND(SUMIF(Data!$A:$A,"50-"&amp;$B254&amp;"-2*",Data!$P:$P),0)</f>
        <v>0</v>
      </c>
      <c r="E254" s="617"/>
      <c r="F254" s="617"/>
      <c r="G254" s="617"/>
      <c r="H254" s="617"/>
      <c r="I254" s="617"/>
      <c r="J254" s="617"/>
      <c r="K254" s="1694">
        <f t="shared" si="21"/>
        <v>0</v>
      </c>
      <c r="L254" s="466"/>
    </row>
    <row r="255" spans="1:12" x14ac:dyDescent="0.2">
      <c r="A255" s="1527" t="s">
        <v>1088</v>
      </c>
      <c r="B255" s="603" t="s">
        <v>306</v>
      </c>
      <c r="C255" s="617"/>
      <c r="D255" s="466">
        <f>ROUND(SUMIF(Data!$A:$A,"50-"&amp;$B255&amp;"-2*",Data!$P:$P),0)</f>
        <v>0</v>
      </c>
      <c r="E255" s="617"/>
      <c r="F255" s="617"/>
      <c r="G255" s="617"/>
      <c r="H255" s="617"/>
      <c r="I255" s="617"/>
      <c r="J255" s="617"/>
      <c r="K255" s="1694">
        <f t="shared" si="21"/>
        <v>0</v>
      </c>
      <c r="L255" s="466"/>
    </row>
    <row r="256" spans="1:12" x14ac:dyDescent="0.2">
      <c r="A256" s="1527" t="s">
        <v>1028</v>
      </c>
      <c r="B256" s="615" t="s">
        <v>307</v>
      </c>
      <c r="C256" s="617"/>
      <c r="D256" s="466">
        <f>ROUND(SUMIF(Data!$A:$A,"50-"&amp;$B256&amp;"-2*",Data!$P:$P),0)</f>
        <v>0</v>
      </c>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5107</v>
      </c>
      <c r="E257" s="617"/>
      <c r="F257" s="617"/>
      <c r="G257" s="617"/>
      <c r="H257" s="617"/>
      <c r="I257" s="617"/>
      <c r="J257" s="617"/>
      <c r="K257" s="1692">
        <f>SUM(K245:K256)</f>
        <v>5107</v>
      </c>
      <c r="L257" s="1692">
        <f>SUM(L245:L256)</f>
        <v>5015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66">
        <v>448</v>
      </c>
      <c r="E259" s="617"/>
      <c r="F259" s="617"/>
      <c r="G259" s="617"/>
      <c r="H259" s="617"/>
      <c r="I259" s="617"/>
      <c r="J259" s="617"/>
      <c r="K259" s="1694">
        <f>D259</f>
        <v>448</v>
      </c>
      <c r="L259" s="466">
        <f>SUMIF(Data!$A:$A,"50-"&amp;LEFT($B259,3)&amp;"*-*",Data!$T:$T)</f>
        <v>250</v>
      </c>
    </row>
    <row r="260" spans="1:14" s="598" customFormat="1" x14ac:dyDescent="0.2">
      <c r="A260" s="1544" t="s">
        <v>1907</v>
      </c>
      <c r="B260" s="629">
        <v>2490</v>
      </c>
      <c r="C260" s="617"/>
      <c r="D260" s="466">
        <f>SUMIF(Data!$A:$A,"50-"&amp;$B260&amp;"-2*",Data!$P:$P)</f>
        <v>0</v>
      </c>
      <c r="E260" s="617"/>
      <c r="F260" s="617"/>
      <c r="G260" s="617"/>
      <c r="H260" s="617"/>
      <c r="I260" s="617"/>
      <c r="J260" s="617"/>
      <c r="K260" s="1694">
        <f>D260</f>
        <v>0</v>
      </c>
      <c r="L260" s="466">
        <f>SUMIF(Data!$A:$A,"50-"&amp;LEFT($B260,3)&amp;"*-*",Data!$T:$T)</f>
        <v>0</v>
      </c>
      <c r="M260" s="210"/>
      <c r="N260" s="210"/>
    </row>
    <row r="261" spans="1:14" ht="12.75" customHeight="1" thickBot="1" x14ac:dyDescent="0.25">
      <c r="A261" s="1714" t="s">
        <v>281</v>
      </c>
      <c r="B261" s="1719" t="s">
        <v>34</v>
      </c>
      <c r="C261" s="617"/>
      <c r="D261" s="1692">
        <f>SUM(D259:D260)</f>
        <v>448</v>
      </c>
      <c r="E261" s="617"/>
      <c r="F261" s="617"/>
      <c r="G261" s="617"/>
      <c r="H261" s="617"/>
      <c r="I261" s="617"/>
      <c r="J261" s="617"/>
      <c r="K261" s="1692">
        <f>SUM(K259:K260)</f>
        <v>448</v>
      </c>
      <c r="L261" s="1692">
        <f>SUM(L259:L260)</f>
        <v>250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f>ROUND(SUMIF(Data!$A:$A,"50-"&amp;$B263&amp;"-2*",Data!$P:$P),0)</f>
        <v>0</v>
      </c>
      <c r="E263" s="617"/>
      <c r="F263" s="617"/>
      <c r="G263" s="617"/>
      <c r="H263" s="617"/>
      <c r="I263" s="617"/>
      <c r="J263" s="617"/>
      <c r="K263" s="1694">
        <f>D263</f>
        <v>0</v>
      </c>
      <c r="L263" s="466">
        <f>SUMIF(Data!$A:$A,"50-"&amp;LEFT($B263,3)&amp;"*-*",Data!$T:$T)</f>
        <v>0</v>
      </c>
    </row>
    <row r="264" spans="1:14" x14ac:dyDescent="0.2">
      <c r="A264" s="1526" t="s">
        <v>483</v>
      </c>
      <c r="B264" s="686">
        <v>2520</v>
      </c>
      <c r="C264" s="617"/>
      <c r="D264" s="466">
        <f>ROUND(SUMIF(Data!$A:$A,"50-"&amp;$B264&amp;"-2*",Data!$P:$P),0)</f>
        <v>3640</v>
      </c>
      <c r="E264" s="617"/>
      <c r="F264" s="617"/>
      <c r="G264" s="617"/>
      <c r="H264" s="617"/>
      <c r="I264" s="617"/>
      <c r="J264" s="617"/>
      <c r="K264" s="1694">
        <f t="shared" ref="K264:K269" si="22">D264</f>
        <v>3640</v>
      </c>
      <c r="L264" s="466">
        <f>SUMIF(Data!$A:$A,"50-"&amp;LEFT($B264,3)&amp;"*-*",Data!$T:$T)</f>
        <v>3710</v>
      </c>
    </row>
    <row r="265" spans="1:14" x14ac:dyDescent="0.2">
      <c r="A265" s="1526" t="s">
        <v>4</v>
      </c>
      <c r="B265" s="615">
        <v>2530</v>
      </c>
      <c r="C265" s="617"/>
      <c r="D265" s="466">
        <f>ROUND(SUMIF(Data!$A:$A,"50-"&amp;$B265&amp;"-2*",Data!$P:$P),0)</f>
        <v>0</v>
      </c>
      <c r="E265" s="617"/>
      <c r="F265" s="617"/>
      <c r="G265" s="617"/>
      <c r="H265" s="617"/>
      <c r="I265" s="617"/>
      <c r="J265" s="617"/>
      <c r="K265" s="1694">
        <f t="shared" si="22"/>
        <v>0</v>
      </c>
      <c r="L265" s="466">
        <f>SUMIF(Data!$A:$A,"50-"&amp;LEFT($B265,3)&amp;"*-*",Data!$T:$T)</f>
        <v>0</v>
      </c>
    </row>
    <row r="266" spans="1:14" x14ac:dyDescent="0.2">
      <c r="A266" s="1526" t="s">
        <v>206</v>
      </c>
      <c r="B266" s="615">
        <v>2540</v>
      </c>
      <c r="C266" s="617"/>
      <c r="D266" s="466">
        <f>ROUND(SUMIF(Data!$A:$A,"50-"&amp;$B266&amp;"-2*",Data!$P:$P),0)</f>
        <v>10088</v>
      </c>
      <c r="E266" s="617"/>
      <c r="F266" s="617"/>
      <c r="G266" s="617"/>
      <c r="H266" s="617"/>
      <c r="I266" s="617"/>
      <c r="J266" s="617"/>
      <c r="K266" s="1694">
        <f t="shared" si="22"/>
        <v>10088</v>
      </c>
      <c r="L266" s="466">
        <f>SUMIF(Data!$A:$A,"50-"&amp;LEFT($B266,3)&amp;"*-*",Data!$T:$T)</f>
        <v>9300</v>
      </c>
    </row>
    <row r="267" spans="1:14" x14ac:dyDescent="0.2">
      <c r="A267" s="1526" t="s">
        <v>1010</v>
      </c>
      <c r="B267" s="615">
        <v>2550</v>
      </c>
      <c r="C267" s="617"/>
      <c r="D267" s="466">
        <f>ROUND(SUMIF(Data!$A:$A,"50-"&amp;$B267&amp;"-2*",Data!$P:$P),0)</f>
        <v>3465</v>
      </c>
      <c r="E267" s="617"/>
      <c r="F267" s="617"/>
      <c r="G267" s="617"/>
      <c r="H267" s="617"/>
      <c r="I267" s="617"/>
      <c r="J267" s="617"/>
      <c r="K267" s="1694">
        <f t="shared" si="22"/>
        <v>3465</v>
      </c>
      <c r="L267" s="466">
        <f>SUMIF(Data!$A:$A,"50-"&amp;LEFT($B267,3)&amp;"*-*",Data!$T:$T)</f>
        <v>3700</v>
      </c>
    </row>
    <row r="268" spans="1:14" x14ac:dyDescent="0.2">
      <c r="A268" s="1526" t="s">
        <v>102</v>
      </c>
      <c r="B268" s="615">
        <v>2560</v>
      </c>
      <c r="C268" s="617"/>
      <c r="D268" s="466">
        <f>ROUND(SUMIF(Data!$A:$A,"50-"&amp;$B268&amp;"-2*",Data!$P:$P),0)</f>
        <v>4972</v>
      </c>
      <c r="E268" s="617"/>
      <c r="F268" s="617"/>
      <c r="G268" s="617"/>
      <c r="H268" s="617"/>
      <c r="I268" s="617"/>
      <c r="J268" s="617"/>
      <c r="K268" s="1694">
        <f t="shared" si="22"/>
        <v>4972</v>
      </c>
      <c r="L268" s="466">
        <f>SUMIF(Data!$A:$A,"50-"&amp;LEFT($B268,3)&amp;"*-*",Data!$T:$T)</f>
        <v>4590</v>
      </c>
    </row>
    <row r="269" spans="1:14" x14ac:dyDescent="0.2">
      <c r="A269" s="1526" t="s">
        <v>103</v>
      </c>
      <c r="B269" s="615">
        <v>2570</v>
      </c>
      <c r="C269" s="617"/>
      <c r="D269" s="466">
        <f>ROUND(SUMIF(Data!$A:$A,"50-"&amp;$B269&amp;"-2*",Data!$P:$P),0)</f>
        <v>0</v>
      </c>
      <c r="E269" s="617"/>
      <c r="F269" s="617"/>
      <c r="G269" s="617"/>
      <c r="H269" s="617"/>
      <c r="I269" s="617"/>
      <c r="J269" s="617"/>
      <c r="K269" s="1694">
        <f t="shared" si="22"/>
        <v>0</v>
      </c>
      <c r="L269" s="466">
        <f>SUMIF(Data!$A:$A,"50-"&amp;LEFT($B269,3)&amp;"*-*",Data!$T:$T)</f>
        <v>0</v>
      </c>
    </row>
    <row r="270" spans="1:14" ht="12.75" customHeight="1" thickBot="1" x14ac:dyDescent="0.25">
      <c r="A270" s="1690" t="s">
        <v>743</v>
      </c>
      <c r="B270" s="1697" t="s">
        <v>35</v>
      </c>
      <c r="C270" s="617"/>
      <c r="D270" s="1692">
        <f>SUM(D263:D269)</f>
        <v>22165</v>
      </c>
      <c r="E270" s="617"/>
      <c r="F270" s="617"/>
      <c r="G270" s="617"/>
      <c r="H270" s="617"/>
      <c r="I270" s="617"/>
      <c r="J270" s="617"/>
      <c r="K270" s="1692">
        <f>SUM(K263:K269)</f>
        <v>22165</v>
      </c>
      <c r="L270" s="1692">
        <f>SUM(L263:L269)</f>
        <v>21300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66">
        <f>ROUND(SUMIF(Data!$A:$A,"50-"&amp;$B272&amp;"-2*",Data!$P:$P),0)</f>
        <v>0</v>
      </c>
      <c r="E272" s="617"/>
      <c r="F272" s="617"/>
      <c r="G272" s="617"/>
      <c r="H272" s="617"/>
      <c r="I272" s="617"/>
      <c r="J272" s="617"/>
      <c r="K272" s="1694">
        <f>D272</f>
        <v>0</v>
      </c>
      <c r="L272" s="466">
        <f>SUMIF(Data!$A:$A,"50-"&amp;LEFT($B272,3)&amp;"*-*",Data!$T:$T)</f>
        <v>0</v>
      </c>
    </row>
    <row r="273" spans="1:12" x14ac:dyDescent="0.2">
      <c r="A273" s="1526" t="s">
        <v>628</v>
      </c>
      <c r="B273" s="629">
        <v>2620</v>
      </c>
      <c r="C273" s="617"/>
      <c r="D273" s="466">
        <f>ROUND(SUMIF(Data!$A:$A,"50-"&amp;$B273&amp;"-2*",Data!$P:$P),0)</f>
        <v>0</v>
      </c>
      <c r="E273" s="617"/>
      <c r="F273" s="617"/>
      <c r="G273" s="617"/>
      <c r="H273" s="617"/>
      <c r="I273" s="617"/>
      <c r="J273" s="617"/>
      <c r="K273" s="1694">
        <f>D273</f>
        <v>0</v>
      </c>
      <c r="L273" s="466">
        <f>SUMIF(Data!$A:$A,"50-"&amp;LEFT($B273,3)&amp;"*-*",Data!$T:$T)</f>
        <v>0</v>
      </c>
    </row>
    <row r="274" spans="1:12" ht="12" customHeight="1" x14ac:dyDescent="0.2">
      <c r="A274" s="1526" t="s">
        <v>1121</v>
      </c>
      <c r="B274" s="615">
        <v>2630</v>
      </c>
      <c r="C274" s="617"/>
      <c r="D274" s="466">
        <f>ROUND(SUMIF(Data!$A:$A,"50-"&amp;$B274&amp;"-2*",Data!$P:$P),0)</f>
        <v>0</v>
      </c>
      <c r="E274" s="617"/>
      <c r="F274" s="617"/>
      <c r="G274" s="617"/>
      <c r="H274" s="617"/>
      <c r="I274" s="617"/>
      <c r="J274" s="617"/>
      <c r="K274" s="1694">
        <f>D274</f>
        <v>0</v>
      </c>
      <c r="L274" s="466">
        <f>SUMIF(Data!$A:$A,"50-"&amp;LEFT($B274,3)&amp;"*-*",Data!$T:$T)</f>
        <v>0</v>
      </c>
    </row>
    <row r="275" spans="1:12" x14ac:dyDescent="0.2">
      <c r="A275" s="1526" t="s">
        <v>423</v>
      </c>
      <c r="B275" s="615">
        <v>2640</v>
      </c>
      <c r="C275" s="617"/>
      <c r="D275" s="466">
        <f>ROUND(SUMIF(Data!$A:$A,"50-"&amp;$B275&amp;"-2*",Data!$P:$P),0)</f>
        <v>0</v>
      </c>
      <c r="E275" s="617"/>
      <c r="F275" s="617"/>
      <c r="G275" s="617"/>
      <c r="H275" s="617"/>
      <c r="I275" s="617"/>
      <c r="J275" s="617"/>
      <c r="K275" s="1694">
        <f>D275</f>
        <v>0</v>
      </c>
      <c r="L275" s="466">
        <f>SUMIF(Data!$A:$A,"50-"&amp;LEFT($B275,3)&amp;"*-*",Data!$T:$T)</f>
        <v>0</v>
      </c>
    </row>
    <row r="276" spans="1:12" x14ac:dyDescent="0.2">
      <c r="A276" s="1526" t="s">
        <v>424</v>
      </c>
      <c r="B276" s="615">
        <v>2660</v>
      </c>
      <c r="C276" s="617"/>
      <c r="D276" s="466">
        <f>ROUND(SUMIF(Data!$A:$A,"50-"&amp;$B276&amp;"-2*",Data!$P:$P),0)</f>
        <v>0</v>
      </c>
      <c r="E276" s="617"/>
      <c r="F276" s="617"/>
      <c r="G276" s="617"/>
      <c r="H276" s="617"/>
      <c r="I276" s="617"/>
      <c r="J276" s="617"/>
      <c r="K276" s="1694">
        <f>D276</f>
        <v>0</v>
      </c>
      <c r="L276" s="466">
        <f>SUMIF(Data!$A:$A,"50-"&amp;LEFT($B276,3)&amp;"*-*",Data!$T:$T)</f>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466">
        <f>ROUND(SUMIF(Data!$A:$A,"50-"&amp;$B278&amp;"-2*",Data!$P:$P),0)</f>
        <v>0</v>
      </c>
      <c r="E278" s="617"/>
      <c r="F278" s="617"/>
      <c r="G278" s="617"/>
      <c r="H278" s="617"/>
      <c r="I278" s="617"/>
      <c r="J278" s="617"/>
      <c r="K278" s="1707">
        <f>D278</f>
        <v>0</v>
      </c>
      <c r="L278" s="466">
        <f>SUMIF(Data!$A:$A,"50-"&amp;LEFT($B278,3)&amp;"*-*",Data!$T:$T)</f>
        <v>0</v>
      </c>
    </row>
    <row r="279" spans="1:12" ht="12.75" customHeight="1" thickBot="1" x14ac:dyDescent="0.25">
      <c r="A279" s="1720" t="s">
        <v>865</v>
      </c>
      <c r="B279" s="1703">
        <v>2000</v>
      </c>
      <c r="C279" s="617"/>
      <c r="D279" s="1699">
        <f>SUM(D238,D243,D257,D261,D270,D277,D278)</f>
        <v>27720</v>
      </c>
      <c r="E279" s="617"/>
      <c r="F279" s="617"/>
      <c r="G279" s="617"/>
      <c r="H279" s="617"/>
      <c r="I279" s="617"/>
      <c r="J279" s="617"/>
      <c r="K279" s="1699">
        <f>SUM(K238,K243,K257,K261,K270,K277,K278)</f>
        <v>27720</v>
      </c>
      <c r="L279" s="1699">
        <f>SUM(L238,L243,L257,L261,L270,L277,L278)</f>
        <v>26565</v>
      </c>
    </row>
    <row r="280" spans="1:12" ht="15.75" customHeight="1" thickTop="1" thickBot="1" x14ac:dyDescent="0.25">
      <c r="A280" s="1646" t="s">
        <v>930</v>
      </c>
      <c r="B280" s="1635">
        <v>3000</v>
      </c>
      <c r="C280" s="617"/>
      <c r="D280" s="466">
        <v>2116</v>
      </c>
      <c r="E280" s="617"/>
      <c r="F280" s="617"/>
      <c r="G280" s="617"/>
      <c r="H280" s="617"/>
      <c r="I280" s="617"/>
      <c r="J280" s="617"/>
      <c r="K280" s="1701">
        <f>D280</f>
        <v>2116</v>
      </c>
      <c r="L280" s="466">
        <f>SUMIF(Data!$A:$A,"50-"&amp;LEFT($B280,3)&amp;"*-*",Data!$T:$T)</f>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6">
        <f>ROUND(SUMIF(Data!$A:$A,"50-"&amp;$B282&amp;"-2*",Data!$P:$P),0)</f>
        <v>0</v>
      </c>
      <c r="E282" s="617"/>
      <c r="F282" s="617"/>
      <c r="G282" s="617"/>
      <c r="H282" s="617"/>
      <c r="I282" s="617"/>
      <c r="J282" s="617"/>
      <c r="K282" s="1693">
        <f>D282</f>
        <v>0</v>
      </c>
      <c r="L282" s="466">
        <f>SUMIF(Data!$A:$A,"50-"&amp;LEFT($B282,3)&amp;"*-*",Data!$T:$T)</f>
        <v>0</v>
      </c>
    </row>
    <row r="283" spans="1:12" x14ac:dyDescent="0.2">
      <c r="A283" s="1526" t="s">
        <v>322</v>
      </c>
      <c r="B283" s="615">
        <v>4120</v>
      </c>
      <c r="C283" s="617"/>
      <c r="D283" s="466">
        <f>ROUND(SUMIF(Data!$A:$A,"50-"&amp;$B283&amp;"-2*",Data!$P:$P),0)</f>
        <v>0</v>
      </c>
      <c r="E283" s="617"/>
      <c r="F283" s="617"/>
      <c r="G283" s="617"/>
      <c r="H283" s="617"/>
      <c r="I283" s="617"/>
      <c r="J283" s="617"/>
      <c r="K283" s="1693">
        <f>D283</f>
        <v>0</v>
      </c>
      <c r="L283" s="466">
        <f>SUMIF(Data!$A:$A,"50-"&amp;LEFT($B283,3)&amp;"*-*",Data!$T:$T)</f>
        <v>0</v>
      </c>
    </row>
    <row r="284" spans="1:12" x14ac:dyDescent="0.2">
      <c r="A284" s="1526" t="s">
        <v>721</v>
      </c>
      <c r="B284" s="615">
        <v>4140</v>
      </c>
      <c r="C284" s="617"/>
      <c r="D284" s="466">
        <f>ROUND(SUMIF(Data!$A:$A,"50-"&amp;$B284&amp;"-2*",Data!$P:$P),0)</f>
        <v>0</v>
      </c>
      <c r="E284" s="617"/>
      <c r="F284" s="617"/>
      <c r="G284" s="617"/>
      <c r="H284" s="617"/>
      <c r="I284" s="617"/>
      <c r="J284" s="617"/>
      <c r="K284" s="1693">
        <f>D284</f>
        <v>0</v>
      </c>
      <c r="L284" s="466">
        <f>SUMIF(Data!$A:$A,"50-"&amp;LEFT($B284,3)&amp;"*-*",Data!$T:$T)</f>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f>SUMIF(Data!$A:$A,"50-"&amp;LEFT($B288,3)&amp;"*-*",Data!$T:$T)</f>
        <v>0</v>
      </c>
    </row>
    <row r="289" spans="1:14" x14ac:dyDescent="0.2">
      <c r="A289" s="1526" t="s">
        <v>90</v>
      </c>
      <c r="B289" s="615">
        <v>5120</v>
      </c>
      <c r="C289" s="617"/>
      <c r="D289" s="617"/>
      <c r="E289" s="617"/>
      <c r="F289" s="617"/>
      <c r="G289" s="617"/>
      <c r="H289" s="466"/>
      <c r="I289" s="617"/>
      <c r="J289" s="617"/>
      <c r="K289" s="1693">
        <f>H289</f>
        <v>0</v>
      </c>
      <c r="L289" s="466">
        <f>SUMIF(Data!$A:$A,"50-"&amp;LEFT($B289,3)&amp;"*-*",Data!$T:$T)</f>
        <v>0</v>
      </c>
    </row>
    <row r="290" spans="1:14" ht="12.75" customHeight="1" x14ac:dyDescent="0.2">
      <c r="A290" s="1526" t="s">
        <v>1232</v>
      </c>
      <c r="B290" s="629" t="s">
        <v>638</v>
      </c>
      <c r="C290" s="617"/>
      <c r="D290" s="617"/>
      <c r="E290" s="617"/>
      <c r="F290" s="617"/>
      <c r="G290" s="617"/>
      <c r="H290" s="466"/>
      <c r="I290" s="617"/>
      <c r="J290" s="617"/>
      <c r="K290" s="1693">
        <f>H290</f>
        <v>0</v>
      </c>
      <c r="L290" s="466">
        <f>SUMIF(Data!$A:$A,"50-"&amp;LEFT($B290,3)&amp;"*-*",Data!$T:$T)</f>
        <v>0</v>
      </c>
    </row>
    <row r="291" spans="1:14" x14ac:dyDescent="0.2">
      <c r="A291" s="1526" t="s">
        <v>91</v>
      </c>
      <c r="B291" s="615" t="s">
        <v>610</v>
      </c>
      <c r="C291" s="617"/>
      <c r="D291" s="617"/>
      <c r="E291" s="617"/>
      <c r="F291" s="617"/>
      <c r="G291" s="617"/>
      <c r="H291" s="466"/>
      <c r="I291" s="617"/>
      <c r="J291" s="617"/>
      <c r="K291" s="1693">
        <f>H291</f>
        <v>0</v>
      </c>
      <c r="L291" s="466">
        <f>SUMIF(Data!$A:$A,"50-"&amp;LEFT($B291,3)&amp;"*-*",Data!$T:$T)</f>
        <v>0</v>
      </c>
    </row>
    <row r="292" spans="1:14" x14ac:dyDescent="0.2">
      <c r="A292" s="1526" t="s">
        <v>786</v>
      </c>
      <c r="B292" s="615" t="s">
        <v>639</v>
      </c>
      <c r="C292" s="617"/>
      <c r="D292" s="617"/>
      <c r="E292" s="617"/>
      <c r="F292" s="617"/>
      <c r="G292" s="617"/>
      <c r="H292" s="466"/>
      <c r="I292" s="617"/>
      <c r="J292" s="617"/>
      <c r="K292" s="1693">
        <f>H292</f>
        <v>0</v>
      </c>
      <c r="L292" s="466">
        <f>SUMIF(Data!$A:$A,"50-"&amp;LEFT($B292,3)&amp;"*-*",Data!$T:$T)</f>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x14ac:dyDescent="0.2">
      <c r="A294" s="1647" t="s">
        <v>932</v>
      </c>
      <c r="B294" s="1635" t="s">
        <v>916</v>
      </c>
      <c r="C294" s="617"/>
      <c r="D294" s="624"/>
      <c r="E294" s="617"/>
      <c r="F294" s="617"/>
      <c r="G294" s="617"/>
      <c r="H294" s="687"/>
      <c r="I294" s="617"/>
      <c r="J294" s="617"/>
      <c r="K294" s="687"/>
      <c r="L294" s="466">
        <f>SUMIF(Data!$A:$A,"50-"&amp;LEFT($B294,3)&amp;"*-*",Data!$T:$T)</f>
        <v>0</v>
      </c>
    </row>
    <row r="295" spans="1:14" ht="12.75" customHeight="1" thickBot="1" x14ac:dyDescent="0.25">
      <c r="A295" s="2202" t="s">
        <v>526</v>
      </c>
      <c r="B295" s="2203"/>
      <c r="C295" s="617"/>
      <c r="D295" s="1692">
        <f>SUM(D229,D279,D280,D285)</f>
        <v>52376</v>
      </c>
      <c r="E295" s="617"/>
      <c r="F295" s="617"/>
      <c r="G295" s="617"/>
      <c r="H295" s="1692">
        <f>H293</f>
        <v>0</v>
      </c>
      <c r="I295" s="617"/>
      <c r="J295" s="617"/>
      <c r="K295" s="1692">
        <f>SUM(K229,K279,K280,K285,K293,K294)</f>
        <v>52376</v>
      </c>
      <c r="L295" s="1692">
        <f>SUM(L229,L279,L280,L285,L293,L294)</f>
        <v>47153</v>
      </c>
    </row>
    <row r="296" spans="1:14" ht="13.5" thickTop="1" x14ac:dyDescent="0.2">
      <c r="A296" s="2211" t="s">
        <v>1053</v>
      </c>
      <c r="B296" s="2212"/>
      <c r="C296" s="617"/>
      <c r="D296" s="619"/>
      <c r="E296" s="617"/>
      <c r="F296" s="617"/>
      <c r="G296" s="617"/>
      <c r="H296" s="688"/>
      <c r="I296" s="617"/>
      <c r="J296" s="617"/>
      <c r="K296" s="1706">
        <f>'Revenues 9-14'!G275-'Expenditures 15-22'!K295</f>
        <v>-44668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4" t="s">
        <v>145</v>
      </c>
      <c r="B298" s="218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f>ROUND(SUMIF(Data!$A:$A,"60-"&amp;LEFT($B301,3)&amp;"*-"&amp;MID(C$1,2,1)&amp;"*",Data!$P:$P),0)</f>
        <v>0</v>
      </c>
      <c r="D301" s="466">
        <f>ROUND(SUMIF(Data!$A:$A,"60-"&amp;LEFT($B301,3)&amp;"*-"&amp;MID(D$1,2,1)&amp;"*",Data!$P:$P),0)</f>
        <v>0</v>
      </c>
      <c r="E301" s="466">
        <v>1</v>
      </c>
      <c r="F301" s="466">
        <f>ROUND(SUMIF(Data!$A:$A,"60-"&amp;LEFT($B301,3)&amp;"*-"&amp;MID(F$1,2,1)&amp;"*",Data!$P:$P),0)</f>
        <v>0</v>
      </c>
      <c r="G301" s="466">
        <f>ROUND(SUMIF(Data!$A:$A,"60-"&amp;LEFT($B301,3)&amp;"*-"&amp;MID(G$1,2,1)&amp;"*",Data!$P:$P),0)</f>
        <v>0</v>
      </c>
      <c r="H301" s="466">
        <f>ROUND(SUMIF(Data!$A:$A,"60-"&amp;LEFT($B301,3)&amp;"*-"&amp;MID(H$1,2,1)&amp;"*",Data!$P:$P),0)</f>
        <v>0</v>
      </c>
      <c r="I301" s="466">
        <f>ROUND(SUMIF(Data!$A:$A,"60-"&amp;LEFT($B301,3)&amp;"*-"&amp;MID(I$1,2,1)&amp;"*",Data!$P:$P),0)</f>
        <v>0</v>
      </c>
      <c r="J301" s="466">
        <f>ROUND(SUMIF(Data!$A:$A,"60-"&amp;LEFT($B301,3)&amp;"*-"&amp;MID(J$1,2,1)&amp;"*",Data!$P:$P),0)</f>
        <v>0</v>
      </c>
      <c r="K301" s="1693">
        <f>SUM(C301:J301)</f>
        <v>1</v>
      </c>
      <c r="L301" s="467">
        <f>SUMIF(Data!$A:$A,"60-"&amp;LEFT($B301,3)&amp;"*-*",Data!$T:$T)</f>
        <v>55000</v>
      </c>
    </row>
    <row r="302" spans="1:14" ht="13.5" customHeight="1" x14ac:dyDescent="0.2">
      <c r="A302" s="1539" t="s">
        <v>1037</v>
      </c>
      <c r="B302" s="615" t="s">
        <v>595</v>
      </c>
      <c r="C302" s="466">
        <f>ROUND(SUMIF(Data!$A:$A,"60-"&amp;LEFT($B302,3)&amp;"*-"&amp;MID(C$1,2,1)&amp;"*",Data!$P:$P),0)</f>
        <v>0</v>
      </c>
      <c r="D302" s="466">
        <f>ROUND(SUMIF(Data!$A:$A,"60-"&amp;LEFT($B302,3)&amp;"*-"&amp;MID(D$1,2,1)&amp;"*",Data!$P:$P),0)</f>
        <v>0</v>
      </c>
      <c r="E302" s="466">
        <f>ROUND(SUMIF(Data!$A:$A,"60-"&amp;LEFT($B302,3)&amp;"*-"&amp;MID(E$1,2,1)&amp;"*",Data!$P:$P),0)</f>
        <v>0</v>
      </c>
      <c r="F302" s="466">
        <f>ROUND(SUMIF(Data!$A:$A,"60-"&amp;LEFT($B302,3)&amp;"*-"&amp;MID(F$1,2,1)&amp;"*",Data!$P:$P),0)</f>
        <v>0</v>
      </c>
      <c r="G302" s="466">
        <f>ROUND(SUMIF(Data!$A:$A,"60-"&amp;LEFT($B302,3)&amp;"*-"&amp;MID(G$1,2,1)&amp;"*",Data!$P:$P),0)</f>
        <v>0</v>
      </c>
      <c r="H302" s="466">
        <f>ROUND(SUMIF(Data!$A:$A,"60-"&amp;LEFT($B302,3)&amp;"*-"&amp;MID(H$1,2,1)&amp;"*",Data!$P:$P),0)</f>
        <v>0</v>
      </c>
      <c r="I302" s="466">
        <f>ROUND(SUMIF(Data!$A:$A,"60-"&amp;LEFT($B302,3)&amp;"*-"&amp;MID(I$1,2,1)&amp;"*",Data!$P:$P),0)</f>
        <v>0</v>
      </c>
      <c r="J302" s="466">
        <f>ROUND(SUMIF(Data!$A:$A,"60-"&amp;LEFT($B302,3)&amp;"*-"&amp;MID(J$1,2,1)&amp;"*",Data!$P:$P),0)</f>
        <v>0</v>
      </c>
      <c r="K302" s="1693">
        <f>SUM(C302:J302)</f>
        <v>0</v>
      </c>
      <c r="L302" s="467">
        <f>SUMIF(Data!$A:$A,"60-"&amp;LEFT($B302,3)&amp;"*-*",Data!$T:$T)</f>
        <v>0</v>
      </c>
    </row>
    <row r="303" spans="1:14" ht="12.75" customHeight="1" thickBot="1" x14ac:dyDescent="0.25">
      <c r="A303" s="1690" t="s">
        <v>865</v>
      </c>
      <c r="B303" s="1691" t="s">
        <v>590</v>
      </c>
      <c r="C303" s="1699">
        <f>SUM(C301:C302)</f>
        <v>0</v>
      </c>
      <c r="D303" s="1699">
        <f t="shared" ref="D303:L303" si="23">SUM(D301:D302)</f>
        <v>0</v>
      </c>
      <c r="E303" s="1699">
        <f t="shared" si="23"/>
        <v>1</v>
      </c>
      <c r="F303" s="1699">
        <f t="shared" si="23"/>
        <v>0</v>
      </c>
      <c r="G303" s="1699">
        <f t="shared" si="23"/>
        <v>0</v>
      </c>
      <c r="H303" s="1699">
        <f t="shared" si="23"/>
        <v>0</v>
      </c>
      <c r="I303" s="1699">
        <f t="shared" si="23"/>
        <v>0</v>
      </c>
      <c r="J303" s="1699">
        <f t="shared" si="23"/>
        <v>0</v>
      </c>
      <c r="K303" s="1699">
        <f t="shared" si="23"/>
        <v>1</v>
      </c>
      <c r="L303" s="1699">
        <f t="shared" si="23"/>
        <v>55000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6">
        <f>ROUND(SUMIF(Data!$A:$A,"60-"&amp;LEFT($B306,3)&amp;"*-"&amp;MID(E$1,2,1)&amp;"*",Data!$P:$P),0)</f>
        <v>0</v>
      </c>
      <c r="F306" s="617"/>
      <c r="G306" s="617"/>
      <c r="H306" s="466">
        <f>ROUND(SUMIF(Data!$A:$A,"60-"&amp;LEFT($B306,3)&amp;"*-"&amp;MID(H$1,2,1)&amp;"*",Data!$P:$P),0)</f>
        <v>0</v>
      </c>
      <c r="I306" s="617"/>
      <c r="J306" s="617"/>
      <c r="K306" s="1693">
        <f>SUM(E306,H306)</f>
        <v>0</v>
      </c>
      <c r="L306" s="467"/>
    </row>
    <row r="307" spans="1:14" x14ac:dyDescent="0.2">
      <c r="A307" s="1526" t="s">
        <v>322</v>
      </c>
      <c r="B307" s="615">
        <v>4120</v>
      </c>
      <c r="C307" s="617"/>
      <c r="D307" s="617"/>
      <c r="E307" s="466">
        <f>ROUND(SUMIF(Data!$A:$A,"60-"&amp;LEFT($B307,3)&amp;"*-"&amp;MID(E$1,2,1)&amp;"*",Data!$P:$P),0)</f>
        <v>0</v>
      </c>
      <c r="F307" s="617"/>
      <c r="G307" s="617"/>
      <c r="H307" s="466">
        <f>ROUND(SUMIF(Data!$A:$A,"60-"&amp;LEFT($B307,3)&amp;"*-"&amp;MID(H$1,2,1)&amp;"*",Data!$P:$P),0)</f>
        <v>0</v>
      </c>
      <c r="I307" s="477"/>
      <c r="J307" s="617"/>
      <c r="K307" s="1693">
        <f>SUM(E307,H307)</f>
        <v>0</v>
      </c>
      <c r="L307" s="466"/>
    </row>
    <row r="308" spans="1:14" x14ac:dyDescent="0.2">
      <c r="A308" s="1526" t="s">
        <v>721</v>
      </c>
      <c r="B308" s="615">
        <v>4140</v>
      </c>
      <c r="C308" s="617"/>
      <c r="D308" s="617"/>
      <c r="E308" s="466">
        <f>ROUND(SUMIF(Data!$A:$A,"60-"&amp;LEFT($B308,3)&amp;"*-"&amp;MID(E$1,2,1)&amp;"*",Data!$P:$P),0)</f>
        <v>0</v>
      </c>
      <c r="F308" s="617"/>
      <c r="G308" s="617"/>
      <c r="H308" s="466">
        <f>ROUND(SUMIF(Data!$A:$A,"60-"&amp;LEFT($B308,3)&amp;"*-"&amp;MID(H$1,2,1)&amp;"*",Data!$P:$P),0)</f>
        <v>0</v>
      </c>
      <c r="I308" s="477"/>
      <c r="J308" s="617"/>
      <c r="K308" s="1693">
        <f>SUM(E308,H308)</f>
        <v>0</v>
      </c>
      <c r="L308" s="466"/>
    </row>
    <row r="309" spans="1:14" ht="12.75" customHeight="1" x14ac:dyDescent="0.2">
      <c r="A309" s="1530" t="s">
        <v>722</v>
      </c>
      <c r="B309" s="629">
        <v>4190</v>
      </c>
      <c r="C309" s="617"/>
      <c r="D309" s="617"/>
      <c r="E309" s="466">
        <f>ROUND(SUMIF(Data!$A:$A,"60-"&amp;LEFT($B309,3)&amp;"*-"&amp;MID(E$1,2,1)&amp;"*",Data!$P:$P),0)</f>
        <v>0</v>
      </c>
      <c r="F309" s="617"/>
      <c r="G309" s="617"/>
      <c r="H309" s="466">
        <f>ROUND(SUMIF(Data!$A:$A,"60-"&amp;LEFT($B309,3)&amp;"*-"&amp;MID(H$1,2,1)&amp;"*",Data!$P:$P),0)</f>
        <v>0</v>
      </c>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9" t="s">
        <v>295</v>
      </c>
      <c r="B312" s="2200"/>
      <c r="C312" s="1692">
        <f>SUM(C303)</f>
        <v>0</v>
      </c>
      <c r="D312" s="1692">
        <f>SUM(D303)</f>
        <v>0</v>
      </c>
      <c r="E312" s="1692">
        <f>SUM(E303,E310)</f>
        <v>1</v>
      </c>
      <c r="F312" s="1692">
        <f>SUM(F303)</f>
        <v>0</v>
      </c>
      <c r="G312" s="1692">
        <f>SUM(G303)</f>
        <v>0</v>
      </c>
      <c r="H312" s="1692">
        <f>SUM(H303,H310)</f>
        <v>0</v>
      </c>
      <c r="I312" s="1692">
        <f>SUM(I303)</f>
        <v>0</v>
      </c>
      <c r="J312" s="1692">
        <f>SUM(J303)</f>
        <v>0</v>
      </c>
      <c r="K312" s="1692">
        <f>SUM(K303,K310,K311)</f>
        <v>1</v>
      </c>
      <c r="L312" s="1692">
        <f>SUM(L303,L310,L311)</f>
        <v>55000</v>
      </c>
      <c r="M312" s="666"/>
      <c r="N312" s="666"/>
    </row>
    <row r="313" spans="1:14" ht="13.5" thickTop="1" x14ac:dyDescent="0.2">
      <c r="A313" s="2195" t="s">
        <v>1053</v>
      </c>
      <c r="B313" s="2196"/>
      <c r="C313" s="627"/>
      <c r="D313" s="627"/>
      <c r="E313" s="627"/>
      <c r="F313" s="627"/>
      <c r="G313" s="627"/>
      <c r="H313" s="627"/>
      <c r="I313" s="627"/>
      <c r="J313" s="627"/>
      <c r="K313" s="1707">
        <f>'Revenues 9-14'!H275-'Expenditures 15-22'!K312</f>
        <v>60996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8" t="s">
        <v>151</v>
      </c>
      <c r="B315" s="220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0" t="s">
        <v>954</v>
      </c>
      <c r="B317" s="220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6">
        <f>ROUND(SUMIF(Data!$A:$A,"80-"&amp;LEFT($B319,4)&amp;"*-"&amp;MID(C$1,2,1)&amp;"*",Data!$P:$P),0)</f>
        <v>0</v>
      </c>
      <c r="D319" s="466">
        <f>ROUND(SUMIF(Data!$A:$A,"80-"&amp;LEFT($B319,4)&amp;"*-"&amp;MID(D$1,2,1)&amp;"*",Data!$P:$P),0)</f>
        <v>0</v>
      </c>
      <c r="E319" s="466">
        <f>ROUND(SUMIF(Data!$A:$A,"80-"&amp;LEFT($B319,4)&amp;"*-"&amp;MID(E$1,2,1)&amp;"*",Data!$P:$P),0)</f>
        <v>0</v>
      </c>
      <c r="F319" s="466">
        <f>ROUND(SUMIF(Data!$A:$A,"80-"&amp;LEFT($B319,4)&amp;"*-"&amp;MID(F$1,2,1)&amp;"*",Data!$P:$P),0)</f>
        <v>0</v>
      </c>
      <c r="G319" s="466">
        <f>ROUND(SUMIF(Data!$A:$A,"80-"&amp;LEFT($B319,4)&amp;"*-"&amp;MID(G$1,2,1)&amp;"*",Data!$P:$P),0)</f>
        <v>0</v>
      </c>
      <c r="H319" s="466">
        <f>ROUND(SUMIF(Data!$A:$A,"80-"&amp;LEFT($B319,4)&amp;"*-"&amp;MID(H$1,2,1)&amp;"*",Data!$P:$P),0)</f>
        <v>0</v>
      </c>
      <c r="I319" s="466">
        <f>ROUND(SUMIF(Data!$A:$A,"80-"&amp;LEFT($B319,4)&amp;"*-"&amp;MID(I$1,2,1)&amp;"*",Data!$P:$P),0)</f>
        <v>0</v>
      </c>
      <c r="J319" s="466">
        <f>ROUND(SUMIF(Data!$A:$A,"80-"&amp;LEFT($B319,4)&amp;"*-"&amp;MID(J$1,2,1)&amp;"*",Data!$P:$P),0)</f>
        <v>0</v>
      </c>
      <c r="K319" s="1693">
        <f>SUM(C319:J319)</f>
        <v>0</v>
      </c>
      <c r="L319" s="467">
        <f>SUMIF(Data!$A:$A,"80-"&amp;LEFT($B319,3)&amp;"*-*",Data!$T:$T)</f>
        <v>125545</v>
      </c>
      <c r="M319" s="666"/>
      <c r="N319" s="666"/>
    </row>
    <row r="320" spans="1:14" s="675" customFormat="1" x14ac:dyDescent="0.2">
      <c r="A320" s="1545" t="s">
        <v>1908</v>
      </c>
      <c r="B320" s="699" t="s">
        <v>300</v>
      </c>
      <c r="C320" s="466">
        <f>ROUND(SUMIF(Data!$A:$A,"80-"&amp;LEFT($B320,4)&amp;"*-"&amp;MID(C$1,2,1)&amp;"*",Data!$P:$P),0)</f>
        <v>0</v>
      </c>
      <c r="D320" s="466">
        <f>ROUND(SUMIF(Data!$A:$A,"80-"&amp;LEFT($B320,4)&amp;"*-"&amp;MID(D$1,2,1)&amp;"*",Data!$P:$P),0)</f>
        <v>0</v>
      </c>
      <c r="E320" s="466">
        <f>ROUND(SUMIF(Data!$A:$A,"80-"&amp;LEFT($B320,4)&amp;"*-"&amp;MID(E$1,2,1)&amp;"*",Data!$P:$P),0)</f>
        <v>1487</v>
      </c>
      <c r="F320" s="466">
        <f>ROUND(SUMIF(Data!$A:$A,"80-"&amp;LEFT($B320,4)&amp;"*-"&amp;MID(F$1,2,1)&amp;"*",Data!$P:$P),0)</f>
        <v>0</v>
      </c>
      <c r="G320" s="466">
        <f>ROUND(SUMIF(Data!$A:$A,"80-"&amp;LEFT($B320,4)&amp;"*-"&amp;MID(G$1,2,1)&amp;"*",Data!$P:$P),0)</f>
        <v>0</v>
      </c>
      <c r="H320" s="466">
        <f>ROUND(SUMIF(Data!$A:$A,"80-"&amp;LEFT($B320,4)&amp;"*-"&amp;MID(H$1,2,1)&amp;"*",Data!$P:$P),0)</f>
        <v>0</v>
      </c>
      <c r="I320" s="466">
        <f>ROUND(SUMIF(Data!$A:$A,"80-"&amp;LEFT($B320,4)&amp;"*-"&amp;MID(I$1,2,1)&amp;"*",Data!$P:$P),0)</f>
        <v>0</v>
      </c>
      <c r="J320" s="466">
        <f>ROUND(SUMIF(Data!$A:$A,"80-"&amp;LEFT($B320,4)&amp;"*-"&amp;MID(J$1,2,1)&amp;"*",Data!$P:$P),0)</f>
        <v>0</v>
      </c>
      <c r="K320" s="1693">
        <f t="shared" ref="K320:K327" si="24">SUM(C320:J320)</f>
        <v>1487</v>
      </c>
      <c r="L320" s="467"/>
      <c r="M320" s="666"/>
      <c r="N320" s="666"/>
    </row>
    <row r="321" spans="1:14" s="675" customFormat="1" x14ac:dyDescent="0.2">
      <c r="A321" s="1541" t="s">
        <v>318</v>
      </c>
      <c r="B321" s="698" t="s">
        <v>301</v>
      </c>
      <c r="C321" s="466">
        <f>ROUND(SUMIF(Data!$A:$A,"80-"&amp;LEFT($B321,4)&amp;"*-"&amp;MID(C$1,2,1)&amp;"*",Data!$P:$P),0)</f>
        <v>0</v>
      </c>
      <c r="D321" s="466">
        <f>ROUND(SUMIF(Data!$A:$A,"80-"&amp;LEFT($B321,4)&amp;"*-"&amp;MID(D$1,2,1)&amp;"*",Data!$P:$P),0)</f>
        <v>0</v>
      </c>
      <c r="E321" s="466">
        <f>ROUND(SUMIF(Data!$A:$A,"80-"&amp;LEFT($B321,4)&amp;"*-"&amp;MID(E$1,2,1)&amp;"*",Data!$P:$P),0)</f>
        <v>2881</v>
      </c>
      <c r="F321" s="466">
        <f>ROUND(SUMIF(Data!$A:$A,"80-"&amp;LEFT($B321,4)&amp;"*-"&amp;MID(F$1,2,1)&amp;"*",Data!$P:$P),0)</f>
        <v>0</v>
      </c>
      <c r="G321" s="466">
        <f>ROUND(SUMIF(Data!$A:$A,"80-"&amp;LEFT($B321,4)&amp;"*-"&amp;MID(G$1,2,1)&amp;"*",Data!$P:$P),0)</f>
        <v>0</v>
      </c>
      <c r="H321" s="466">
        <f>ROUND(SUMIF(Data!$A:$A,"80-"&amp;LEFT($B321,4)&amp;"*-"&amp;MID(H$1,2,1)&amp;"*",Data!$P:$P),0)</f>
        <v>0</v>
      </c>
      <c r="I321" s="466">
        <f>ROUND(SUMIF(Data!$A:$A,"80-"&amp;LEFT($B321,4)&amp;"*-"&amp;MID(I$1,2,1)&amp;"*",Data!$P:$P),0)</f>
        <v>0</v>
      </c>
      <c r="J321" s="466">
        <f>ROUND(SUMIF(Data!$A:$A,"80-"&amp;LEFT($B321,4)&amp;"*-"&amp;MID(J$1,2,1)&amp;"*",Data!$P:$P),0)</f>
        <v>0</v>
      </c>
      <c r="K321" s="1693">
        <f t="shared" si="24"/>
        <v>2881</v>
      </c>
      <c r="L321" s="467"/>
      <c r="M321" s="666"/>
      <c r="N321" s="666"/>
    </row>
    <row r="322" spans="1:14" s="675" customFormat="1" x14ac:dyDescent="0.2">
      <c r="A322" s="1541" t="s">
        <v>256</v>
      </c>
      <c r="B322" s="698" t="s">
        <v>302</v>
      </c>
      <c r="C322" s="466">
        <f>ROUND(SUMIF(Data!$A:$A,"80-"&amp;LEFT($B322,4)&amp;"*-"&amp;MID(C$1,2,1)&amp;"*",Data!$P:$P),0)</f>
        <v>0</v>
      </c>
      <c r="D322" s="466">
        <f>ROUND(SUMIF(Data!$A:$A,"80-"&amp;LEFT($B322,4)&amp;"*-"&amp;MID(D$1,2,1)&amp;"*",Data!$P:$P),0)</f>
        <v>0</v>
      </c>
      <c r="E322" s="466">
        <f>ROUND(SUMIF(Data!$A:$A,"80-"&amp;LEFT($B322,4)&amp;"*-"&amp;MID(E$1,2,1)&amp;"*",Data!$P:$P),0)</f>
        <v>19773</v>
      </c>
      <c r="F322" s="466">
        <f>ROUND(SUMIF(Data!$A:$A,"80-"&amp;LEFT($B322,4)&amp;"*-"&amp;MID(F$1,2,1)&amp;"*",Data!$P:$P),0)</f>
        <v>0</v>
      </c>
      <c r="G322" s="466">
        <f>ROUND(SUMIF(Data!$A:$A,"80-"&amp;LEFT($B322,4)&amp;"*-"&amp;MID(G$1,2,1)&amp;"*",Data!$P:$P),0)</f>
        <v>0</v>
      </c>
      <c r="H322" s="466">
        <f>ROUND(SUMIF(Data!$A:$A,"80-"&amp;LEFT($B322,4)&amp;"*-"&amp;MID(H$1,2,1)&amp;"*",Data!$P:$P),0)</f>
        <v>0</v>
      </c>
      <c r="I322" s="466">
        <f>ROUND(SUMIF(Data!$A:$A,"80-"&amp;LEFT($B322,4)&amp;"*-"&amp;MID(I$1,2,1)&amp;"*",Data!$P:$P),0)</f>
        <v>0</v>
      </c>
      <c r="J322" s="466">
        <f>ROUND(SUMIF(Data!$A:$A,"80-"&amp;LEFT($B322,4)&amp;"*-"&amp;MID(J$1,2,1)&amp;"*",Data!$P:$P),0)</f>
        <v>0</v>
      </c>
      <c r="K322" s="1693">
        <f t="shared" si="24"/>
        <v>19773</v>
      </c>
      <c r="L322" s="467"/>
      <c r="M322" s="666"/>
      <c r="N322" s="666"/>
    </row>
    <row r="323" spans="1:14" s="675" customFormat="1" x14ac:dyDescent="0.2">
      <c r="A323" s="1541" t="s">
        <v>726</v>
      </c>
      <c r="B323" s="698" t="s">
        <v>303</v>
      </c>
      <c r="C323" s="466">
        <f>ROUND(SUMIF(Data!$A:$A,"80-"&amp;LEFT($B323,4)&amp;"*-"&amp;MID(C$1,2,1)&amp;"*",Data!$P:$P),0)</f>
        <v>15731</v>
      </c>
      <c r="D323" s="466">
        <f>ROUND(SUMIF(Data!$A:$A,"80-"&amp;LEFT($B323,4)&amp;"*-"&amp;MID(D$1,2,1)&amp;"*",Data!$P:$P),0)</f>
        <v>238</v>
      </c>
      <c r="E323" s="466">
        <f>ROUND(SUMIF(Data!$A:$A,"80-"&amp;LEFT($B323,4)&amp;"*-"&amp;MID(E$1,2,1)&amp;"*",Data!$P:$P),0)</f>
        <v>0</v>
      </c>
      <c r="F323" s="466">
        <f>ROUND(SUMIF(Data!$A:$A,"80-"&amp;LEFT($B323,4)&amp;"*-"&amp;MID(F$1,2,1)&amp;"*",Data!$P:$P),0)</f>
        <v>0</v>
      </c>
      <c r="G323" s="466">
        <f>ROUND(SUMIF(Data!$A:$A,"80-"&amp;LEFT($B323,4)&amp;"*-"&amp;MID(G$1,2,1)&amp;"*",Data!$P:$P),0)</f>
        <v>0</v>
      </c>
      <c r="H323" s="466">
        <f>ROUND(SUMIF(Data!$A:$A,"80-"&amp;LEFT($B323,4)&amp;"*-"&amp;MID(H$1,2,1)&amp;"*",Data!$P:$P),0)</f>
        <v>0</v>
      </c>
      <c r="I323" s="466">
        <f>ROUND(SUMIF(Data!$A:$A,"80-"&amp;LEFT($B323,4)&amp;"*-"&amp;MID(I$1,2,1)&amp;"*",Data!$P:$P),0)</f>
        <v>0</v>
      </c>
      <c r="J323" s="466">
        <f>ROUND(SUMIF(Data!$A:$A,"80-"&amp;LEFT($B323,4)&amp;"*-"&amp;MID(J$1,2,1)&amp;"*",Data!$P:$P),0)</f>
        <v>0</v>
      </c>
      <c r="K323" s="1693">
        <f t="shared" si="24"/>
        <v>15969</v>
      </c>
      <c r="L323" s="467"/>
      <c r="M323" s="666"/>
      <c r="N323" s="666"/>
    </row>
    <row r="324" spans="1:14" s="675" customFormat="1" x14ac:dyDescent="0.2">
      <c r="A324" s="1541" t="s">
        <v>257</v>
      </c>
      <c r="B324" s="698" t="s">
        <v>304</v>
      </c>
      <c r="C324" s="466">
        <f>ROUND(SUMIF(Data!$A:$A,"80-"&amp;LEFT($B324,4)&amp;"*-"&amp;MID(C$1,2,1)&amp;"*",Data!$P:$P),0)</f>
        <v>0</v>
      </c>
      <c r="D324" s="466">
        <f>ROUND(SUMIF(Data!$A:$A,"80-"&amp;LEFT($B324,4)&amp;"*-"&amp;MID(D$1,2,1)&amp;"*",Data!$P:$P),0)</f>
        <v>0</v>
      </c>
      <c r="E324" s="466">
        <f>ROUND(SUMIF(Data!$A:$A,"80-"&amp;LEFT($B324,4)&amp;"*-"&amp;MID(E$1,2,1)&amp;"*",Data!$P:$P),0)</f>
        <v>49750</v>
      </c>
      <c r="F324" s="466">
        <f>ROUND(SUMIF(Data!$A:$A,"80-"&amp;LEFT($B324,4)&amp;"*-"&amp;MID(F$1,2,1)&amp;"*",Data!$P:$P),0)</f>
        <v>0</v>
      </c>
      <c r="G324" s="466">
        <f>ROUND(SUMIF(Data!$A:$A,"80-"&amp;LEFT($B324,4)&amp;"*-"&amp;MID(G$1,2,1)&amp;"*",Data!$P:$P),0)</f>
        <v>0</v>
      </c>
      <c r="H324" s="466">
        <f>ROUND(SUMIF(Data!$A:$A,"80-"&amp;LEFT($B324,4)&amp;"*-"&amp;MID(H$1,2,1)&amp;"*",Data!$P:$P),0)</f>
        <v>0</v>
      </c>
      <c r="I324" s="466">
        <f>ROUND(SUMIF(Data!$A:$A,"80-"&amp;LEFT($B324,4)&amp;"*-"&amp;MID(I$1,2,1)&amp;"*",Data!$P:$P),0)</f>
        <v>0</v>
      </c>
      <c r="J324" s="466">
        <f>ROUND(SUMIF(Data!$A:$A,"80-"&amp;LEFT($B324,4)&amp;"*-"&amp;MID(J$1,2,1)&amp;"*",Data!$P:$P),0)</f>
        <v>0</v>
      </c>
      <c r="K324" s="1693">
        <f t="shared" si="24"/>
        <v>49750</v>
      </c>
      <c r="L324" s="467"/>
      <c r="M324" s="666"/>
      <c r="N324" s="666"/>
    </row>
    <row r="325" spans="1:14" s="675" customFormat="1" ht="22.5" x14ac:dyDescent="0.2">
      <c r="A325" s="1541" t="s">
        <v>1087</v>
      </c>
      <c r="B325" s="699" t="s">
        <v>305</v>
      </c>
      <c r="C325" s="466">
        <f>ROUND(SUMIF(Data!$A:$A,"80-"&amp;LEFT($B325,4)&amp;"*-"&amp;MID(C$1,2,1)&amp;"*",Data!$P:$P),0)</f>
        <v>0</v>
      </c>
      <c r="D325" s="466">
        <f>ROUND(SUMIF(Data!$A:$A,"80-"&amp;LEFT($B325,4)&amp;"*-"&amp;MID(D$1,2,1)&amp;"*",Data!$P:$P),0)</f>
        <v>0</v>
      </c>
      <c r="E325" s="466">
        <f>ROUND(SUMIF(Data!$A:$A,"80-"&amp;LEFT($B325,4)&amp;"*-"&amp;MID(E$1,2,1)&amp;"*",Data!$P:$P),0)</f>
        <v>0</v>
      </c>
      <c r="F325" s="466">
        <f>ROUND(SUMIF(Data!$A:$A,"80-"&amp;LEFT($B325,4)&amp;"*-"&amp;MID(F$1,2,1)&amp;"*",Data!$P:$P),0)</f>
        <v>0</v>
      </c>
      <c r="G325" s="466">
        <f>ROUND(SUMIF(Data!$A:$A,"80-"&amp;LEFT($B325,4)&amp;"*-"&amp;MID(G$1,2,1)&amp;"*",Data!$P:$P),0)</f>
        <v>0</v>
      </c>
      <c r="H325" s="466">
        <f>ROUND(SUMIF(Data!$A:$A,"80-"&amp;LEFT($B325,4)&amp;"*-"&amp;MID(H$1,2,1)&amp;"*",Data!$P:$P),0)</f>
        <v>0</v>
      </c>
      <c r="I325" s="466">
        <f>ROUND(SUMIF(Data!$A:$A,"80-"&amp;LEFT($B325,4)&amp;"*-"&amp;MID(I$1,2,1)&amp;"*",Data!$P:$P),0)</f>
        <v>0</v>
      </c>
      <c r="J325" s="466">
        <f>ROUND(SUMIF(Data!$A:$A,"80-"&amp;LEFT($B325,4)&amp;"*-"&amp;MID(J$1,2,1)&amp;"*",Data!$P:$P),0)</f>
        <v>0</v>
      </c>
      <c r="K325" s="1693">
        <f t="shared" si="24"/>
        <v>0</v>
      </c>
      <c r="L325" s="467"/>
      <c r="M325" s="666"/>
      <c r="N325" s="666"/>
    </row>
    <row r="326" spans="1:14" s="675" customFormat="1" x14ac:dyDescent="0.2">
      <c r="A326" s="1541" t="s">
        <v>1088</v>
      </c>
      <c r="B326" s="698" t="s">
        <v>306</v>
      </c>
      <c r="C326" s="466">
        <f>ROUND(SUMIF(Data!$A:$A,"80-"&amp;LEFT($B326,4)&amp;"*-"&amp;MID(C$1,2,1)&amp;"*",Data!$P:$P),0)</f>
        <v>0</v>
      </c>
      <c r="D326" s="466">
        <f>ROUND(SUMIF(Data!$A:$A,"80-"&amp;LEFT($B326,4)&amp;"*-"&amp;MID(D$1,2,1)&amp;"*",Data!$P:$P),0)</f>
        <v>0</v>
      </c>
      <c r="E326" s="466">
        <f>ROUND(SUMIF(Data!$A:$A,"80-"&amp;LEFT($B326,4)&amp;"*-"&amp;MID(E$1,2,1)&amp;"*",Data!$P:$P),0)</f>
        <v>0</v>
      </c>
      <c r="F326" s="466">
        <f>ROUND(SUMIF(Data!$A:$A,"80-"&amp;LEFT($B326,4)&amp;"*-"&amp;MID(F$1,2,1)&amp;"*",Data!$P:$P),0)</f>
        <v>0</v>
      </c>
      <c r="G326" s="466">
        <f>ROUND(SUMIF(Data!$A:$A,"80-"&amp;LEFT($B326,4)&amp;"*-"&amp;MID(G$1,2,1)&amp;"*",Data!$P:$P),0)</f>
        <v>0</v>
      </c>
      <c r="H326" s="466">
        <f>ROUND(SUMIF(Data!$A:$A,"80-"&amp;LEFT($B326,4)&amp;"*-"&amp;MID(H$1,2,1)&amp;"*",Data!$P:$P),0)</f>
        <v>0</v>
      </c>
      <c r="I326" s="466">
        <f>ROUND(SUMIF(Data!$A:$A,"80-"&amp;LEFT($B326,4)&amp;"*-"&amp;MID(I$1,2,1)&amp;"*",Data!$P:$P),0)</f>
        <v>0</v>
      </c>
      <c r="J326" s="466">
        <f>ROUND(SUMIF(Data!$A:$A,"80-"&amp;LEFT($B326,4)&amp;"*-"&amp;MID(J$1,2,1)&amp;"*",Data!$P:$P),0)</f>
        <v>0</v>
      </c>
      <c r="K326" s="1693">
        <f t="shared" si="24"/>
        <v>0</v>
      </c>
      <c r="L326" s="467"/>
      <c r="M326" s="666"/>
      <c r="N326" s="666"/>
    </row>
    <row r="327" spans="1:14" s="675" customFormat="1" x14ac:dyDescent="0.2">
      <c r="A327" s="1541" t="s">
        <v>1028</v>
      </c>
      <c r="B327" s="698" t="s">
        <v>307</v>
      </c>
      <c r="C327" s="466">
        <f>ROUND(SUMIF(Data!$A:$A,"80-"&amp;LEFT($B327,4)&amp;"*-"&amp;MID(C$1,2,1)&amp;"*",Data!$P:$P),0)</f>
        <v>0</v>
      </c>
      <c r="D327" s="466">
        <f>ROUND(SUMIF(Data!$A:$A,"80-"&amp;LEFT($B327,4)&amp;"*-"&amp;MID(D$1,2,1)&amp;"*",Data!$P:$P),0)</f>
        <v>0</v>
      </c>
      <c r="E327" s="466">
        <f>ROUND(SUMIF(Data!$A:$A,"80-"&amp;LEFT($B327,4)&amp;"*-"&amp;MID(E$1,2,1)&amp;"*",Data!$P:$P),0)</f>
        <v>18436</v>
      </c>
      <c r="F327" s="466">
        <f>ROUND(SUMIF(Data!$A:$A,"80-"&amp;LEFT($B327,4)&amp;"*-"&amp;MID(F$1,2,1)&amp;"*",Data!$P:$P),0)</f>
        <v>0</v>
      </c>
      <c r="G327" s="466">
        <f>ROUND(SUMIF(Data!$A:$A,"80-"&amp;LEFT($B327,4)&amp;"*-"&amp;MID(G$1,2,1)&amp;"*",Data!$P:$P),0)</f>
        <v>0</v>
      </c>
      <c r="H327" s="466">
        <f>ROUND(SUMIF(Data!$A:$A,"80-"&amp;LEFT($B327,4)&amp;"*-"&amp;MID(H$1,2,1)&amp;"*",Data!$P:$P),0)</f>
        <v>0</v>
      </c>
      <c r="I327" s="466">
        <f>ROUND(SUMIF(Data!$A:$A,"80-"&amp;LEFT($B327,4)&amp;"*-"&amp;MID(I$1,2,1)&amp;"*",Data!$P:$P),0)</f>
        <v>0</v>
      </c>
      <c r="J327" s="466">
        <f>ROUND(SUMIF(Data!$A:$A,"80-"&amp;LEFT($B327,4)&amp;"*-"&amp;MID(J$1,2,1)&amp;"*",Data!$P:$P),0)</f>
        <v>0</v>
      </c>
      <c r="K327" s="1693">
        <f t="shared" si="24"/>
        <v>18436</v>
      </c>
      <c r="L327" s="467"/>
      <c r="M327" s="666"/>
      <c r="N327" s="666"/>
    </row>
    <row r="328" spans="1:14" s="675" customFormat="1" x14ac:dyDescent="0.2">
      <c r="A328" s="1542" t="s">
        <v>492</v>
      </c>
      <c r="B328" s="691" t="s">
        <v>1194</v>
      </c>
      <c r="C328" s="466">
        <f>ROUND(SUMIF(Data!$A:$A,"80-"&amp;LEFT($B328,4)&amp;"*-"&amp;MID(C$1,2,1)&amp;"*",Data!$P:$P),0)</f>
        <v>0</v>
      </c>
      <c r="D328" s="466">
        <f>ROUND(SUMIF(Data!$A:$A,"80-"&amp;LEFT($B328,4)&amp;"*-"&amp;MID(D$1,2,1)&amp;"*",Data!$P:$P),0)</f>
        <v>0</v>
      </c>
      <c r="E328" s="466">
        <f>ROUND(SUMIF(Data!$A:$A,"80-"&amp;LEFT($B328,4)&amp;"*-"&amp;MID(E$1,2,1)&amp;"*",Data!$P:$P),0)</f>
        <v>0</v>
      </c>
      <c r="F328" s="466">
        <f>ROUND(SUMIF(Data!$A:$A,"80-"&amp;LEFT($B328,4)&amp;"*-"&amp;MID(F$1,2,1)&amp;"*",Data!$P:$P),0)</f>
        <v>0</v>
      </c>
      <c r="G328" s="466">
        <f>ROUND(SUMIF(Data!$A:$A,"80-"&amp;LEFT($B328,4)&amp;"*-"&amp;MID(G$1,2,1)&amp;"*",Data!$P:$P),0)</f>
        <v>0</v>
      </c>
      <c r="H328" s="466">
        <f>ROUND(SUMIF(Data!$A:$A,"80-"&amp;LEFT($B328,4)&amp;"*-"&amp;MID(H$1,2,1)&amp;"*",Data!$P:$P),0)</f>
        <v>0</v>
      </c>
      <c r="I328" s="466">
        <f>ROUND(SUMIF(Data!$A:$A,"80-"&amp;LEFT($B328,4)&amp;"*-"&amp;MID(I$1,2,1)&amp;"*",Data!$P:$P),0)</f>
        <v>0</v>
      </c>
      <c r="J328" s="466">
        <f>ROUND(SUMIF(Data!$A:$A,"80-"&amp;LEFT($B328,4)&amp;"*-"&amp;MID(J$1,2,1)&amp;"*",Data!$P:$P),0)</f>
        <v>0</v>
      </c>
      <c r="K328" s="1721">
        <f>SUM(C328:J328)</f>
        <v>0</v>
      </c>
      <c r="L328" s="474"/>
      <c r="M328" s="666"/>
      <c r="N328" s="666"/>
    </row>
    <row r="329" spans="1:14" s="675" customFormat="1" x14ac:dyDescent="0.2">
      <c r="A329" s="1542" t="s">
        <v>1195</v>
      </c>
      <c r="B329" s="691" t="s">
        <v>1196</v>
      </c>
      <c r="C329" s="466">
        <f>ROUND(SUMIF(Data!$A:$A,"80-"&amp;LEFT($B329,4)&amp;"*-"&amp;MID(C$1,2,1)&amp;"*",Data!$P:$P),0)</f>
        <v>0</v>
      </c>
      <c r="D329" s="466">
        <f>ROUND(SUMIF(Data!$A:$A,"80-"&amp;LEFT($B329,4)&amp;"*-"&amp;MID(D$1,2,1)&amp;"*",Data!$P:$P),0)</f>
        <v>0</v>
      </c>
      <c r="E329" s="466">
        <f>ROUND(SUMIF(Data!$A:$A,"80-"&amp;LEFT($B329,4)&amp;"*-"&amp;MID(E$1,2,1)&amp;"*",Data!$P:$P),0)</f>
        <v>0</v>
      </c>
      <c r="F329" s="466">
        <f>ROUND(SUMIF(Data!$A:$A,"80-"&amp;LEFT($B329,4)&amp;"*-"&amp;MID(F$1,2,1)&amp;"*",Data!$P:$P),0)</f>
        <v>0</v>
      </c>
      <c r="G329" s="466">
        <f>ROUND(SUMIF(Data!$A:$A,"80-"&amp;LEFT($B329,4)&amp;"*-"&amp;MID(G$1,2,1)&amp;"*",Data!$P:$P),0)</f>
        <v>0</v>
      </c>
      <c r="H329" s="466">
        <f>ROUND(SUMIF(Data!$A:$A,"80-"&amp;LEFT($B329,4)&amp;"*-"&amp;MID(H$1,2,1)&amp;"*",Data!$P:$P),0)</f>
        <v>0</v>
      </c>
      <c r="I329" s="466">
        <f>ROUND(SUMIF(Data!$A:$A,"80-"&amp;LEFT($B329,4)&amp;"*-"&amp;MID(I$1,2,1)&amp;"*",Data!$P:$P),0)</f>
        <v>0</v>
      </c>
      <c r="J329" s="466">
        <f>ROUND(SUMIF(Data!$A:$A,"80-"&amp;LEFT($B329,4)&amp;"*-"&amp;MID(J$1,2,1)&amp;"*",Data!$P:$P),0)</f>
        <v>0</v>
      </c>
      <c r="K329" s="1721">
        <f>SUM(C329:J329)</f>
        <v>0</v>
      </c>
      <c r="L329" s="467">
        <f>SUMIF(Data!$A:$A,"80-"&amp;LEFT($B329,3)&amp;"*-*",Data!$T:$T)</f>
        <v>600</v>
      </c>
      <c r="M329" s="666"/>
      <c r="N329" s="666"/>
    </row>
    <row r="330" spans="1:14" s="675" customFormat="1" ht="12.75" customHeight="1" thickBot="1" x14ac:dyDescent="0.25">
      <c r="A330" s="1722" t="s">
        <v>741</v>
      </c>
      <c r="B330" s="1691" t="s">
        <v>590</v>
      </c>
      <c r="C330" s="1692">
        <f>SUM(C319:C329)</f>
        <v>15731</v>
      </c>
      <c r="D330" s="1692">
        <f t="shared" ref="D330:J330" si="25">SUM(D319:D329)</f>
        <v>238</v>
      </c>
      <c r="E330" s="1692">
        <f t="shared" si="25"/>
        <v>92327</v>
      </c>
      <c r="F330" s="1692">
        <f t="shared" si="25"/>
        <v>0</v>
      </c>
      <c r="G330" s="1692">
        <f t="shared" si="25"/>
        <v>0</v>
      </c>
      <c r="H330" s="1692">
        <f t="shared" si="25"/>
        <v>0</v>
      </c>
      <c r="I330" s="1692">
        <f t="shared" si="25"/>
        <v>0</v>
      </c>
      <c r="J330" s="1692">
        <f t="shared" si="25"/>
        <v>0</v>
      </c>
      <c r="K330" s="1692">
        <f>SUM(K319:K329)</f>
        <v>108296</v>
      </c>
      <c r="L330" s="1692">
        <f>SUM(L319:L329)</f>
        <v>126145</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15731</v>
      </c>
      <c r="D342" s="1692">
        <f>SUM(D330)</f>
        <v>238</v>
      </c>
      <c r="E342" s="1692">
        <f>SUM(E330)</f>
        <v>92327</v>
      </c>
      <c r="F342" s="1692">
        <f>SUM(F330)</f>
        <v>0</v>
      </c>
      <c r="G342" s="1692">
        <f>SUM(G330)</f>
        <v>0</v>
      </c>
      <c r="H342" s="1692">
        <f>SUM(H330,H334,H340)</f>
        <v>0</v>
      </c>
      <c r="I342" s="1692">
        <f>SUM(I330)</f>
        <v>0</v>
      </c>
      <c r="J342" s="1692">
        <f>SUM(J330)</f>
        <v>0</v>
      </c>
      <c r="K342" s="1692">
        <f>SUM(K330,K334,K340)</f>
        <v>108296</v>
      </c>
      <c r="L342" s="1699">
        <f>SUM(L330,L340,L341)</f>
        <v>126145</v>
      </c>
    </row>
    <row r="343" spans="1:14" ht="12.75" customHeight="1" thickTop="1" x14ac:dyDescent="0.2">
      <c r="A343" s="2197" t="s">
        <v>1053</v>
      </c>
      <c r="B343" s="2198"/>
      <c r="C343" s="617"/>
      <c r="D343" s="617"/>
      <c r="E343" s="617"/>
      <c r="F343" s="617"/>
      <c r="G343" s="617"/>
      <c r="H343" s="617"/>
      <c r="I343" s="617"/>
      <c r="J343" s="617"/>
      <c r="K343" s="1706">
        <f>'Revenues 9-14'!J275-'Expenditures 15-22'!K342</f>
        <v>-44792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7" t="s">
        <v>1023</v>
      </c>
      <c r="B345" s="218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11" t="s">
        <v>1053</v>
      </c>
      <c r="B368" s="2212"/>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3" right="0.15" top="0.85"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Notes To Financial Statements</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http://purl.org/dc/terms/"/>
    <ds:schemaRef ds:uri="http://purl.org/dc/dcmitype/"/>
    <ds:schemaRef ds:uri="http://schemas.microsoft.com/office/2006/metadata/properties"/>
    <ds:schemaRef ds:uri="http://www.w3.org/XML/1998/namespace"/>
    <ds:schemaRef ds:uri="http://purl.org/dc/elements/1.1/"/>
    <ds:schemaRef ds:uri="4d435f69-8686-490b-bd6d-b153bf22ab50"/>
    <ds:schemaRef ds:uri="d21dc803-237d-4c68-8692-8d731fd29118"/>
    <ds:schemaRef ds:uri="http://schemas.microsoft.com/office/infopath/2007/PartnerControls"/>
    <ds:schemaRef ds:uri="http://schemas.openxmlformats.org/package/2006/metadata/core-properties"/>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AFR18</vt:lpstr>
      <vt:lpstr>AUDITCHECK</vt:lpstr>
      <vt:lpstr>Single Audit Cover</vt:lpstr>
      <vt:lpstr>Single Audit Checklist</vt:lpstr>
      <vt:lpstr>SEFA Reconcile</vt:lpstr>
      <vt:lpstr>SEFA NOTES</vt:lpstr>
      <vt:lpstr> SEFA</vt:lpstr>
      <vt:lpstr>SF&amp;QC Sec-1</vt:lpstr>
      <vt:lpstr>SF&amp;QC Sec-2</vt:lpstr>
      <vt:lpstr>SF&amp;QC Sec-3</vt:lpstr>
      <vt:lpstr>SSPAF</vt:lpstr>
      <vt:lpstr>Data</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2018-09-11T19:17:49Z</cp:lastPrinted>
  <dcterms:created xsi:type="dcterms:W3CDTF">2003-10-29T19:06:34Z</dcterms:created>
  <dcterms:modified xsi:type="dcterms:W3CDTF">2018-09-21T15:35:24Z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