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897"/>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E10" i="108" l="1"/>
  <c r="D20" i="18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B7719" i="106" s="1"/>
  <c r="D7719" i="106" s="1"/>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F136" i="34" s="1"/>
  <c r="C259" i="5"/>
  <c r="B7761" i="106"/>
  <c r="L127" i="29"/>
  <c r="L129" i="29" s="1"/>
  <c r="L139" i="29"/>
  <c r="L149" i="29"/>
  <c r="I7" i="145"/>
  <c r="I6" i="145"/>
  <c r="D78" i="36"/>
  <c r="K75" i="29"/>
  <c r="K130" i="29"/>
  <c r="K185" i="29"/>
  <c r="K122" i="29"/>
  <c r="K67" i="29"/>
  <c r="K64" i="29"/>
  <c r="K59" i="29"/>
  <c r="E15" i="145"/>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D1140" i="106"/>
  <c r="K73" i="29"/>
  <c r="B1142" i="106" s="1"/>
  <c r="D1142" i="106" s="1"/>
  <c r="K78" i="29"/>
  <c r="K79" i="29"/>
  <c r="B2974" i="106" s="1"/>
  <c r="D2974" i="106" s="1"/>
  <c r="K80" i="29"/>
  <c r="K81" i="29"/>
  <c r="K82" i="29"/>
  <c r="K83" i="29"/>
  <c r="K93" i="29"/>
  <c r="B6997" i="106" s="1"/>
  <c r="D6997" i="106" s="1"/>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K180" i="29"/>
  <c r="K184" i="29" s="1"/>
  <c r="F13" i="4" s="1"/>
  <c r="B2596" i="106" s="1"/>
  <c r="D2596" i="106" s="1"/>
  <c r="K188" i="29"/>
  <c r="B3007" i="106" s="1"/>
  <c r="D3007" i="106" s="1"/>
  <c r="K189" i="29"/>
  <c r="B3008" i="106" s="1"/>
  <c r="D3008" i="106" s="1"/>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K215" i="29"/>
  <c r="B3390" i="106" s="1"/>
  <c r="D3390" i="106" s="1"/>
  <c r="K216" i="29"/>
  <c r="K217" i="29"/>
  <c r="B3391" i="106" s="1"/>
  <c r="D3391" i="106" s="1"/>
  <c r="K218" i="29"/>
  <c r="F68" i="34"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B2726" i="106" s="1"/>
  <c r="D2726" i="106" s="1"/>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s="1"/>
  <c r="B6302" i="106"/>
  <c r="D6302" i="106" s="1"/>
  <c r="B6303" i="106"/>
  <c r="D6303" i="106" s="1"/>
  <c r="B6304" i="106"/>
  <c r="D6304" i="106"/>
  <c r="B6305" i="106"/>
  <c r="D6305" i="106" s="1"/>
  <c r="B6307" i="106"/>
  <c r="D6307" i="106"/>
  <c r="B6308" i="106"/>
  <c r="D6308" i="106" s="1"/>
  <c r="B6309" i="106"/>
  <c r="D6309" i="106"/>
  <c r="B6310" i="106"/>
  <c r="D6310" i="106" s="1"/>
  <c r="B6311" i="106"/>
  <c r="D6311" i="106" s="1"/>
  <c r="B6312" i="106"/>
  <c r="D6312" i="106" s="1"/>
  <c r="B6313" i="106"/>
  <c r="D6313" i="106"/>
  <c r="B6314" i="106"/>
  <c r="D6314" i="106" s="1"/>
  <c r="B6315" i="106"/>
  <c r="D6315" i="106"/>
  <c r="B6316" i="106"/>
  <c r="D6316" i="106" s="1"/>
  <c r="B6317" i="106"/>
  <c r="D6317" i="106"/>
  <c r="B6319" i="106"/>
  <c r="D6319" i="106" s="1"/>
  <c r="B6320" i="106"/>
  <c r="D6320" i="106" s="1"/>
  <c r="B6321" i="106"/>
  <c r="D6321" i="106" s="1"/>
  <c r="B6322" i="106"/>
  <c r="D6322" i="106" s="1"/>
  <c r="B6323" i="106"/>
  <c r="D6323" i="106" s="1"/>
  <c r="B6324" i="106"/>
  <c r="D6324" i="106"/>
  <c r="B6325" i="106"/>
  <c r="D6325" i="106" s="1"/>
  <c r="B6326" i="106"/>
  <c r="D6326" i="106"/>
  <c r="B6327" i="106"/>
  <c r="D6327" i="106" s="1"/>
  <c r="B6328" i="106"/>
  <c r="D6328" i="106" s="1"/>
  <c r="B6329" i="106"/>
  <c r="D6329" i="106" s="1"/>
  <c r="B6330" i="106"/>
  <c r="D6330" i="106" s="1"/>
  <c r="B6331" i="106"/>
  <c r="D6331" i="106" s="1"/>
  <c r="B6332" i="106"/>
  <c r="D6332" i="106"/>
  <c r="B6333" i="106"/>
  <c r="D6333" i="106" s="1"/>
  <c r="B6334" i="106"/>
  <c r="D6334" i="106"/>
  <c r="B6335" i="106"/>
  <c r="D6335" i="106" s="1"/>
  <c r="B6336" i="106"/>
  <c r="D6336" i="106" s="1"/>
  <c r="B6337" i="106"/>
  <c r="D6337" i="106" s="1"/>
  <c r="B6338" i="106"/>
  <c r="D6338" i="106"/>
  <c r="B6339" i="106"/>
  <c r="D6339" i="106" s="1"/>
  <c r="B6340" i="106"/>
  <c r="D6340" i="106"/>
  <c r="B6341" i="106"/>
  <c r="D6341" i="106" s="1"/>
  <c r="B6342" i="106"/>
  <c r="D6342" i="106"/>
  <c r="B6343" i="106"/>
  <c r="D6343" i="106" s="1"/>
  <c r="B6344" i="106"/>
  <c r="D6344" i="106" s="1"/>
  <c r="B6345" i="106"/>
  <c r="D6345" i="106" s="1"/>
  <c r="B6346" i="106"/>
  <c r="D6346" i="106"/>
  <c r="B6347" i="106"/>
  <c r="D6347" i="106" s="1"/>
  <c r="B6348" i="106"/>
  <c r="D6348" i="106"/>
  <c r="B6349" i="106"/>
  <c r="D6349" i="106" s="1"/>
  <c r="B6350" i="106"/>
  <c r="D6350" i="106"/>
  <c r="B6353" i="106"/>
  <c r="D6353" i="106" s="1"/>
  <c r="B6354" i="106"/>
  <c r="D6354" i="106" s="1"/>
  <c r="B6355" i="106"/>
  <c r="D6355" i="106" s="1"/>
  <c r="B6356" i="106"/>
  <c r="D6356" i="106" s="1"/>
  <c r="B6358" i="106"/>
  <c r="D6358" i="106" s="1"/>
  <c r="B6359" i="106"/>
  <c r="D6359" i="106"/>
  <c r="B6360" i="106"/>
  <c r="D6360" i="106" s="1"/>
  <c r="B6361" i="106"/>
  <c r="D6361" i="106"/>
  <c r="B6362" i="106"/>
  <c r="D6362" i="106" s="1"/>
  <c r="B6363" i="106"/>
  <c r="D6363" i="106" s="1"/>
  <c r="B6364" i="106"/>
  <c r="D6364" i="106" s="1"/>
  <c r="B6365" i="106"/>
  <c r="D6365" i="106" s="1"/>
  <c r="B6366" i="106"/>
  <c r="D6366" i="106" s="1"/>
  <c r="B6367" i="106"/>
  <c r="D6367" i="106"/>
  <c r="B6368" i="106"/>
  <c r="D6368" i="106" s="1"/>
  <c r="B6369" i="106"/>
  <c r="D6369" i="106"/>
  <c r="B6370" i="106"/>
  <c r="D6370" i="106" s="1"/>
  <c r="B6371" i="106"/>
  <c r="D6371" i="106" s="1"/>
  <c r="B6372" i="106"/>
  <c r="D6372" i="106" s="1"/>
  <c r="B6373" i="106"/>
  <c r="D6373" i="106"/>
  <c r="B6374" i="106"/>
  <c r="D6374" i="106" s="1"/>
  <c r="B6375" i="106"/>
  <c r="D6375" i="106"/>
  <c r="B6376" i="106"/>
  <c r="D6376" i="106" s="1"/>
  <c r="B6377" i="106"/>
  <c r="D6377" i="106"/>
  <c r="B6378" i="106"/>
  <c r="D6378" i="106" s="1"/>
  <c r="B6379" i="106"/>
  <c r="D6379" i="106" s="1"/>
  <c r="B6380" i="106"/>
  <c r="D6380" i="106" s="1"/>
  <c r="B6381" i="106"/>
  <c r="D6381" i="106"/>
  <c r="B6382" i="106"/>
  <c r="D6382" i="106" s="1"/>
  <c r="B6383" i="106"/>
  <c r="D6383" i="106"/>
  <c r="B6384" i="106"/>
  <c r="D6384" i="106" s="1"/>
  <c r="B6385" i="106"/>
  <c r="D6385" i="106"/>
  <c r="B6386" i="106"/>
  <c r="D6386" i="106" s="1"/>
  <c r="B6387" i="106"/>
  <c r="D6387" i="106" s="1"/>
  <c r="B6388" i="106"/>
  <c r="D6388" i="106" s="1"/>
  <c r="B6389" i="106"/>
  <c r="D6389" i="106" s="1"/>
  <c r="B6390" i="106"/>
  <c r="D6390" i="106" s="1"/>
  <c r="B6391" i="106"/>
  <c r="D6391" i="106"/>
  <c r="B6392" i="106"/>
  <c r="D6392" i="106" s="1"/>
  <c r="B6393" i="106"/>
  <c r="D6393" i="106"/>
  <c r="B6394" i="106"/>
  <c r="D6394" i="106" s="1"/>
  <c r="B6395" i="106"/>
  <c r="D6395" i="106" s="1"/>
  <c r="B6398" i="106"/>
  <c r="D6398" i="106" s="1"/>
  <c r="B6399" i="106"/>
  <c r="D6399" i="106" s="1"/>
  <c r="B6401" i="106"/>
  <c r="D6401" i="106" s="1"/>
  <c r="B6402" i="106"/>
  <c r="D6402" i="106"/>
  <c r="B6403" i="106"/>
  <c r="D6403" i="106" s="1"/>
  <c r="B6404" i="106"/>
  <c r="D6404" i="106"/>
  <c r="B6405" i="106"/>
  <c r="D6405" i="106" s="1"/>
  <c r="B6406" i="106"/>
  <c r="D6406" i="106" s="1"/>
  <c r="B6407" i="106"/>
  <c r="D6407" i="106" s="1"/>
  <c r="B6408" i="106"/>
  <c r="D6408" i="106"/>
  <c r="B6410" i="106"/>
  <c r="D6410" i="106" s="1"/>
  <c r="B6411" i="106"/>
  <c r="D6411" i="106"/>
  <c r="B6412" i="106"/>
  <c r="D6412" i="106" s="1"/>
  <c r="B6413"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c r="B6619" i="106"/>
  <c r="D6619" i="106" s="1"/>
  <c r="B6620" i="106"/>
  <c r="D6620" i="106"/>
  <c r="B6621" i="106"/>
  <c r="D6621" i="106" s="1"/>
  <c r="B6622" i="106"/>
  <c r="D6622" i="106" s="1"/>
  <c r="B6623" i="106"/>
  <c r="D6623" i="106" s="1"/>
  <c r="B6624" i="106"/>
  <c r="D6624" i="106" s="1"/>
  <c r="B6625" i="106"/>
  <c r="D6625" i="106" s="1"/>
  <c r="B6626" i="106"/>
  <c r="D6626" i="106"/>
  <c r="B6627" i="106"/>
  <c r="D6627" i="106" s="1"/>
  <c r="B6628" i="106"/>
  <c r="D6628" i="106"/>
  <c r="B6629" i="106"/>
  <c r="D6629" i="106" s="1"/>
  <c r="B6630" i="106"/>
  <c r="D6630" i="106" s="1"/>
  <c r="B6631" i="106"/>
  <c r="D6631" i="106" s="1"/>
  <c r="B6632" i="106"/>
  <c r="D6632" i="106"/>
  <c r="B6633" i="106"/>
  <c r="D6633" i="106" s="1"/>
  <c r="B6634" i="106"/>
  <c r="D6634" i="106"/>
  <c r="B6635" i="106"/>
  <c r="D6635" i="106" s="1"/>
  <c r="B6636" i="106"/>
  <c r="D6636" i="106"/>
  <c r="B6637" i="106"/>
  <c r="D6637" i="106" s="1"/>
  <c r="B6638" i="106"/>
  <c r="D6638" i="106" s="1"/>
  <c r="B6639" i="106"/>
  <c r="D6639" i="106" s="1"/>
  <c r="B6640" i="106"/>
  <c r="D6640" i="106"/>
  <c r="B6641" i="106"/>
  <c r="D6641" i="106" s="1"/>
  <c r="B6642" i="106"/>
  <c r="D6642" i="106"/>
  <c r="B6643" i="106"/>
  <c r="D6643" i="106" s="1"/>
  <c r="B6644" i="106"/>
  <c r="D6644" i="106"/>
  <c r="B6645" i="106"/>
  <c r="D6645" i="106" s="1"/>
  <c r="B6646" i="106"/>
  <c r="D6646" i="106" s="1"/>
  <c r="B6647" i="106"/>
  <c r="D6647" i="106" s="1"/>
  <c r="B6648" i="106"/>
  <c r="D6648" i="106" s="1"/>
  <c r="B6649" i="106"/>
  <c r="D6649" i="106" s="1"/>
  <c r="B6650" i="106"/>
  <c r="D6650" i="106"/>
  <c r="B6651" i="106"/>
  <c r="D6651" i="106" s="1"/>
  <c r="B6652" i="106"/>
  <c r="D6652" i="106"/>
  <c r="B6653" i="106"/>
  <c r="D6653" i="106" s="1"/>
  <c r="B6654" i="106"/>
  <c r="D6654" i="106" s="1"/>
  <c r="B6655" i="106"/>
  <c r="D6655" i="106" s="1"/>
  <c r="B6656" i="106"/>
  <c r="D6656" i="106" s="1"/>
  <c r="B6657" i="106"/>
  <c r="D6657" i="106" s="1"/>
  <c r="B6658" i="106"/>
  <c r="D6658" i="106"/>
  <c r="B6659" i="106"/>
  <c r="D6659" i="106" s="1"/>
  <c r="B6660" i="106"/>
  <c r="D6660" i="106"/>
  <c r="B6661" i="106"/>
  <c r="D6661" i="106" s="1"/>
  <c r="B6662" i="106"/>
  <c r="D6662" i="106" s="1"/>
  <c r="B6663" i="106"/>
  <c r="D6663" i="106" s="1"/>
  <c r="B6664" i="106"/>
  <c r="D6664" i="106"/>
  <c r="B6665" i="106"/>
  <c r="D6665" i="106" s="1"/>
  <c r="B6666" i="106"/>
  <c r="D6666" i="106"/>
  <c r="B6667" i="106"/>
  <c r="D6667" i="106" s="1"/>
  <c r="B6668" i="106"/>
  <c r="D6668" i="106"/>
  <c r="B6669" i="106"/>
  <c r="D6669" i="106" s="1"/>
  <c r="B6670" i="106"/>
  <c r="D6670" i="106" s="1"/>
  <c r="B6671" i="106"/>
  <c r="D6671" i="106" s="1"/>
  <c r="B6672" i="106"/>
  <c r="D6672" i="106"/>
  <c r="B6673" i="106"/>
  <c r="D6673" i="106" s="1"/>
  <c r="B6674" i="106"/>
  <c r="D6674" i="106"/>
  <c r="B6675" i="106"/>
  <c r="D6675" i="106" s="1"/>
  <c r="B6676" i="106"/>
  <c r="D6676" i="106"/>
  <c r="B6677" i="106"/>
  <c r="D6677" i="106" s="1"/>
  <c r="B6678" i="106"/>
  <c r="D6678" i="106" s="1"/>
  <c r="B6679" i="106"/>
  <c r="D6679" i="106" s="1"/>
  <c r="B6680" i="106"/>
  <c r="D6680" i="106" s="1"/>
  <c r="B6681" i="106"/>
  <c r="D6681" i="106" s="1"/>
  <c r="B6682" i="106"/>
  <c r="D6682" i="106"/>
  <c r="B6683" i="106"/>
  <c r="D6683" i="106" s="1"/>
  <c r="B6684" i="106"/>
  <c r="D6684" i="106"/>
  <c r="B6685" i="106"/>
  <c r="D6685" i="106" s="1"/>
  <c r="B6686" i="106"/>
  <c r="D6686" i="106" s="1"/>
  <c r="B6687" i="106"/>
  <c r="D6687" i="106" s="1"/>
  <c r="B6688" i="106"/>
  <c r="D6688" i="106" s="1"/>
  <c r="B6689" i="106"/>
  <c r="D6689" i="106" s="1"/>
  <c r="B6690" i="106"/>
  <c r="D6690" i="106"/>
  <c r="B6691" i="106"/>
  <c r="D6691" i="106" s="1"/>
  <c r="B6692" i="106"/>
  <c r="D6692" i="106"/>
  <c r="B6693" i="106"/>
  <c r="D6693" i="106" s="1"/>
  <c r="B6694" i="106"/>
  <c r="D6694" i="106" s="1"/>
  <c r="B6695" i="106"/>
  <c r="D6695" i="106" s="1"/>
  <c r="B6696" i="106"/>
  <c r="D6696" i="106"/>
  <c r="B6697" i="106"/>
  <c r="D6697" i="106" s="1"/>
  <c r="B6698" i="106"/>
  <c r="D6698" i="106"/>
  <c r="B6699" i="106"/>
  <c r="D6699" i="106" s="1"/>
  <c r="B6700" i="106"/>
  <c r="D6700" i="106"/>
  <c r="B6701" i="106"/>
  <c r="D6701" i="106" s="1"/>
  <c r="B6702" i="106"/>
  <c r="D6702" i="106" s="1"/>
  <c r="B6703" i="106"/>
  <c r="D6703" i="106" s="1"/>
  <c r="B6704" i="106"/>
  <c r="D6704" i="106"/>
  <c r="B6705" i="106"/>
  <c r="D6705" i="106" s="1"/>
  <c r="B6706" i="106"/>
  <c r="D6706" i="106"/>
  <c r="B6707" i="106"/>
  <c r="D6707" i="106" s="1"/>
  <c r="B6708" i="106"/>
  <c r="D6708" i="106"/>
  <c r="B6709" i="106"/>
  <c r="D6709" i="106" s="1"/>
  <c r="B6710" i="106"/>
  <c r="D6710" i="106" s="1"/>
  <c r="B6711" i="106"/>
  <c r="D6711" i="106" s="1"/>
  <c r="B6712" i="106"/>
  <c r="D6712" i="106" s="1"/>
  <c r="B6713" i="106"/>
  <c r="D6713" i="106" s="1"/>
  <c r="B6714" i="106"/>
  <c r="D6714" i="106"/>
  <c r="B6715" i="106"/>
  <c r="D6715" i="106" s="1"/>
  <c r="B6716" i="106"/>
  <c r="D6716" i="106"/>
  <c r="B6717" i="106"/>
  <c r="D6717" i="106" s="1"/>
  <c r="B6718" i="106"/>
  <c r="D6718" i="106" s="1"/>
  <c r="B6719" i="106"/>
  <c r="D6719" i="106" s="1"/>
  <c r="B6720" i="106"/>
  <c r="D6720" i="106" s="1"/>
  <c r="B6721" i="106"/>
  <c r="D6721" i="106" s="1"/>
  <c r="B6722" i="106"/>
  <c r="D6722" i="106"/>
  <c r="B6723" i="106"/>
  <c r="D6723" i="106" s="1"/>
  <c r="B6724" i="106"/>
  <c r="D6724" i="106"/>
  <c r="B6725" i="106"/>
  <c r="D6725" i="106" s="1"/>
  <c r="B6726" i="106"/>
  <c r="D6726" i="106" s="1"/>
  <c r="B6727" i="106"/>
  <c r="D6727" i="106" s="1"/>
  <c r="B6728" i="106"/>
  <c r="D6728" i="106" s="1"/>
  <c r="B6729" i="106"/>
  <c r="D6729" i="106" s="1"/>
  <c r="B6730" i="106"/>
  <c r="D6730" i="106" s="1"/>
  <c r="B6731" i="106"/>
  <c r="D6731" i="106"/>
  <c r="B6732" i="106"/>
  <c r="D6732" i="106" s="1"/>
  <c r="B6733" i="106"/>
  <c r="D6733" i="106"/>
  <c r="B6734" i="106"/>
  <c r="D6734" i="106" s="1"/>
  <c r="B6735" i="106"/>
  <c r="D6735" i="106"/>
  <c r="B6736" i="106"/>
  <c r="D6736" i="106" s="1"/>
  <c r="B6737" i="106"/>
  <c r="D6737" i="106" s="1"/>
  <c r="B6738" i="106"/>
  <c r="D6738" i="106" s="1"/>
  <c r="B6739" i="106"/>
  <c r="D6739" i="106" s="1"/>
  <c r="B6740" i="106"/>
  <c r="D6740" i="106" s="1"/>
  <c r="B6741" i="106"/>
  <c r="D6741" i="106"/>
  <c r="B6742" i="106"/>
  <c r="D6742" i="106" s="1"/>
  <c r="B6743" i="106"/>
  <c r="D6743" i="106"/>
  <c r="B6744" i="106"/>
  <c r="D6744" i="106" s="1"/>
  <c r="B6745" i="106"/>
  <c r="D6745" i="106" s="1"/>
  <c r="B6746" i="106"/>
  <c r="D6746" i="106" s="1"/>
  <c r="B6747" i="106"/>
  <c r="D6747" i="106" s="1"/>
  <c r="B6748" i="106"/>
  <c r="D6748" i="106" s="1"/>
  <c r="B6749" i="106"/>
  <c r="D6749" i="106"/>
  <c r="B6750" i="106"/>
  <c r="D6750" i="106" s="1"/>
  <c r="B6751" i="106"/>
  <c r="D6751" i="106"/>
  <c r="B6752" i="106"/>
  <c r="D6752" i="106" s="1"/>
  <c r="B6753" i="106"/>
  <c r="D6753" i="106" s="1"/>
  <c r="B6754" i="106"/>
  <c r="D6754" i="106" s="1"/>
  <c r="B6755" i="106"/>
  <c r="D6755" i="106"/>
  <c r="B6756" i="106"/>
  <c r="D6756" i="106" s="1"/>
  <c r="B6757" i="106"/>
  <c r="D6757" i="106"/>
  <c r="B6758" i="106"/>
  <c r="D6758" i="106" s="1"/>
  <c r="B6759" i="106"/>
  <c r="D6759" i="106"/>
  <c r="B6760" i="106"/>
  <c r="D6760" i="106" s="1"/>
  <c r="B6761" i="106"/>
  <c r="D6761" i="106" s="1"/>
  <c r="B6762" i="106"/>
  <c r="D6762" i="106" s="1"/>
  <c r="B6763" i="106"/>
  <c r="D6763" i="106"/>
  <c r="B6764" i="106"/>
  <c r="D6764" i="106" s="1"/>
  <c r="B6765" i="106"/>
  <c r="D6765" i="106"/>
  <c r="B6766" i="106"/>
  <c r="D6766" i="106" s="1"/>
  <c r="B6767" i="106"/>
  <c r="D6767" i="106"/>
  <c r="B6768" i="106"/>
  <c r="D6768" i="106" s="1"/>
  <c r="B6769" i="106"/>
  <c r="D6769" i="106" s="1"/>
  <c r="B6770" i="106"/>
  <c r="D6770" i="106" s="1"/>
  <c r="B6771" i="106"/>
  <c r="D6771" i="106" s="1"/>
  <c r="B6772" i="106"/>
  <c r="D6772" i="106" s="1"/>
  <c r="B6773" i="106"/>
  <c r="D6773" i="106"/>
  <c r="B6774" i="106"/>
  <c r="D6774" i="106" s="1"/>
  <c r="B6775" i="106"/>
  <c r="D6775" i="106"/>
  <c r="B6776" i="106"/>
  <c r="D6776" i="106" s="1"/>
  <c r="B6777" i="106"/>
  <c r="D6777" i="106" s="1"/>
  <c r="B6778" i="106"/>
  <c r="D6778" i="106" s="1"/>
  <c r="B6779" i="106"/>
  <c r="D6779" i="106" s="1"/>
  <c r="B6780" i="106"/>
  <c r="D6780" i="106" s="1"/>
  <c r="B6781" i="106"/>
  <c r="D6781" i="106"/>
  <c r="B6782" i="106"/>
  <c r="D6782" i="106" s="1"/>
  <c r="B6783" i="106"/>
  <c r="D6783" i="106"/>
  <c r="B6784" i="106"/>
  <c r="D6784" i="106" s="1"/>
  <c r="B6785" i="106"/>
  <c r="D6785" i="106" s="1"/>
  <c r="B6786" i="106"/>
  <c r="D6786" i="106" s="1"/>
  <c r="B6787" i="106"/>
  <c r="D6787" i="106"/>
  <c r="B6788" i="106"/>
  <c r="D6788" i="106" s="1"/>
  <c r="B6789" i="106"/>
  <c r="D6789" i="106"/>
  <c r="B6790" i="106"/>
  <c r="D6790" i="106" s="1"/>
  <c r="B6791" i="106"/>
  <c r="D6791" i="106"/>
  <c r="B6792" i="106"/>
  <c r="D6792" i="106" s="1"/>
  <c r="B6793" i="106"/>
  <c r="D6793" i="106" s="1"/>
  <c r="B6794" i="106"/>
  <c r="D6794" i="106" s="1"/>
  <c r="B6795" i="106"/>
  <c r="D6795" i="106"/>
  <c r="B6796" i="106"/>
  <c r="D6796" i="106" s="1"/>
  <c r="B6797" i="106"/>
  <c r="D6797" i="106"/>
  <c r="B6798" i="106"/>
  <c r="D6798" i="106" s="1"/>
  <c r="B6799" i="106"/>
  <c r="D6799" i="106"/>
  <c r="B6800" i="106"/>
  <c r="D6800" i="106" s="1"/>
  <c r="B6801" i="106"/>
  <c r="D6801" i="106" s="1"/>
  <c r="B6802" i="106"/>
  <c r="D6802" i="106" s="1"/>
  <c r="B6803" i="106"/>
  <c r="D6803" i="106" s="1"/>
  <c r="B6804" i="106"/>
  <c r="D6804" i="106" s="1"/>
  <c r="B6805" i="106"/>
  <c r="D6805" i="106"/>
  <c r="B6806" i="106"/>
  <c r="D6806" i="106" s="1"/>
  <c r="B6807" i="106"/>
  <c r="D6807" i="106"/>
  <c r="B6808" i="106"/>
  <c r="D6808" i="106" s="1"/>
  <c r="B6809" i="106"/>
  <c r="D6809" i="106" s="1"/>
  <c r="B6810" i="106"/>
  <c r="D6810" i="106" s="1"/>
  <c r="B6811" i="106"/>
  <c r="D6811" i="106" s="1"/>
  <c r="B6812" i="106"/>
  <c r="D6812" i="106" s="1"/>
  <c r="B6813" i="106"/>
  <c r="D6813" i="106"/>
  <c r="B6814" i="106"/>
  <c r="D6814" i="106" s="1"/>
  <c r="B6815" i="106"/>
  <c r="D6815" i="106"/>
  <c r="B6816" i="106"/>
  <c r="D6816" i="106" s="1"/>
  <c r="B6817" i="106"/>
  <c r="D6817" i="106" s="1"/>
  <c r="B6818" i="106"/>
  <c r="D6818" i="106" s="1"/>
  <c r="B6819" i="106"/>
  <c r="D6819" i="106"/>
  <c r="B6820" i="106"/>
  <c r="D6820" i="106" s="1"/>
  <c r="B6821" i="106"/>
  <c r="D6821" i="106"/>
  <c r="B6822" i="106"/>
  <c r="D6822" i="106" s="1"/>
  <c r="B6823" i="106"/>
  <c r="D6823" i="106"/>
  <c r="B6824" i="106"/>
  <c r="D6824" i="106" s="1"/>
  <c r="B6825" i="106"/>
  <c r="D6825" i="106" s="1"/>
  <c r="B6826" i="106"/>
  <c r="D6826" i="106" s="1"/>
  <c r="B6827" i="106"/>
  <c r="D6827" i="106"/>
  <c r="B6828" i="106"/>
  <c r="D6828" i="106" s="1"/>
  <c r="B6829" i="106"/>
  <c r="D6829" i="106"/>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69" i="36"/>
  <c r="D71" i="36"/>
  <c r="D72" i="36"/>
  <c r="D79" i="36"/>
  <c r="B64" i="127"/>
  <c r="B65" i="127"/>
  <c r="D27" i="108"/>
  <c r="E27" i="108"/>
  <c r="F27" i="108"/>
  <c r="G27" i="108"/>
  <c r="F31" i="108"/>
  <c r="F36" i="108"/>
  <c r="G28" i="108"/>
  <c r="G29" i="108"/>
  <c r="E30" i="108"/>
  <c r="D31" i="108"/>
  <c r="D36" i="108"/>
  <c r="D37" i="108"/>
  <c r="E31" i="108"/>
  <c r="G31" i="108"/>
  <c r="E33" i="108"/>
  <c r="G33"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C38" i="34"/>
  <c r="D38" i="34"/>
  <c r="F38" i="34"/>
  <c r="C39" i="34"/>
  <c r="D39" i="34"/>
  <c r="C40" i="34"/>
  <c r="D40" i="34"/>
  <c r="C41" i="34"/>
  <c r="D41" i="34"/>
  <c r="F41" i="34"/>
  <c r="C42" i="34"/>
  <c r="D42" i="34"/>
  <c r="F42" i="34"/>
  <c r="C43" i="34"/>
  <c r="D43" i="34"/>
  <c r="C44" i="34"/>
  <c r="D44" i="34"/>
  <c r="F44" i="34"/>
  <c r="C45" i="34"/>
  <c r="D45" i="34"/>
  <c r="F45" i="34"/>
  <c r="C46" i="34"/>
  <c r="D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c r="D5161" i="106" s="1"/>
  <c r="D140" i="5"/>
  <c r="B5383" i="106" s="1"/>
  <c r="D5383" i="106" s="1"/>
  <c r="G140" i="5"/>
  <c r="G144" i="5"/>
  <c r="B5756" i="106" s="1"/>
  <c r="D5756" i="106" s="1"/>
  <c r="G154" i="5"/>
  <c r="B4357" i="106" s="1"/>
  <c r="D4357" i="106" s="1"/>
  <c r="C144" i="5"/>
  <c r="B5165" i="106"/>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c r="D4412" i="106" s="1"/>
  <c r="F216" i="5"/>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I274" i="5"/>
  <c r="D5" i="4"/>
  <c r="B3406" i="106" s="1"/>
  <c r="D3406" i="106" s="1"/>
  <c r="C14" i="4"/>
  <c r="B2558" i="106" s="1"/>
  <c r="D2558" i="106" s="1"/>
  <c r="D14" i="4"/>
  <c r="B2570" i="106" s="1"/>
  <c r="D2570" i="106" s="1"/>
  <c r="B2633" i="106"/>
  <c r="D2633" i="106" s="1"/>
  <c r="N22" i="3"/>
  <c r="B283" i="106" s="1"/>
  <c r="D283" i="106" s="1"/>
  <c r="D7" i="118"/>
  <c r="D8" i="118"/>
  <c r="D9" i="118"/>
  <c r="H14" i="118"/>
  <c r="H19" i="118"/>
  <c r="H24" i="118"/>
  <c r="H28" i="118"/>
  <c r="D22" i="37"/>
  <c r="J22" i="37"/>
  <c r="L22" i="37"/>
  <c r="D24" i="37"/>
  <c r="B4270" i="106" s="1"/>
  <c r="D4270" i="106" s="1"/>
  <c r="L5" i="11"/>
  <c r="B2056" i="106" s="1"/>
  <c r="D2056" i="106" s="1"/>
  <c r="D5" i="7"/>
  <c r="B1761" i="106" s="1"/>
  <c r="D1761" i="106" s="1"/>
  <c r="D9" i="7"/>
  <c r="B1767" i="106" s="1"/>
  <c r="D1767" i="106" s="1"/>
  <c r="B5847" i="106"/>
  <c r="D5847" i="106" s="1"/>
  <c r="B5752" i="106"/>
  <c r="D5752" i="106" s="1"/>
  <c r="K274" i="5"/>
  <c r="F106" i="34"/>
  <c r="B1746" i="106"/>
  <c r="D1746" i="106" s="1"/>
  <c r="K285" i="29" l="1"/>
  <c r="B3723" i="106"/>
  <c r="D3723" i="106" s="1"/>
  <c r="B1473" i="106"/>
  <c r="D1473" i="106" s="1"/>
  <c r="F71" i="34"/>
  <c r="B1308" i="106"/>
  <c r="D1308" i="106" s="1"/>
  <c r="E174" i="29"/>
  <c r="B1309" i="106" s="1"/>
  <c r="D1309" i="106" s="1"/>
  <c r="H173" i="5"/>
  <c r="B5906" i="106" s="1"/>
  <c r="D5906" i="106" s="1"/>
  <c r="E29" i="108"/>
  <c r="B1364" i="106"/>
  <c r="D1364" i="106" s="1"/>
  <c r="G210" i="29"/>
  <c r="B1139" i="106"/>
  <c r="D1139" i="106" s="1"/>
  <c r="F37" i="108"/>
  <c r="E34" i="108"/>
  <c r="G34" i="108"/>
  <c r="B1126" i="106"/>
  <c r="D1126" i="106" s="1"/>
  <c r="F26" i="108"/>
  <c r="F41" i="108" s="1"/>
  <c r="G43" i="108" s="1"/>
  <c r="F62" i="34"/>
  <c r="F14" i="4"/>
  <c r="B2597" i="106" s="1"/>
  <c r="D2597" i="106" s="1"/>
  <c r="D17" i="7"/>
  <c r="B4104" i="106" s="1"/>
  <c r="D4104" i="106" s="1"/>
  <c r="F127" i="34"/>
  <c r="D4" i="7"/>
  <c r="B1760" i="106" s="1"/>
  <c r="D1760" i="106" s="1"/>
  <c r="G35" i="108"/>
  <c r="D26" i="108"/>
  <c r="B6891" i="106"/>
  <c r="D6891" i="106" s="1"/>
  <c r="F46" i="34"/>
  <c r="B6238" i="106"/>
  <c r="D6238" i="106" s="1"/>
  <c r="J77" i="4"/>
  <c r="B6262" i="106" s="1"/>
  <c r="D6262" i="106" s="1"/>
  <c r="H44" i="4"/>
  <c r="H77" i="4" s="1"/>
  <c r="B3299" i="106" s="1"/>
  <c r="D3299" i="106" s="1"/>
  <c r="B6289" i="106"/>
  <c r="D6289" i="106" s="1"/>
  <c r="B3170" i="106"/>
  <c r="D3170" i="106" s="1"/>
  <c r="H76" i="4"/>
  <c r="B3298" i="106" s="1"/>
  <c r="D3298" i="106" s="1"/>
  <c r="B1380" i="106"/>
  <c r="D1380" i="106" s="1"/>
  <c r="E38" i="108"/>
  <c r="G38" i="108"/>
  <c r="F15" i="145"/>
  <c r="F19" i="145" s="1"/>
  <c r="G26" i="108"/>
  <c r="D12" i="7"/>
  <c r="B1769" i="106" s="1"/>
  <c r="D1769" i="106" s="1"/>
  <c r="E26" i="108"/>
  <c r="I342" i="29"/>
  <c r="B7222" i="106" s="1"/>
  <c r="D7222" i="106" s="1"/>
  <c r="B1274" i="106"/>
  <c r="D1274" i="106" s="1"/>
  <c r="F131" i="34"/>
  <c r="B4413" i="106"/>
  <c r="D4413" i="106" s="1"/>
  <c r="G172" i="5"/>
  <c r="G173" i="5" s="1"/>
  <c r="B5778" i="106" s="1"/>
  <c r="D5778" i="106" s="1"/>
  <c r="F172" i="5"/>
  <c r="B5644" i="106" s="1"/>
  <c r="D5644" i="106" s="1"/>
  <c r="E35" i="108"/>
  <c r="G352" i="29"/>
  <c r="B3454" i="106"/>
  <c r="D3454" i="106" s="1"/>
  <c r="L15" i="11"/>
  <c r="B3459" i="106" s="1"/>
  <c r="D3459" i="106" s="1"/>
  <c r="L13" i="11"/>
  <c r="B2060" i="106" s="1"/>
  <c r="D2060" i="106" s="1"/>
  <c r="B1996" i="106"/>
  <c r="D1996" i="106" s="1"/>
  <c r="I26" i="12"/>
  <c r="B7741" i="106" s="1"/>
  <c r="D7741" i="106" s="1"/>
  <c r="B1511" i="106"/>
  <c r="D1511" i="106" s="1"/>
  <c r="G14" i="4"/>
  <c r="B2609" i="106" s="1"/>
  <c r="D2609" i="106" s="1"/>
  <c r="B1104" i="106"/>
  <c r="D1104" i="106" s="1"/>
  <c r="F37" i="34"/>
  <c r="J274" i="5"/>
  <c r="B7054" i="106" s="1"/>
  <c r="D7054" i="106" s="1"/>
  <c r="L312" i="29"/>
  <c r="D6103" i="106"/>
  <c r="D15" i="7"/>
  <c r="B1772" i="106" s="1"/>
  <c r="D1772" i="106" s="1"/>
  <c r="F111" i="34"/>
  <c r="I173" i="5"/>
  <c r="B4216" i="106" s="1"/>
  <c r="D4216" i="106" s="1"/>
  <c r="L367" i="29"/>
  <c r="D11" i="7"/>
  <c r="B1768" i="106" s="1"/>
  <c r="D1768" i="106" s="1"/>
  <c r="D109" i="5"/>
  <c r="B5356" i="106" s="1"/>
  <c r="D5356" i="106" s="1"/>
  <c r="B7041" i="106"/>
  <c r="D7041" i="106" s="1"/>
  <c r="H6" i="4"/>
  <c r="B2656" i="106" s="1"/>
  <c r="D2656" i="106" s="1"/>
  <c r="H109" i="5"/>
  <c r="D13" i="7"/>
  <c r="B3726" i="106" s="1"/>
  <c r="D3726" i="106" s="1"/>
  <c r="G5" i="4"/>
  <c r="B3409" i="106" s="1"/>
  <c r="D3409" i="106" s="1"/>
  <c r="E109" i="5"/>
  <c r="E4" i="4" s="1"/>
  <c r="B2630" i="106" s="1"/>
  <c r="D2630" i="106" s="1"/>
  <c r="F94" i="34"/>
  <c r="B7235" i="106"/>
  <c r="D7235" i="106" s="1"/>
  <c r="C342" i="29"/>
  <c r="B7216" i="106" s="1"/>
  <c r="D7216" i="106" s="1"/>
  <c r="B3621" i="106"/>
  <c r="D3621" i="106" s="1"/>
  <c r="C367" i="29"/>
  <c r="C129" i="29"/>
  <c r="C151" i="29" s="1"/>
  <c r="B1226" i="106" s="1"/>
  <c r="D1226" i="106" s="1"/>
  <c r="K24" i="12"/>
  <c r="H365" i="29"/>
  <c r="K76" i="4"/>
  <c r="B3586" i="106" s="1"/>
  <c r="D3586" i="106" s="1"/>
  <c r="F21" i="8"/>
  <c r="B3649" i="106"/>
  <c r="D3649" i="106" s="1"/>
  <c r="G367" i="29"/>
  <c r="B3650" i="106" s="1"/>
  <c r="D3650" i="106" s="1"/>
  <c r="F77" i="4"/>
  <c r="B3255" i="106" s="1"/>
  <c r="D3255" i="106" s="1"/>
  <c r="K350" i="29"/>
  <c r="H33" i="118"/>
  <c r="F19" i="7"/>
  <c r="B1807" i="106" s="1"/>
  <c r="D1807" i="106" s="1"/>
  <c r="B3449" i="106"/>
  <c r="D3449" i="106" s="1"/>
  <c r="L342" i="29"/>
  <c r="B1410" i="106"/>
  <c r="D1410" i="106" s="1"/>
  <c r="B1329" i="106"/>
  <c r="D1329" i="106" s="1"/>
  <c r="F61" i="34"/>
  <c r="F28" i="108"/>
  <c r="E28" i="108"/>
  <c r="G30" i="108"/>
  <c r="F130" i="34"/>
  <c r="F128" i="34"/>
  <c r="C172" i="5"/>
  <c r="C109" i="5"/>
  <c r="B5121" i="106" s="1"/>
  <c r="D5121" i="106" s="1"/>
  <c r="G4" i="4"/>
  <c r="B2603" i="106" s="1"/>
  <c r="D2603" i="106" s="1"/>
  <c r="D7" i="7"/>
  <c r="B1763" i="106" s="1"/>
  <c r="D1763" i="106" s="1"/>
  <c r="D54" i="36"/>
  <c r="B4268" i="106"/>
  <c r="D4268" i="106" s="1"/>
  <c r="H29" i="118"/>
  <c r="K28" i="118" s="1"/>
  <c r="O27" i="118" s="1"/>
  <c r="O29" i="118" s="1"/>
  <c r="D31"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2" i="106"/>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D274" i="5"/>
  <c r="B3447" i="106"/>
  <c r="D3447" i="106" s="1"/>
  <c r="B7270" i="106"/>
  <c r="G15" i="145" l="1"/>
  <c r="B5527" i="106"/>
  <c r="D5527" i="106" s="1"/>
  <c r="D44" i="36"/>
  <c r="B5770" i="106"/>
  <c r="D5770" i="106" s="1"/>
  <c r="B1365" i="106"/>
  <c r="D1365" i="106" s="1"/>
  <c r="F65" i="34"/>
  <c r="B1328" i="106"/>
  <c r="D1328" i="106" s="1"/>
  <c r="B3628" i="106"/>
  <c r="D3628" i="106" s="1"/>
  <c r="F73" i="34"/>
  <c r="G15" i="4"/>
  <c r="B6032" i="106" s="1"/>
  <c r="D6032" i="106" s="1"/>
  <c r="B3670" i="106"/>
  <c r="D3670" i="106" s="1"/>
  <c r="K352" i="29"/>
  <c r="D7254" i="106"/>
  <c r="D7250" i="106"/>
  <c r="F274" i="5"/>
  <c r="F275" i="5" s="1"/>
  <c r="B5720" i="106" s="1"/>
  <c r="D5720" i="106" s="1"/>
  <c r="B1225" i="106"/>
  <c r="D1225" i="106" s="1"/>
  <c r="B7733" i="106"/>
  <c r="D7733" i="106" s="1"/>
  <c r="K26" i="12"/>
  <c r="B7743" i="106" s="1"/>
  <c r="D7743" i="106" s="1"/>
  <c r="D7256" i="106"/>
  <c r="D7251" i="106"/>
  <c r="B6025" i="106"/>
  <c r="D6025" i="106" s="1"/>
  <c r="H4" i="4"/>
  <c r="B1879" i="106"/>
  <c r="D1879" i="106" s="1"/>
  <c r="H22" i="37"/>
  <c r="K365" i="29"/>
  <c r="D7253" i="106"/>
  <c r="D4" i="4"/>
  <c r="B2564" i="106" s="1"/>
  <c r="D2564" i="106" s="1"/>
  <c r="H367" i="29"/>
  <c r="B3660" i="106" s="1"/>
  <c r="D3660" i="106" s="1"/>
  <c r="B7242" i="106"/>
  <c r="D7242" i="106" s="1"/>
  <c r="L16" i="11"/>
  <c r="B2061" i="106" s="1"/>
  <c r="D2061" i="106" s="1"/>
  <c r="K342" i="29"/>
  <c r="F13" i="34" s="1"/>
  <c r="B1317" i="106"/>
  <c r="D1317" i="106" s="1"/>
  <c r="C114" i="29"/>
  <c r="B757" i="106" s="1"/>
  <c r="D757" i="106" s="1"/>
  <c r="B5214" i="106"/>
  <c r="D5214" i="106" s="1"/>
  <c r="C173" i="5"/>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D275" i="5"/>
  <c r="B5507" i="106"/>
  <c r="D5507" i="106" s="1"/>
  <c r="B7298" i="106"/>
  <c r="B7299" i="106"/>
  <c r="F7" i="4" l="1"/>
  <c r="B2594" i="106" s="1"/>
  <c r="D2594" i="106" s="1"/>
  <c r="F24" i="37"/>
  <c r="B5719" i="106"/>
  <c r="D5719" i="106" s="1"/>
  <c r="K367" i="29"/>
  <c r="B3678" i="106" s="1"/>
  <c r="D3678" i="106" s="1"/>
  <c r="B2655" i="106"/>
  <c r="D2655" i="106" s="1"/>
  <c r="H8" i="4"/>
  <c r="K13" i="4"/>
  <c r="B3572" i="106" s="1"/>
  <c r="D3572" i="106" s="1"/>
  <c r="B3672" i="106"/>
  <c r="D3672" i="106" s="1"/>
  <c r="J17" i="4"/>
  <c r="E41" i="108"/>
  <c r="E44" i="108" s="1"/>
  <c r="E45" i="108" s="1"/>
  <c r="G41" i="108"/>
  <c r="G44" i="108" s="1"/>
  <c r="G45" i="108" s="1"/>
  <c r="B5223" i="106"/>
  <c r="D5223" i="106" s="1"/>
  <c r="C6" i="4"/>
  <c r="B2553" i="106" s="1"/>
  <c r="D2553" i="106" s="1"/>
  <c r="J8" i="4"/>
  <c r="F8" i="4"/>
  <c r="D8" i="14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F10" i="4" l="1"/>
  <c r="B4125" i="106" s="1"/>
  <c r="D4125" i="106" s="1"/>
  <c r="B2658" i="106"/>
  <c r="D2658" i="106" s="1"/>
  <c r="H10" i="4"/>
  <c r="B4127" i="106" s="1"/>
  <c r="D4127" i="106" s="1"/>
  <c r="J20" i="4"/>
  <c r="J78" i="4" s="1"/>
  <c r="J19" i="4"/>
  <c r="B6229" i="106" s="1"/>
  <c r="D6229"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B6230" i="106" l="1"/>
  <c r="D623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<sst xmlns="http://schemas.openxmlformats.org/spreadsheetml/2006/main" count="5049" uniqueCount="2114">
  <si>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</si>
  <si>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</si>
  <si>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</si>
  <si>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</si>
  <si>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</si>
  <si>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</si>
  <si>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</si>
  <si>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</si>
  <si>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</si>
  <si>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</si>
  <si>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</si>
  <si>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</si>
  <si>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</si>
  <si>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</si>
  <si>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</si>
  <si>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</si>
  <si>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</si>
  <si>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</si>
  <si>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</si>
  <si>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</si>
  <si>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</si>
  <si>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</si>
  <si>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</si>
  <si>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</si>
  <si>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</si>
  <si>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</si>
  <si>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</si>
  <si>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</si>
  <si>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</si>
  <si>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</si>
  <si>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</si>
  <si>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</si>
  <si>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</si>
  <si>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</si>
  <si>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</si>
  <si>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</si>
  <si>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</si>
  <si>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</si>
  <si>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</si>
  <si>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</si>
  <si>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</si>
  <si>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</si>
  <si>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</si>
  <si>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</si>
  <si>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</si>
  <si>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</si>
  <si>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</si>
  <si>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</si>
  <si>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</si>
  <si>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</si>
  <si>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</si>
  <si>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</si>
  <si>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</si>
  <si>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</si>
  <si>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</si>
  <si>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</si>
  <si>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</si>
  <si>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</si>
  <si>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</si>
  <si>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</si>
  <si>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</si>
  <si>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</si>
  <si>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</si>
  <si>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</si>
  <si>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</si>
  <si>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</si>
  <si>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</si>
  <si>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</si>
  <si>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</si>
  <si>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</si>
  <si>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</si>
  <si>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</si>
  <si>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</si>
  <si>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</si>
  <si>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</si>
  <si>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</si>
  <si>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</si>
  <si>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</si>
  <si>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</si>
  <si>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</si>
  <si>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</si>
  <si>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</si>
  <si>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</si>
  <si>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</si>
  <si>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</si>
  <si>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</si>
  <si>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</si>
  <si>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</si>
  <si>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</si>
  <si>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</si>
  <si>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</si>
  <si>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</si>
  <si>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</si>
  <si>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</si>
  <si>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</si>
  <si>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</si>
  <si>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</si>
  <si>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</si>
  <si>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</si>
  <si>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</si>
  <si>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</si>
  <si>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</si>
  <si>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</si>
  <si>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</si>
  <si>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</si>
  <si>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</si>
  <si>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</si>
  <si>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</si>
  <si>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</si>
  <si>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</si>
  <si>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</si>
  <si>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</si>
  <si>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</si>
  <si>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</si>
  <si>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</si>
  <si>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</si>
  <si>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</si>
  <si>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</si>
  <si>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</si>
  <si>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</si>
  <si>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</si>
  <si>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</si>
  <si>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</si>
  <si>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</si>
  <si>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</si>
  <si>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</si>
  <si>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</si>
  <si>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</si>
  <si>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</si>
  <si>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</si>
  <si>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</si>
  <si>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</si>
  <si>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</si>
  <si>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</si>
  <si>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</si>
  <si>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</si>
  <si>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</si>
  <si>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</si>
  <si>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</si>
  <si>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</si>
  <si>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</si>
  <si>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</si>
  <si>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</si>
  <si>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</si>
  <si>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</si>
  <si>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</si>
  <si>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</si>
  <si>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</si>
  <si>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</si>
  <si>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</si>
  <si>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</si>
  <si>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</si>
  <si>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</si>
  <si>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</si>
  <si>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</si>
  <si>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</si>
  <si>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</si>
  <si>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</si>
  <si>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</si>
  <si>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</si>
  <si>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</si>
  <si>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</si>
  <si>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</si>
  <si>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</si>
  <si>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</si>
  <si>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</si>
  <si>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</si>
  <si>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</si>
  <si>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</si>
  <si>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</si>
  <si>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</si>
  <si>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</si>
  <si>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</si>
  <si>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</si>
  <si>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</si>
  <si>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</si>
  <si>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</si>
  <si>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</si>
  <si>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</si>
  <si>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</si>
  <si>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</si>
  <si>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</si>
  <si>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</si>
  <si>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</si>
  <si>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</si>
  <si>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</si>
  <si>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</si>
  <si>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</si>
  <si>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</si>
  <si>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</si>
  <si>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</si>
  <si>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</si>
  <si>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</si>
  <si>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</si>
  <si>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</si>
  <si>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</si>
  <si>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</si>
  <si>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</si>
  <si>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</si>
  <si>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</si>
  <si>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</si>
  <si>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</si>
  <si>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</si>
  <si>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</si>
  <si>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</si>
  <si>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</si>
  <si>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</si>
  <si>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</si>
  <si>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</si>
  <si>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</si>
  <si>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</si>
  <si>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</si>
  <si>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</si>
  <si>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</si>
  <si>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</si>
  <si>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</si>
  <si>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</si>
  <si>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</si>
  <si>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</si>
  <si>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</si>
  <si>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</si>
  <si>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</si>
  <si>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</si>
  <si>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</si>
  <si>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</si>
  <si>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</si>
  <si>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</si>
  <si>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</si>
  <si>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</si>
  <si>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</si>
  <si>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</si>
  <si>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</si>
  <si>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</si>
  <si>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</si>
  <si>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</si>
  <si>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</si>
  <si>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</si>
  <si>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</si>
  <si>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</si>
  <si>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</si>
  <si>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</si>
  <si>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</si>
  <si>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</si>
  <si>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</si>
  <si>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</si>
  <si>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</si>
  <si>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</si>
  <si>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</si>
  <si>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</si>
  <si>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</si>
  <si>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</si>
  <si>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</si>
  <si>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</si>
  <si>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</si>
  <si>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</si>
  <si>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</si>
  <si>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</si>
  <si>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</si>
  <si>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</si>
  <si>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</si>
  <si>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</si>
  <si>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</si>
  <si>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</si>
  <si>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</si>
  <si>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</si>
  <si>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</si>
  <si>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</si>
  <si>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</si>
  <si>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</si>
  <si>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</si>
  <si>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</si>
  <si>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</si>
  <si>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</si>
  <si>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</si>
  <si>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</si>
  <si>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</si>
  <si>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</si>
  <si>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</si>
  <si>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</si>
  <si>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</si>
  <si>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</si>
  <si>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</si>
  <si>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</si>
  <si>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</si>
  <si>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</si>
  <si>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</si>
  <si>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</si>
  <si>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</si>
  <si>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</si>
  <si>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</si>
  <si>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</si>
  <si>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</si>
  <si>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</si>
  <si>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</si>
  <si>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</si>
  <si>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</si>
  <si>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</si>
  <si>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</si>
  <si>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</si>
  <si>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</si>
  <si>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</si>
  <si>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</si>
  <si>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</si>
  <si>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</si>
  <si>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</si>
  <si>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</si>
  <si>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</si>
  <si>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</si>
  <si>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</si>
  <si>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</si>
  <si>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</si>
  <si>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</si>
  <si>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</si>
  <si>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</si>
  <si>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</si>
  <si>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</si>
  <si>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</si>
  <si>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</si>
  <si>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</si>
  <si>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</si>
  <si>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</si>
  <si>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</si>
  <si>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</si>
  <si>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</si>
  <si>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</si>
  <si>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</si>
  <si>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</si>
  <si>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</si>
  <si>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</si>
  <si>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</si>
  <si>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</si>
  <si>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</si>
  <si>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</si>
  <si>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</si>
  <si>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</si>
  <si>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</si>
  <si>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</si>
  <si>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</si>
  <si>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</si>
  <si>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</si>
  <si>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</si>
  <si>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</si>
  <si>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</si>
  <si>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</si>
  <si>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</si>
  <si>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</si>
  <si>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</si>
  <si>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</si>
  <si>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</si>
  <si>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</si>
  <si>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</si>
  <si>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</si>
  <si>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</si>
  <si>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</si>
  <si>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</si>
  <si>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</si>
  <si>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</si>
  <si>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</si>
  <si>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</si>
  <si>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</si>
  <si>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</si>
  <si>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</si>
  <si>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</si>
  <si>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</si>
  <si>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</si>
  <si>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</si>
  <si>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</si>
  <si>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</si>
  <si>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</si>
  <si>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</si>
  <si>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</si>
  <si>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</si>
  <si>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</si>
  <si>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</si>
  <si>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</si>
  <si>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</si>
  <si>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</si>
  <si>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</si>
  <si>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</si>
  <si>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</si>
  <si>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</si>
  <si>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</si>
  <si>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</si>
  <si>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</si>
  <si>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</si>
  <si>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</si>
  <si>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</si>
  <si>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</si>
  <si>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</si>
  <si>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</si>
  <si>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</si>
  <si>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</si>
  <si>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</si>
  <si>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</si>
  <si>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</si>
  <si>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</si>
  <si>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</si>
  <si>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</si>
  <si>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</si>
  <si>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</si>
  <si>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</si>
  <si>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</si>
  <si>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</si>
  <si>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</si>
  <si>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</si>
  <si>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</si>
  <si>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</si>
  <si>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</si>
  <si>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</si>
  <si>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</si>
  <si>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</si>
  <si>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</si>
  <si>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</si>
  <si>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</si>
  <si>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</si>
  <si>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</si>
  <si>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</si>
  <si>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</si>
  <si>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</si>
  <si>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</si>
  <si>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</si>
  <si>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</si>
  <si>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</si>
  <si>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</si>
  <si>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</si>
  <si>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</si>
  <si>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</si>
  <si>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</si>
  <si>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</si>
  <si>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</si>
  <si>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</si>
  <si>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</si>
  <si>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</si>
  <si>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</si>
  <si>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</si>
  <si>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</si>
  <si>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</si>
  <si>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</si>
  <si>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</si>
  <si>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</si>
  <si>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</si>
  <si>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</si>
  <si>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</si>
  <si>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</si>
  <si>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</si>
  <si>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</si>
  <si>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</si>
  <si>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</si>
  <si>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</si>
  <si>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</si>
  <si>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</si>
  <si>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</si>
  <si>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</si>
  <si>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</si>
  <si>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</si>
  <si>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</si>
  <si>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</si>
  <si>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</si>
  <si>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</si>
  <si>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</si>
  <si>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</si>
  <si>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</si>
  <si>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</si>
  <si>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</si>
  <si>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</si>
  <si>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</si>
  <si>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</si>
  <si>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</si>
  <si>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</si>
  <si>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</si>
  <si>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</si>
  <si>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</si>
  <si>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</si>
  <si>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</si>
  <si>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</si>
  <si>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</si>
  <si>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</si>
  <si>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</si>
  <si>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</si>
  <si>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</si>
  <si>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</si>
  <si>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</si>
  <si>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</si>
  <si>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</si>
  <si>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</si>
  <si>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</si>
  <si>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</si>
  <si>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</si>
  <si>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</si>
  <si>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</si>
  <si>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</si>
  <si>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</si>
  <si>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</si>
  <si>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</si>
  <si>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</si>
  <si>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</si>
  <si>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</si>
  <si>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</si>
  <si>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</si>
  <si>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</si>
  <si>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</si>
  <si>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</si>
  <si>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</si>
  <si>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</si>
  <si>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</si>
  <si>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</si>
  <si>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</si>
  <si>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</si>
  <si>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</si>
  <si>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</si>
  <si>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</si>
  <si>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</si>
  <si>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</si>
  <si>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</si>
  <si>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</si>
  <si>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</si>
  <si>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</si>
  <si>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</si>
  <si>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</si>
  <si>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</si>
  <si>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</si>
  <si>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</si>
  <si>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</si>
  <si>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</si>
  <si>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</si>
  <si>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</si>
  <si>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</si>
  <si>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</si>
  <si>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</si>
  <si>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</si>
  <si>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</si>
  <si>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</si>
  <si>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</si>
  <si>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</si>
  <si>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</si>
  <si>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</si>
  <si>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</si>
  <si>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</si>
  <si>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</si>
  <si>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</si>
  <si>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</si>
  <si>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</si>
  <si>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</si>
  <si>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</si>
  <si>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</si>
  <si>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</si>
  <si>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</si>
  <si>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</si>
  <si>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</si>
  <si>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</si>
  <si>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</si>
  <si>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</si>
  <si>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</si>
  <si>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</si>
  <si>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</si>
  <si>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</si>
  <si>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</si>
  <si>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</si>
  <si>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</si>
  <si>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</si>
  <si>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</si>
  <si>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</si>
  <si>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</si>
  <si>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</si>
  <si>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</si>
  <si>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</si>
  <si>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</si>
  <si>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</si>
  <si>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</si>
  <si>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</si>
  <si>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</si>
  <si>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</si>
  <si>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</si>
  <si>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</si>
  <si>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</si>
  <si>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</si>
  <si>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</si>
  <si>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</si>
  <si>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</si>
  <si>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</si>
  <si>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</si>
  <si>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</si>
  <si>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</si>
  <si>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</si>
  <si>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</si>
  <si>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</si>
  <si>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</si>
  <si>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</si>
  <si>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</si>
  <si>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</si>
  <si>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</si>
  <si>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</si>
  <si>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</si>
  <si>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</si>
  <si>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</si>
  <si>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</si>
  <si>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</si>
  <si>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</si>
  <si>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</si>
  <si>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</si>
  <si>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</si>
  <si>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</si>
  <si>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</si>
  <si>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</si>
  <si>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</si>
  <si>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</si>
  <si>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</si>
  <si>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</si>
  <si>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</si>
  <si>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</si>
  <si>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</si>
  <si>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</si>
  <si>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</si>
  <si>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</si>
  <si>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</si>
  <si>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</si>
  <si>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</si>
  <si>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</si>
  <si>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</si>
  <si>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</si>
  <si>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</si>
  <si>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</si>
  <si>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</si>
  <si>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</si>
  <si>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</si>
  <si>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</si>
  <si>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</si>
  <si>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</si>
  <si>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</si>
  <si>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</si>
  <si>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</si>
  <si>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</si>
  <si>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</si>
  <si>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</si>
  <si>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</si>
  <si>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</si>
  <si>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</si>
  <si>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</si>
  <si>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</si>
  <si>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</si>
  <si>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</si>
  <si>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</si>
  <si>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</si>
  <si>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</si>
  <si>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</si>
  <si>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</si>
  <si>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</si>
  <si>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</si>
  <si>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</si>
  <si>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</si>
  <si>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</si>
  <si>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</si>
  <si>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</si>
  <si>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</si>
  <si>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</si>
  <si>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</si>
  <si>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</si>
  <si>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</si>
  <si>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</si>
  <si>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</si>
  <si>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</si>
  <si>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</si>
  <si>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</si>
  <si>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</si>
  <si>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</si>
  <si>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</si>
  <si>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</si>
  <si>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</si>
  <si>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</si>
  <si>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</si>
  <si>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</si>
  <si>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</si>
  <si>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</si>
  <si>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</si>
  <si>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</si>
  <si>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</si>
  <si>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</si>
  <si>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</si>
  <si>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</si>
  <si>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</si>
  <si>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</si>
  <si>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</si>
  <si>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</si>
  <si>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</si>
  <si>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</si>
  <si>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</si>
  <si>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</si>
  <si>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</si>
  <si>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</si>
  <si>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</si>
  <si>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</si>
  <si>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</si>
  <si>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</si>
  <si>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</si>
  <si>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</si>
  <si>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</si>
  <si>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</si>
  <si>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</si>
  <si>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</si>
  <si>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</si>
  <si>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</si>
  <si>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</si>
  <si>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</si>
  <si>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</si>
  <si>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</si>
  <si>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</si>
  <si>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</si>
  <si>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</si>
  <si>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</si>
  <si>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</si>
  <si>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</si>
  <si>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</si>
  <si>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</si>
  <si>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</si>
  <si>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</si>
  <si>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</si>
  <si>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</si>
  <si>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</si>
  <si>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</si>
  <si>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</si>
  <si>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</si>
  <si>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</si>
  <si>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</si>
  <si>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</si>
  <si>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</si>
  <si>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</si>
  <si>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</si>
  <si>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</si>
  <si>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</si>
  <si>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</si>
  <si>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</si>
  <si>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</si>
  <si>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</si>
  <si>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</si>
  <si>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</si>
  <si>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</si>
  <si>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</si>
  <si>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</si>
  <si>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</si>
  <si>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</si>
  <si>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</si>
  <si>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</si>
  <si>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</si>
  <si>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</si>
  <si>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</si>
  <si>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</si>
  <si>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</si>
  <si>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</si>
  <si>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</si>
  <si>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</si>
  <si>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</si>
  <si>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</si>
  <si>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</si>
  <si>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</si>
  <si>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</si>
  <si>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</si>
  <si>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</si>
  <si>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</si>
  <si>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</si>
  <si>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</si>
  <si>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</si>
  <si>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</si>
  <si>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</si>
  <si>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</si>
  <si>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</si>
  <si>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</si>
  <si>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</si>
  <si>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</si>
  <si>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</si>
  <si>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</si>
  <si>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</si>
  <si>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</si>
  <si>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</si>
  <si>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</si>
  <si>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</si>
  <si>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</si>
  <si>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</si>
  <si>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</si>
  <si>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</si>
  <si>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</si>
  <si>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</si>
  <si>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</si>
  <si>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</si>
  <si>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</si>
  <si>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</si>
  <si>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</si>
  <si>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</si>
  <si>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</si>
  <si>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</si>
  <si>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</si>
  <si>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</si>
  <si>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</si>
  <si>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</si>
  <si>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</si>
  <si>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</si>
  <si>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</si>
  <si>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</si>
  <si>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</si>
  <si>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</si>
  <si>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</si>
  <si>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</si>
  <si>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</si>
  <si>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</si>
  <si>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</si>
  <si>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</si>
  <si>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</si>
  <si>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</si>
  <si>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</si>
  <si>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</si>
  <si>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</si>
  <si>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</si>
  <si>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</si>
  <si>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</si>
  <si>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</si>
  <si>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</si>
  <si>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</si>
  <si>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</si>
  <si>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</si>
  <si>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</si>
  <si>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</si>
  <si>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</si>
  <si>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</si>
  <si>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</si>
  <si>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</si>
  <si>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</si>
  <si>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</si>
  <si>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</si>
  <si>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</si>
  <si>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</si>
  <si>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</si>
  <si>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</si>
  <si>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</si>
  <si>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</si>
  <si>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</si>
  <si>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</si>
  <si>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</si>
  <si>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</si>
  <si>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</si>
  <si>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</si>
  <si>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</si>
  <si>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</si>
  <si>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</si>
  <si>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</si>
  <si>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</si>
  <si>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</si>
  <si>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</si>
  <si>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</si>
  <si>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</si>
  <si>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</si>
  <si>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</si>
  <si>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</si>
  <si>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</si>
  <si>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</si>
  <si>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</si>
  <si>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</si>
  <si>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</si>
  <si>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</si>
  <si>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</si>
  <si>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</si>
  <si>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</si>
  <si>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</si>
  <si>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</si>
  <si>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</si>
  <si>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</si>
  <si>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</si>
  <si>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</si>
  <si>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</si>
  <si>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</si>
  <si>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</si>
  <si>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</si>
  <si>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</si>
  <si>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</si>
  <si>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</si>
  <si>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</si>
  <si>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</si>
  <si>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</si>
  <si>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</si>
  <si>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</si>
  <si>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</si>
  <si>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</si>
  <si>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</si>
  <si>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</si>
  <si>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</si>
  <si>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</si>
  <si>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</si>
  <si>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</si>
  <si>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</si>
  <si>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</si>
  <si>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</si>
  <si>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</si>
  <si>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</si>
  <si>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</si>
  <si>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</si>
  <si>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</si>
  <si>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</si>
  <si>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</si>
  <si>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</si>
  <si>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</si>
  <si>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</si>
  <si>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</si>
  <si>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</si>
  <si>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</si>
  <si>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</si>
  <si>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</si>
  <si>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</si>
  <si>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</si>
  <si>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</si>
  <si>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</si>
  <si>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</si>
  <si>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</si>
  <si>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</si>
  <si>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</si>
  <si>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</si>
  <si>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</si>
  <si>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</si>
  <si>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</si>
  <si>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</si>
  <si>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</si>
  <si>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</si>
  <si>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</si>
  <si>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</si>
  <si>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</si>
  <si>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</si>
  <si>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</si>
  <si>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</si>
  <si>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</si>
  <si>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</si>
  <si>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</si>
  <si>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</si>
  <si>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</si>
  <si>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</si>
  <si>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</si>
  <si>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</si>
  <si>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</si>
  <si>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</si>
  <si>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</si>
  <si>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</si>
  <si>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</si>
  <si>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</si>
  <si>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</si>
  <si>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</si>
  <si>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</si>
  <si>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</si>
  <si>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</si>
  <si>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</si>
  <si>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</si>
  <si>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</si>
  <si>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</si>
  <si>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</si>
  <si>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</si>
  <si>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</si>
  <si>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</si>
  <si>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</si>
  <si>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</si>
  <si>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</si>
  <si>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</si>
  <si>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</si>
  <si>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</si>
  <si>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</si>
  <si>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</si>
  <si>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</si>
  <si>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</si>
  <si>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</si>
  <si>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</si>
  <si>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</si>
  <si>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</si>
  <si>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</si>
  <si>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</si>
  <si>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</si>
  <si>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</si>
  <si>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</si>
  <si>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</si>
  <si>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</si>
  <si>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</si>
  <si>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</si>
  <si>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</si>
  <si>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</si>
  <si>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</si>
  <si>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</si>
  <si>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</si>
  <si>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</si>
  <si>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</si>
  <si>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</si>
  <si>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</si>
  <si>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</si>
  <si>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</si>
  <si>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</si>
  <si>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</si>
  <si>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</si>
  <si>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</si>
  <si>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</si>
  <si>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</si>
  <si>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</si>
  <si>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</si>
  <si>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</si>
  <si>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</si>
  <si>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</si>
  <si>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</si>
  <si>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</si>
  <si>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</si>
  <si>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</si>
  <si>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</si>
  <si>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</si>
  <si>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</si>
  <si>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</si>
  <si>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</si>
  <si>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</si>
  <si>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</si>
  <si>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</si>
  <si>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</si>
  <si>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</si>
  <si>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</si>
  <si>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</si>
  <si>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</si>
  <si>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</si>
  <si>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</si>
  <si>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</si>
  <si>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</si>
  <si>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</si>
  <si>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</si>
  <si>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</si>
  <si>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</si>
  <si>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</si>
  <si>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</si>
  <si>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</si>
  <si>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</si>
  <si>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</si>
  <si>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</si>
  <si>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</si>
  <si>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</si>
  <si>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</si>
  <si>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</si>
  <si>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</si>
  <si>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</si>
  <si>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</si>
  <si>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</si>
  <si>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</si>
  <si>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</si>
  <si>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</si>
  <si>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</si>
  <si>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</si>
  <si>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</si>
  <si>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</si>
  <si>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</si>
  <si>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</si>
  <si>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</si>
  <si>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</si>
  <si>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</si>
  <si>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</si>
  <si>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</si>
  <si>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</si>
  <si>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</si>
  <si>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</si>
  <si>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</si>
  <si>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</si>
  <si>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</si>
  <si>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</si>
  <si>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</si>
  <si>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</si>
  <si>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</si>
  <si>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</si>
  <si>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</si>
  <si>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</si>
  <si>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</si>
  <si>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</si>
  <si>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</si>
  <si>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</si>
  <si>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</si>
  <si>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</si>
  <si>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</si>
  <si>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</si>
  <si>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</si>
  <si>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</si>
  <si>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</si>
  <si>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</si>
  <si>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</si>
  <si>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</si>
  <si>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</si>
  <si>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</si>
  <si>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</si>
  <si>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</si>
  <si>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</si>
  <si>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</si>
  <si>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</si>
  <si>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</si>
  <si>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</si>
  <si>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</si>
  <si>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</si>
  <si>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</si>
  <si>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</si>
  <si>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</si>
  <si>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</si>
  <si>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</si>
  <si>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</si>
  <si>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</si>
  <si>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</si>
  <si>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</si>
  <si>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</si>
  <si>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</si>
  <si>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</si>
  <si>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</si>
  <si>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</si>
  <si>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</si>
  <si>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</si>
  <si>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</si>
  <si>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</si>
  <si>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</si>
  <si>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</si>
  <si>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</si>
  <si>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</si>
  <si>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</si>
  <si>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</si>
  <si>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</si>
  <si>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</si>
  <si>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</si>
  <si>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</si>
  <si>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</si>
  <si>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</si>
  <si>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</si>
  <si>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</si>
  <si>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</si>
  <si>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</si>
  <si>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</si>
  <si>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</si>
  <si>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</si>
  <si>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</si>
  <si>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</si>
  <si>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</si>
  <si>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</si>
  <si>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</si>
  <si>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</si>
  <si>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</si>
  <si>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</si>
  <si>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</si>
  <si>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</si>
  <si>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</si>
  <si>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</si>
  <si>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</si>
  <si>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</si>
  <si>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</si>
  <si>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</si>
  <si>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</si>
  <si>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</si>
  <si>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</si>
  <si>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</si>
  <si>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</si>
  <si>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</si>
  <si>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</si>
  <si>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</si>
  <si>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</si>
  <si>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</si>
  <si>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</si>
  <si>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</si>
  <si>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</si>
  <si>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</si>
  <si>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</si>
  <si>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</si>
  <si>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</si>
  <si>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</si>
  <si>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</si>
  <si>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</si>
  <si>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</si>
  <si>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</si>
  <si>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</si>
  <si>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</si>
  <si>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</si>
  <si>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</si>
  <si>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</si>
  <si>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</si>
  <si>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</si>
  <si>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</si>
  <si>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</si>
  <si>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</si>
  <si>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</si>
  <si>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</si>
  <si>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</si>
  <si>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</si>
  <si>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</si>
  <si>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</si>
  <si>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</si>
  <si>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</si>
  <si>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</si>
  <si>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</si>
  <si>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</si>
  <si>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</si>
  <si>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</si>
  <si>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</si>
  <si>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</si>
  <si>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</si>
  <si>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</si>
  <si>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</si>
  <si>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</si>
  <si>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</si>
  <si>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</si>
  <si>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</si>
  <si>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</si>
  <si>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</si>
  <si>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</si>
  <si>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</si>
  <si>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</si>
  <si>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</si>
  <si>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</si>
  <si>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</si>
  <si>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</si>
  <si>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</si>
  <si>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</si>
  <si>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</si>
  <si>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</si>
  <si>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</si>
  <si>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</si>
  <si>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</si>
  <si>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</si>
  <si>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</si>
  <si>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</si>
  <si>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</si>
  <si>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</si>
  <si>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</si>
  <si>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</si>
  <si>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</si>
  <si>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</si>
  <si>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</si>
  <si>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</si>
  <si>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</si>
  <si>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</si>
  <si>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</si>
  <si>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</si>
  <si>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</si>
  <si>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</si>
  <si>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</si>
  <si>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</si>
  <si>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</si>
  <si>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</si>
  <si>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</si>
  <si>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</si>
  <si>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</si>
  <si>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</si>
  <si>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</si>
  <si>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</si>
  <si>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</si>
  <si>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</si>
  <si>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</si>
  <si>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</si>
  <si>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</si>
  <si>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</si>
  <si>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</si>
  <si>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</si>
  <si>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</si>
  <si>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</si>
  <si>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</si>
  <si>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</si>
  <si>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</si>
  <si>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</si>
  <si>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</si>
  <si>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</si>
  <si>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</si>
  <si>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</si>
  <si>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</si>
  <si>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</si>
  <si>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</si>
  <si>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</si>
  <si>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</si>
  <si>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</si>
  <si>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</si>
  <si>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</si>
  <si>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</si>
  <si>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</si>
  <si>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</si>
  <si>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</si>
  <si>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</si>
  <si>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</si>
  <si>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</si>
  <si>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</si>
  <si>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</si>
  <si>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</si>
  <si>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</si>
  <si>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</si>
  <si>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</si>
  <si>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</si>
  <si>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</si>
  <si>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</si>
  <si>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</si>
  <si>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</si>
  <si>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</si>
  <si>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</si>
  <si>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</si>
  <si>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</si>
  <si>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</si>
  <si>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</si>
  <si>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</si>
  <si>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</si>
  <si>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</si>
  <si>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</si>
  <si>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</si>
  <si>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</si>
  <si>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</si>
  <si>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</si>
  <si>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</si>
  <si>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</si>
  <si>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</si>
  <si>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</si>
  <si>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</si>
  <si>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</si>
  <si>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</si>
  <si>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</si>
  <si>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</si>
  <si>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</si>
  <si>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</si>
  <si>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</si>
  <si>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</si>
  <si>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</si>
  <si>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</si>
  <si>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</si>
  <si>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</si>
  <si>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</si>
  <si>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</si>
  <si>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</si>
  <si>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</si>
  <si>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</si>
  <si>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</si>
  <si>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</si>
  <si>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</si>
  <si>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</si>
  <si>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</si>
  <si>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</si>
  <si>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</si>
  <si>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</si>
  <si>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</si>
  <si>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</si>
  <si>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</si>
  <si>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</si>
  <si>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</si>
  <si>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</si>
  <si>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</si>
  <si>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</si>
  <si>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</si>
  <si>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</si>
  <si>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</si>
  <si>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</si>
  <si>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</si>
  <si>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</si>
  <si>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</si>
  <si>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</si>
  <si>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</si>
  <si>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</si>
  <si>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</si>
  <si>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</si>
  <si>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</si>
  <si>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</si>
  <si>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</si>
  <si>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</si>
  <si>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</si>
  <si>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</si>
  <si>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</si>
  <si>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</si>
  <si>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</si>
  <si>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</si>
  <si>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</si>
  <si>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</si>
  <si>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</si>
  <si>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</si>
  <si>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</si>
  <si>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</si>
  <si>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</si>
  <si>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</si>
  <si>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</si>
  <si>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</si>
  <si>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</si>
  <si>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</si>
  <si>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</si>
  <si>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</si>
  <si>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</si>
  <si>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</si>
  <si>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</si>
  <si>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</si>
  <si>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</si>
  <si>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</si>
  <si>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</si>
  <si>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</si>
  <si>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</si>
  <si>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</si>
  <si>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</si>
  <si>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</si>
  <si>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</si>
  <si>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</si>
  <si>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</si>
  <si>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</si>
  <si>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</si>
  <si>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</si>
  <si>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</si>
  <si>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</si>
  <si>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</si>
  <si>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</si>
  <si>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</si>
  <si>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</si>
  <si>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</si>
  <si>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</si>
  <si>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</si>
  <si>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</si>
  <si>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</si>
  <si>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</si>
  <si>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</si>
  <si>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</si>
  <si>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</si>
  <si>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</si>
  <si>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</si>
  <si>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</si>
  <si>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</si>
  <si>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</si>
  <si>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</si>
  <si>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</si>
  <si>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</si>
  <si>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</si>
  <si>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</si>
  <si>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</si>
  <si>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</si>
  <si>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</si>
  <si>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</si>
  <si>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</si>
  <si>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</si>
  <si>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</si>
  <si>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</si>
  <si>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</si>
  <si>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</si>
  <si>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</si>
  <si>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</si>
  <si>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</si>
  <si>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</si>
  <si>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</si>
  <si>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</si>
  <si>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</si>
  <si>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</si>
  <si>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</si>
  <si>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</si>
  <si>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</si>
  <si>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</si>
  <si>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</si>
  <si>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</si>
  <si>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</si>
  <si>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</si>
  <si>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</si>
  <si>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</si>
  <si>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</si>
  <si>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</si>
  <si>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</si>
  <si>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</si>
  <si>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</si>
  <si>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</si>
  <si>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</si>
  <si>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</si>
  <si>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</si>
  <si>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</si>
  <si>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</si>
  <si>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</si>
  <si>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</si>
  <si>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</si>
  <si>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</si>
  <si>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</si>
  <si>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</si>
  <si>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</si>
  <si>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</si>
  <si>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</si>
  <si>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</si>
  <si>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</si>
  <si>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</si>
  <si>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</si>
  <si>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</si>
  <si>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</si>
  <si>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</si>
  <si>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</si>
  <si>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</si>
  <si>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</si>
  <si>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</si>
  <si>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</si>
  <si>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</si>
  <si>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</si>
  <si>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</si>
  <si>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</si>
  <si>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</si>
  <si>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</si>
  <si>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</si>
  <si>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</si>
  <si>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</si>
  <si>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</si>
  <si>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</si>
  <si>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</si>
  <si>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</si>
  <si>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</si>
  <si>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</si>
  <si>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</si>
  <si>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</si>
  <si>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</si>
  <si>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</si>
  <si>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</si>
  <si>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</si>
  <si>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</si>
  <si>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</si>
  <si>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</si>
  <si>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</si>
  <si>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</si>
  <si>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</si>
  <si>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</si>
  <si>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</si>
  <si>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</si>
  <si>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</si>
  <si>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</si>
  <si>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</si>
  <si>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</si>
  <si>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</si>
  <si>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</si>
  <si>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</si>
  <si>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</si>
  <si>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</si>
  <si>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</si>
  <si>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</si>
  <si>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</si>
  <si>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</si>
  <si>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</si>
  <si>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</si>
  <si>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</si>
  <si>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</si>
  <si>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</si>
  <si>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</si>
  <si>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</si>
  <si>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</si>
  <si>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</si>
  <si>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</si>
  <si>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</si>
  <si>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</si>
  <si>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</si>
  <si>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</si>
  <si>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</si>
  <si>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</si>
  <si>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</si>
  <si>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</si>
  <si>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</si>
  <si>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</si>
  <si>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</si>
  <si>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</si>
  <si>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</si>
  <si>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</si>
  <si>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</si>
  <si>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</si>
  <si>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</si>
  <si>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</si>
  <si>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</si>
  <si>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</si>
  <si>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</si>
  <si>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</si>
  <si>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</si>
  <si>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</si>
  <si>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</si>
  <si>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</si>
  <si>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</si>
  <si>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</si>
  <si>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</si>
  <si>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</si>
  <si>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</si>
  <si>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</si>
  <si>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</si>
  <si>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</si>
  <si>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</si>
  <si>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</si>
  <si>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</si>
  <si>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</si>
  <si>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</si>
  <si>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</si>
  <si>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</si>
  <si>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</si>
  <si>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</si>
  <si>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</si>
  <si>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</si>
  <si>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</si>
  <si>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</si>
  <si>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</si>
  <si>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</si>
  <si>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</si>
  <si>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</si>
  <si>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</si>
  <si>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</si>
  <si>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</si>
  <si>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</si>
  <si>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</si>
  <si>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</si>
  <si>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</si>
  <si>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</si>
  <si>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</si>
  <si>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</si>
  <si>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</si>
  <si>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</si>
  <si>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</si>
  <si>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</si>
  <si>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</si>
  <si>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</si>
  <si>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</si>
  <si>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</si>
  <si>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</si>
  <si>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</si>
  <si>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</si>
  <si>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</si>
  <si>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</si>
  <si>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</si>
  <si>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</si>
  <si>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</si>
  <si>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</si>
  <si>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</si>
  <si>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</si>
  <si>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</si>
  <si>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</si>
  <si>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</si>
  <si>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</si>
  <si>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</si>
  <si>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</si>
  <si>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</si>
  <si>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</si>
  <si>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</si>
  <si>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</si>
  <si>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</si>
  <si>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</si>
  <si>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</si>
  <si>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</si>
  <si>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</si>
  <si>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</si>
  <si>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</si>
  <si>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</si>
  <si>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</si>
  <si>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</si>
  <si>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</si>
  <si>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</si>
  <si>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</si>
  <si>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</si>
  <si>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</si>
  <si>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</si>
  <si>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</si>
  <si>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</si>
  <si>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</si>
  <si>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</si>
  <si>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</si>
  <si>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</si>
  <si>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</si>
  <si>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</si>
  <si>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</si>
  <si>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</si>
  <si>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</si>
  <si>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</si>
  <si>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</si>
  <si>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</si>
  <si>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</si>
  <si>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</si>
  <si>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</si>
  <si>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</si>
  <si>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</si>
  <si>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</si>
  <si>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</si>
  <si>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</si>
  <si>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</si>
  <si>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</si>
  <si>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</si>
  <si>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</si>
  <si>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</si>
  <si>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</si>
  <si>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</si>
  <si>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</si>
  <si>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</si>
  <si>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</si>
  <si>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</si>
  <si>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</si>
  <si>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</si>
  <si>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</si>
  <si>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</si>
  <si>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</si>
  <si>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</si>
  <si>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</si>
  <si>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</si>
  <si>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</si>
  <si>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</si>
  <si>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</si>
  <si>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</si>
  <si>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</si>
  <si>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</si>
  <si>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</si>
  <si>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</si>
  <si>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</si>
  <si>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</si>
  <si>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</si>
  <si>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</si>
  <si>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</si>
  <si>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</si>
  <si>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</si>
  <si>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</si>
  <si>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</si>
  <si>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</si>
  <si>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</si>
  <si>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</si>
  <si>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</si>
  <si>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</si>
  <si>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</si>
  <si>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</si>
  <si>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</si>
  <si>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</si>
  <si>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</si>
  <si>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</si>
  <si>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</si>
  <si>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</si>
  <si>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</si>
  <si>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</si>
  <si>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</si>
  <si>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</si>
  <si>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</si>
  <si>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</si>
  <si>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</si>
  <si>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</si>
  <si>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</si>
  <si>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</si>
  <si>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</si>
  <si>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</si>
  <si>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</si>
  <si>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</si>
  <si>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</si>
  <si>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</si>
  <si>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</si>
  <si>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</si>
  <si>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</si>
  <si>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</si>
  <si>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</si>
  <si>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</si>
  <si>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</si>
  <si>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</si>
  <si>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</si>
  <si>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</si>
  <si>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</si>
  <si>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</si>
  <si>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</si>
  <si>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</si>
  <si>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</si>
  <si>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</si>
  <si>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</si>
  <si>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</si>
  <si>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</si>
  <si>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</si>
  <si>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</si>
  <si>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</si>
  <si>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</si>
  <si>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</si>
  <si>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</si>
  <si>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</si>
  <si>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</si>
  <si>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</si>
  <si>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</si>
  <si>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</si>
  <si>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</si>
  <si>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</si>
  <si>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</si>
  <si>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</si>
  <si>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</si>
  <si>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</si>
  <si>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</si>
  <si>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</si>
  <si>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</si>
  <si>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</si>
  <si>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</si>
  <si>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</si>
  <si>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</si>
  <si>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</si>
  <si>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</si>
  <si>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</si>
  <si>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</si>
  <si>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</si>
  <si>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</si>
  <si>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</si>
  <si>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</si>
  <si>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</si>
  <si>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</si>
  <si>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</si>
  <si>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</si>
  <si>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</si>
  <si>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</si>
  <si>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</si>
  <si>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</si>
  <si>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</si>
  <si>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</si>
  <si>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</si>
  <si>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</si>
  <si>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</si>
  <si>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</si>
  <si>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</si>
  <si>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</si>
  <si>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</si>
  <si>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</si>
  <si>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</si>
  <si>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</si>
  <si>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</si>
  <si>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</si>
  <si>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</si>
  <si>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</si>
  <si>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</si>
  <si>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</si>
  <si>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</si>
  <si>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</si>
  <si>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</si>
  <si>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</si>
  <si>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</si>
  <si>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</si>
  <si>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</si>
  <si>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</si>
  <si>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</si>
  <si>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</si>
  <si>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</si>
  <si>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</si>
  <si>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</si>
  <si>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</si>
  <si>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</si>
  <si>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</si>
  <si>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</si>
  <si>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</si>
  <si>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</si>
  <si>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</si>
  <si>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</si>
  <si>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</si>
  <si>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</si>
  <si>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</si>
  <si>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</si>
  <si>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</si>
  <si>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</si>
  <si>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</si>
  <si>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</si>
  <si>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</si>
  <si>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</si>
  <si>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</si>
  <si>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</si>
  <si>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</si>
  <si>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</si>
  <si>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</si>
  <si>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</si>
  <si>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</si>
  <si>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</si>
  <si>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</si>
  <si>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</si>
  <si>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</si>
  <si>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</si>
  <si>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</si>
  <si>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</si>
  <si>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</si>
  <si>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</si>
  <si>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</si>
  <si>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</si>
  <si>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</si>
  <si>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</si>
  <si>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</si>
  <si>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</si>
  <si>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</si>
  <si>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</si>
  <si>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</si>
  <si>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</si>
  <si>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</si>
  <si>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</si>
  <si>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</si>
  <si>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</si>
  <si>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</si>
  <si>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</si>
  <si>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</si>
  <si>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</si>
  <si>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</si>
  <si>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</si>
  <si>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</si>
  <si>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</si>
  <si>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</si>
  <si>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</si>
  <si>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</si>
  <si>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</si>
  <si>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</si>
  <si>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</si>
  <si>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</si>
  <si>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</si>
  <si>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</si>
  <si>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</si>
  <si>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</si>
  <si>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</si>
  <si>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</si>
  <si>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</si>
  <si>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</si>
  <si>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</si>
  <si>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</si>
  <si>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</si>
  <si>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</si>
  <si>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</si>
  <si>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</si>
  <si>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</si>
  <si>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</si>
  <si>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</si>
  <si>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</si>
  <si>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</si>
  <si>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</si>
  <si>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</si>
  <si>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</si>
  <si>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</si>
  <si>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</si>
  <si>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</si>
  <si>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</si>
  <si>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</si>
  <si>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</si>
  <si>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</si>
  <si>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</si>
  <si>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</si>
  <si>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</si>
  <si>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</si>
  <si>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</si>
  <si>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</si>
  <si>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</si>
  <si>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</si>
  <si>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</si>
  <si>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</si>
  <si>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</si>
  <si>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</si>
  <si>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</si>
  <si>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</si>
  <si>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</si>
  <si>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</si>
  <si>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</si>
  <si>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</si>
  <si>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</si>
  <si>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</si>
  <si>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</si>
  <si>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</si>
  <si>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</si>
  <si>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</si>
  <si>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</si>
  <si>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</si>
  <si>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</si>
  <si>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</si>
  <si>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</si>
  <si>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</si>
  <si>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</si>
  <si>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</si>
  <si>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</si>
  <si>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</si>
  <si>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</si>
  <si>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</si>
  <si>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</si>
  <si>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</si>
  <si>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</si>
  <si>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</si>
  <si>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</si>
  <si>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</si>
  <si>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</si>
  <si>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</si>
  <si>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</si>
  <si>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</si>
  <si>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</si>
  <si>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</si>
  <si>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</si>
  <si>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</si>
  <si>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</si>
  <si>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</si>
  <si>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</si>
  <si>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</si>
  <si>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</si>
  <si>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</si>
  <si>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</si>
  <si>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</si>
  <si>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</si>
  <si>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</si>
  <si>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</si>
  <si>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</si>
  <si>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</si>
  <si>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</si>
  <si>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</si>
  <si>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</si>
  <si>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</si>
  <si>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</si>
  <si>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</si>
  <si>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</si>
  <si>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</si>
  <si>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</si>
  <si>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</si>
  <si>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</si>
  <si>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</si>
  <si>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</si>
  <si>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</si>
  <si>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</si>
  <si>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</si>
  <si>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</si>
  <si>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</si>
  <si>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</si>
  <si>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</si>
  <si>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</si>
  <si>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</si>
  <si>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</si>
  <si>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</si>
  <si>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</si>
  <si>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</si>
  <si>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</si>
  <si>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</si>
  <si>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</si>
  <si>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</si>
  <si>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</si>
  <si>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</si>
  <si>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</si>
  <si>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</si>
  <si>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</si>
  <si>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</si>
  <si>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</si>
  <si>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</si>
  <si>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</si>
  <si>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</si>
  <si>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</si>
  <si>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</si>
  <si>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</si>
  <si>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</si>
  <si>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</si>
  <si>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</si>
  <si>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</si>
  <si>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</si>
  <si>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</si>
  <si>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</si>
  <si>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</si>
  <si>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</si>
  <si>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</si>
  <si>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</si>
  <si>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</si>
  <si>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</si>
  <si>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</si>
  <si>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</si>
  <si>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</si>
  <si>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</si>
  <si>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</si>
  <si>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</si>
  <si>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</si>
  <si>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</si>
  <si>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</si>
  <si>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</si>
  <si>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</si>
  <si>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</si>
  <si>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</si>
  <si>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</si>
  <si>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</si>
  <si>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</si>
  <si>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</si>
  <si>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</si>
  <si>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</si>
  <si>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</si>
  <si>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</si>
  <si>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</si>
  <si>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</si>
  <si>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</si>
  <si>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</si>
  <si>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</si>
  <si>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</si>
  <si>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</si>
  <si>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</si>
  <si>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</si>
  <si>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</si>
  <si>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</si>
  <si>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</si>
  <si>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</si>
  <si>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</si>
  <si>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</si>
  <si>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</si>
  <si>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</si>
  <si>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</si>
  <si>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</si>
  <si>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</si>
  <si>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</si>
  <si>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</si>
  <si>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</si>
  <si>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</si>
  <si>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</si>
  <si>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</si>
  <si>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</si>
  <si>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</si>
  <si>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</si>
  <si>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</si>
  <si>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</si>
  <si>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</si>
  <si>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</si>
  <si>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</si>
  <si>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</si>
  <si>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</si>
  <si>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</si>
  <si>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IL</t>
  </si>
  <si>
    <t>815-942-3306</t>
  </si>
  <si>
    <t>815-942-9430</t>
  </si>
  <si>
    <t>tmack@mackcpas.com</t>
  </si>
  <si>
    <t>LIVINGSTON</t>
  </si>
  <si>
    <t>300 NORTH 7TH STREET</t>
  </si>
  <si>
    <t xml:space="preserve">CORNELL  </t>
  </si>
  <si>
    <t>gschoonover@cornellgradeschool.org</t>
  </si>
  <si>
    <t>GEOFF SCHOONOVER</t>
  </si>
  <si>
    <t>815-358-2214</t>
  </si>
  <si>
    <t>815-358-2217</t>
  </si>
  <si>
    <t>MACK &amp; ASSOCIATES, P.C.</t>
  </si>
  <si>
    <t>TAWNYA MACK, CPA</t>
  </si>
  <si>
    <t>116 E. WASHINGTON ST., SUITE ONE</t>
  </si>
  <si>
    <t>MORRIS</t>
  </si>
  <si>
    <t>X</t>
  </si>
  <si>
    <t>G.O. Alternate Revenue Bonds</t>
  </si>
  <si>
    <t>ROE Job Bank</t>
  </si>
  <si>
    <t>Graymont Grade School; Flanagan-Cornell District 74</t>
  </si>
  <si>
    <t>LCSSU</t>
  </si>
  <si>
    <t>Flanagan-Cornell District 74</t>
  </si>
  <si>
    <t>Page 9, Acct. #1290 - Other Payments in Lieu of Taxes - CSFT Revenues</t>
  </si>
  <si>
    <t>Page 10, Acct. #1690 - Other Food Service - Kitchen Supply Sales</t>
  </si>
  <si>
    <t>Page 11, Acct. #1999 - Other Local Revenue - Reimbursements and Other Miscellaneous</t>
  </si>
  <si>
    <t>066-005100</t>
  </si>
  <si>
    <t>QUIK KILL PEST ELIMINATOR</t>
  </si>
  <si>
    <t>Mack &amp; Associates, P.C.</t>
  </si>
  <si>
    <t>PDF in Opinion Page with signature</t>
  </si>
  <si>
    <t>20-2540-300</t>
  </si>
  <si>
    <t>O&amp;M - O&amp;M PLANT - PURCHASED SERVICES</t>
  </si>
  <si>
    <t>DEHM'S LAWNCARE</t>
  </si>
  <si>
    <t>IDEAL ENVIRON. ENG. INC.</t>
  </si>
  <si>
    <t>RICKETT'S REFRIGERATION</t>
  </si>
  <si>
    <t>Page 12, Acct. # 3999 - Other Restricted State Revenues - State Library Grant</t>
  </si>
  <si>
    <t>Page 18, Acct. #5400 - Debt Services - Other - Bond Agent Fees</t>
  </si>
  <si>
    <t>Cornell CCSD 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</si>
</sst>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53527FB-2087-4BF5-8361-F3D762999D7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6" t="s">
        <v>425</v>
      </c>
      <c r="J1" s="2037"/>
      <c r="K1" s="2037"/>
      <c r="L1" s="2037"/>
      <c r="M1" s="2037"/>
      <c r="N1" s="2037"/>
      <c r="O1" s="2037"/>
      <c r="P1" s="2037"/>
      <c r="Q1" s="2037"/>
      <c r="R1" s="2037"/>
      <c r="S1" s="2037"/>
    </row>
    <row r="2" spans="1:28" ht="12" customHeight="1" x14ac:dyDescent="0.2">
      <c r="A2" s="47" t="s">
        <v>1684</v>
      </c>
      <c r="D2" s="48"/>
      <c r="I2" s="2038" t="s">
        <v>1036</v>
      </c>
      <c r="J2" s="2037"/>
      <c r="K2" s="2037"/>
      <c r="L2" s="2037"/>
      <c r="M2" s="2037"/>
      <c r="N2" s="2037"/>
      <c r="O2" s="2037"/>
      <c r="P2" s="2037"/>
      <c r="Q2" s="2037"/>
      <c r="R2" s="2037"/>
      <c r="S2" s="2037"/>
    </row>
    <row r="3" spans="1:28" ht="12" customHeight="1" x14ac:dyDescent="0.2">
      <c r="A3" s="155" t="s">
        <v>1685</v>
      </c>
      <c r="B3" s="156"/>
      <c r="C3" s="156"/>
      <c r="D3" s="157"/>
      <c r="I3" s="2038" t="s">
        <v>54</v>
      </c>
      <c r="J3" s="2037"/>
      <c r="K3" s="2037"/>
      <c r="L3" s="2037"/>
      <c r="M3" s="2037"/>
      <c r="N3" s="2037"/>
      <c r="O3" s="2037"/>
      <c r="P3" s="2037"/>
      <c r="Q3" s="2037"/>
      <c r="R3" s="2037"/>
      <c r="S3" s="2037"/>
    </row>
    <row r="4" spans="1:28" ht="12" customHeight="1" x14ac:dyDescent="0.2">
      <c r="A4" s="37"/>
      <c r="I4" s="2038" t="s">
        <v>545</v>
      </c>
      <c r="J4" s="2037"/>
      <c r="K4" s="2037"/>
      <c r="L4" s="2037"/>
      <c r="M4" s="2037"/>
      <c r="N4" s="2037"/>
      <c r="O4" s="2037"/>
      <c r="P4" s="2037"/>
      <c r="Q4" s="2037"/>
      <c r="R4" s="2037"/>
      <c r="S4" s="2037"/>
    </row>
    <row r="5" spans="1:28" ht="14.1" customHeight="1" x14ac:dyDescent="0.2">
      <c r="B5" s="104" t="s">
        <v>2077</v>
      </c>
      <c r="C5" s="26" t="s">
        <v>966</v>
      </c>
      <c r="D5" s="84"/>
      <c r="E5" s="84"/>
      <c r="H5" s="38"/>
      <c r="I5" s="2045" t="s">
        <v>701</v>
      </c>
      <c r="J5" s="1990"/>
      <c r="K5" s="1990"/>
      <c r="L5" s="1990"/>
      <c r="M5" s="1990"/>
      <c r="N5" s="1990"/>
      <c r="O5" s="1990"/>
      <c r="P5" s="1990"/>
      <c r="Q5" s="1990"/>
      <c r="R5" s="1990"/>
      <c r="S5" s="1990"/>
    </row>
    <row r="6" spans="1:28" ht="14.1" customHeight="1" x14ac:dyDescent="0.2">
      <c r="B6" s="104"/>
      <c r="C6" s="26" t="s">
        <v>967</v>
      </c>
      <c r="D6" s="84"/>
      <c r="E6" s="84"/>
      <c r="I6" s="2044" t="s">
        <v>938</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695</v>
      </c>
      <c r="J9" s="2042"/>
      <c r="K9" s="2042"/>
      <c r="L9" s="2042"/>
      <c r="M9" s="2042"/>
      <c r="N9" s="2042"/>
      <c r="O9" s="2042"/>
      <c r="P9" s="2042"/>
      <c r="Q9" s="2042"/>
      <c r="R9" s="2042"/>
      <c r="S9" s="2043"/>
      <c r="T9" s="1986" t="s">
        <v>554</v>
      </c>
      <c r="U9" s="1987"/>
      <c r="V9" s="1987"/>
      <c r="W9" s="1987"/>
      <c r="X9" s="1987"/>
      <c r="Y9" s="1987"/>
      <c r="Z9" s="1987"/>
      <c r="AA9" s="1988"/>
    </row>
    <row r="10" spans="1:28" ht="13.5" customHeight="1" x14ac:dyDescent="0.2">
      <c r="A10" s="1995" t="s">
        <v>696</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1012</v>
      </c>
      <c r="B11" s="1999"/>
      <c r="C11" s="1999"/>
      <c r="D11" s="1999"/>
      <c r="E11" s="1999"/>
      <c r="F11" s="1999"/>
      <c r="G11" s="1999"/>
      <c r="H11" s="2000"/>
      <c r="I11" s="27"/>
      <c r="J11" s="74"/>
      <c r="K11" s="27"/>
      <c r="O11" s="148" t="s">
        <v>2077</v>
      </c>
      <c r="P11" s="100" t="s">
        <v>210</v>
      </c>
      <c r="Q11" s="30"/>
      <c r="R11" s="28"/>
      <c r="S11" s="27"/>
      <c r="T11" s="1992"/>
      <c r="U11" s="1993"/>
      <c r="V11" s="1993"/>
      <c r="W11" s="1993"/>
      <c r="X11" s="1993"/>
      <c r="Y11" s="1993"/>
      <c r="Z11" s="1993"/>
      <c r="AA11" s="1994"/>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6">
        <v>17053426004</v>
      </c>
      <c r="B13" s="2007"/>
      <c r="C13" s="2007"/>
      <c r="D13" s="2007"/>
      <c r="E13" s="2007"/>
      <c r="F13" s="2007"/>
      <c r="G13" s="2007"/>
      <c r="H13" s="2008"/>
      <c r="I13" s="31"/>
      <c r="J13" s="30"/>
      <c r="K13" s="28"/>
      <c r="L13" s="30"/>
      <c r="M13" s="30"/>
      <c r="N13" s="30"/>
      <c r="O13" s="30"/>
      <c r="P13" s="30"/>
      <c r="Q13" s="30"/>
      <c r="R13" s="30"/>
      <c r="S13" s="30"/>
      <c r="T13" s="2011" t="s">
        <v>2089</v>
      </c>
      <c r="U13" s="2012"/>
      <c r="V13" s="2012"/>
      <c r="W13" s="2012"/>
      <c r="X13" s="2012"/>
      <c r="Y13" s="2013"/>
      <c r="Z13" s="2013"/>
      <c r="AA13" s="201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4" t="s">
        <v>2082</v>
      </c>
      <c r="B15" s="2009"/>
      <c r="C15" s="2009"/>
      <c r="D15" s="2009"/>
      <c r="E15" s="2009"/>
      <c r="F15" s="2009"/>
      <c r="G15" s="2009"/>
      <c r="H15" s="2010"/>
      <c r="T15" s="1972" t="s">
        <v>2090</v>
      </c>
      <c r="U15" s="1973"/>
      <c r="V15" s="1973"/>
      <c r="W15" s="1973"/>
      <c r="X15" s="1973"/>
      <c r="Y15" s="2015"/>
      <c r="Z15" s="2015"/>
      <c r="AA15" s="2016"/>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4" t="s">
        <v>2113</v>
      </c>
      <c r="B17" s="2034"/>
      <c r="C17" s="2034"/>
      <c r="D17" s="2034"/>
      <c r="E17" s="2034"/>
      <c r="F17" s="2034"/>
      <c r="G17" s="2034"/>
      <c r="H17" s="2035"/>
      <c r="T17" s="2021" t="s">
        <v>2091</v>
      </c>
      <c r="U17" s="2022"/>
      <c r="V17" s="2022"/>
      <c r="W17" s="2022"/>
      <c r="X17" s="2022"/>
      <c r="Y17" s="2022"/>
      <c r="Z17" s="2022"/>
      <c r="AA17" s="2023"/>
    </row>
    <row r="18" spans="1:27" ht="13.5" customHeight="1" x14ac:dyDescent="0.2">
      <c r="A18" s="85" t="s">
        <v>551</v>
      </c>
      <c r="B18" s="76"/>
      <c r="C18" s="72"/>
      <c r="D18" s="76"/>
      <c r="E18" s="76"/>
      <c r="F18" s="76"/>
      <c r="G18" s="76"/>
      <c r="H18" s="56"/>
      <c r="I18" s="2031" t="s">
        <v>697</v>
      </c>
      <c r="J18" s="2032"/>
      <c r="K18" s="2032"/>
      <c r="L18" s="2032"/>
      <c r="M18" s="2032"/>
      <c r="N18" s="2032"/>
      <c r="O18" s="2032"/>
      <c r="P18" s="2032"/>
      <c r="Q18" s="2032"/>
      <c r="R18" s="2032"/>
      <c r="S18" s="2033"/>
      <c r="T18" s="85" t="s">
        <v>735</v>
      </c>
      <c r="U18" s="51"/>
      <c r="V18" s="72"/>
      <c r="W18" s="50"/>
      <c r="X18" s="85" t="s">
        <v>284</v>
      </c>
      <c r="Y18" s="81"/>
      <c r="Z18" s="159" t="s">
        <v>698</v>
      </c>
      <c r="AA18" s="46"/>
    </row>
    <row r="19" spans="1:27" ht="13.5" customHeight="1" x14ac:dyDescent="0.2">
      <c r="A19" s="2004" t="s">
        <v>2083</v>
      </c>
      <c r="B19" s="2005"/>
      <c r="C19" s="2005"/>
      <c r="D19" s="2005"/>
      <c r="E19" s="2005"/>
      <c r="F19" s="2005"/>
      <c r="G19" s="2005"/>
      <c r="H19" s="2003"/>
      <c r="I19" s="30"/>
      <c r="J19" s="99"/>
      <c r="K19" s="40"/>
      <c r="L19" s="38"/>
      <c r="M19" s="112" t="s">
        <v>333</v>
      </c>
      <c r="P19" s="27"/>
      <c r="Q19" s="27"/>
      <c r="R19" s="27"/>
      <c r="S19" s="31"/>
      <c r="T19" s="2004" t="s">
        <v>2092</v>
      </c>
      <c r="U19" s="2002"/>
      <c r="V19" s="2002"/>
      <c r="W19" s="2003"/>
      <c r="X19" s="2019" t="s">
        <v>2078</v>
      </c>
      <c r="Y19" s="2020"/>
      <c r="Z19" s="2017">
        <v>60450</v>
      </c>
      <c r="AA19" s="201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1" t="s">
        <v>2084</v>
      </c>
      <c r="B21" s="2002"/>
      <c r="C21" s="2002"/>
      <c r="D21" s="2002"/>
      <c r="E21" s="2002"/>
      <c r="F21" s="2002"/>
      <c r="G21" s="2002"/>
      <c r="H21" s="2003"/>
      <c r="I21" s="2027" t="s">
        <v>699</v>
      </c>
      <c r="J21" s="1990"/>
      <c r="K21" s="1990"/>
      <c r="L21" s="1990"/>
      <c r="M21" s="1990"/>
      <c r="N21" s="1990"/>
      <c r="O21" s="1990"/>
      <c r="P21" s="1990"/>
      <c r="Q21" s="1990"/>
      <c r="R21" s="1990"/>
      <c r="S21" s="1991"/>
      <c r="T21" s="1969" t="s">
        <v>2079</v>
      </c>
      <c r="U21" s="1970"/>
      <c r="V21" s="1970"/>
      <c r="W21" s="1970"/>
      <c r="X21" s="1983" t="s">
        <v>2080</v>
      </c>
      <c r="Y21" s="1984"/>
      <c r="Z21" s="1984"/>
      <c r="AA21" s="1985"/>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4" t="s">
        <v>2085</v>
      </c>
      <c r="B23" s="2025"/>
      <c r="C23" s="2025"/>
      <c r="D23" s="2025"/>
      <c r="E23" s="2025"/>
      <c r="F23" s="2025"/>
      <c r="G23" s="2025"/>
      <c r="H23" s="2026"/>
      <c r="T23" s="1964" t="s">
        <v>2102</v>
      </c>
      <c r="U23" s="1965"/>
      <c r="V23" s="1965"/>
      <c r="W23" s="1965"/>
      <c r="X23" s="1980">
        <v>43434</v>
      </c>
      <c r="Y23" s="1981"/>
      <c r="Z23" s="1981"/>
      <c r="AA23" s="1982"/>
    </row>
    <row r="24" spans="1:27" ht="14.1" customHeight="1" x14ac:dyDescent="0.2">
      <c r="A24" s="88" t="s">
        <v>698</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552</v>
      </c>
      <c r="U24" s="106"/>
      <c r="V24" s="106"/>
      <c r="W24" s="106"/>
      <c r="X24" s="107"/>
      <c r="Y24" s="107"/>
      <c r="Z24" s="107"/>
      <c r="AA24" s="108"/>
    </row>
    <row r="25" spans="1:27" ht="14.1" customHeight="1" x14ac:dyDescent="0.2">
      <c r="A25" s="2001">
        <v>61319</v>
      </c>
      <c r="B25" s="2002"/>
      <c r="C25" s="2002"/>
      <c r="D25" s="2002"/>
      <c r="E25" s="2002"/>
      <c r="F25" s="2002"/>
      <c r="G25" s="2002"/>
      <c r="H25" s="2003"/>
      <c r="I25" s="113"/>
      <c r="J25" s="2068"/>
      <c r="K25" s="2068"/>
      <c r="L25" s="2068"/>
      <c r="M25" s="2068"/>
      <c r="N25" s="2068"/>
      <c r="O25" s="2068"/>
      <c r="P25" s="2068"/>
      <c r="Q25" s="2068"/>
      <c r="R25" s="2068"/>
      <c r="S25" s="2069"/>
      <c r="T25" s="1961" t="s">
        <v>2081</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9" t="s">
        <v>1591</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4" t="s">
        <v>2086</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552</v>
      </c>
      <c r="B39" s="2058"/>
      <c r="C39" s="72"/>
      <c r="D39" s="69"/>
      <c r="E39" s="69"/>
      <c r="F39" s="79"/>
      <c r="G39" s="69"/>
      <c r="H39" s="56"/>
      <c r="I39" s="2057" t="s">
        <v>552</v>
      </c>
      <c r="J39" s="2058"/>
      <c r="K39" s="2058"/>
      <c r="L39" s="2058"/>
      <c r="M39" s="2058"/>
      <c r="N39" s="67"/>
      <c r="O39" s="72"/>
      <c r="P39" s="72"/>
      <c r="Q39" s="78"/>
      <c r="R39" s="72"/>
      <c r="S39" s="56"/>
      <c r="T39" s="72" t="s">
        <v>552</v>
      </c>
      <c r="U39" s="51"/>
      <c r="V39" s="72"/>
      <c r="W39" s="50"/>
      <c r="X39" s="78"/>
      <c r="Y39" s="45"/>
      <c r="Z39" s="45"/>
      <c r="AA39" s="46"/>
    </row>
    <row r="40" spans="1:27" ht="13.5" customHeight="1" x14ac:dyDescent="0.2">
      <c r="A40" s="2060" t="s">
        <v>2085</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0" t="s">
        <v>2087</v>
      </c>
      <c r="B42" s="2051"/>
      <c r="C42" s="2052"/>
      <c r="D42" s="2065" t="s">
        <v>2088</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5" colorId="8" zoomScale="110" zoomScaleNormal="110"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1230</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8" t="s">
        <v>1731</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331</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2093</v>
      </c>
      <c r="C53" s="179">
        <v>22</v>
      </c>
      <c r="D53" s="247" t="s">
        <v>1537</v>
      </c>
      <c r="E53" s="248"/>
      <c r="F53" s="249"/>
      <c r="G53" s="249" t="s">
        <v>1536</v>
      </c>
      <c r="H53" s="250">
        <v>36251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1390</v>
      </c>
      <c r="B70" s="2091"/>
      <c r="C70" s="2091"/>
      <c r="D70" s="2091"/>
      <c r="E70" s="2092"/>
      <c r="F70" s="2092"/>
      <c r="G70" s="2092"/>
      <c r="H70" s="2092"/>
      <c r="I70" s="209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1387</v>
      </c>
      <c r="B83" s="2093"/>
      <c r="C83" s="2093"/>
      <c r="D83" s="209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2104</v>
      </c>
      <c r="D114" s="208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1397</v>
      </c>
      <c r="D117" s="2086"/>
      <c r="E117" s="2087"/>
      <c r="F117" s="2087"/>
      <c r="G117" s="2087"/>
      <c r="H117" s="2087"/>
      <c r="I117" s="304"/>
    </row>
    <row r="118" spans="1:9" s="181" customFormat="1" ht="24" customHeight="1" x14ac:dyDescent="0.2">
      <c r="A118" s="316"/>
      <c r="B118" s="316"/>
      <c r="C118" s="316"/>
      <c r="D118" s="323" t="s">
        <v>2105</v>
      </c>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404</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20812628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3.2869000000000002E-2</v>
      </c>
      <c r="E10" s="356" t="s">
        <v>1062</v>
      </c>
      <c r="F10" s="355">
        <v>5.274E-3</v>
      </c>
      <c r="G10" s="356" t="s">
        <v>1062</v>
      </c>
      <c r="H10" s="355">
        <v>3.8149999999999998E-3</v>
      </c>
      <c r="I10" s="356" t="s">
        <v>1063</v>
      </c>
      <c r="J10" s="1754">
        <f>ROUND(D10+F10+H10,5)</f>
        <v>4.1959999999999997E-2</v>
      </c>
      <c r="K10" s="222"/>
      <c r="L10" s="355">
        <v>1.4799999999999999E-4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1318634</v>
      </c>
      <c r="E16" s="356"/>
      <c r="F16" s="1755">
        <f>SUM('Acct Summary 7-8'!C17,'Acct Summary 7-8'!D17,'Acct Summary 7-8'!F17)</f>
        <v>1211279</v>
      </c>
      <c r="G16" s="356"/>
      <c r="H16" s="1755">
        <f>SUM(D16-F16)</f>
        <v>107355</v>
      </c>
      <c r="I16" s="222"/>
      <c r="J16" s="1755">
        <f>SUM('Acct Summary 7-8'!C81,'Acct Summary 7-8'!D81,'Acct Summary 7-8'!F81,'Acct Summary 7-8'!I81)</f>
        <v>888964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1436071.3320000002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290000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O23" sqref="O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577</v>
      </c>
      <c r="B2" s="2123"/>
      <c r="C2" s="2123"/>
      <c r="D2" s="2123"/>
      <c r="E2" s="2123"/>
      <c r="F2" s="2123"/>
      <c r="G2" s="2123"/>
      <c r="H2" s="2123"/>
      <c r="I2" s="2123"/>
      <c r="J2" s="2123"/>
      <c r="K2" s="2123"/>
      <c r="L2" s="2123"/>
      <c r="M2" s="2123"/>
      <c r="N2" s="2123"/>
      <c r="O2" s="2123"/>
      <c r="P2" s="2123"/>
      <c r="Q2" s="2123"/>
      <c r="R2" s="2123"/>
    </row>
    <row r="3" spans="1:18" ht="12.75" x14ac:dyDescent="0.2">
      <c r="A3" s="2124" t="s">
        <v>1480</v>
      </c>
      <c r="B3" s="2124"/>
      <c r="C3" s="2124"/>
      <c r="D3" s="2124"/>
      <c r="E3" s="2124"/>
      <c r="F3" s="2124"/>
      <c r="G3" s="2124"/>
      <c r="H3" s="2124"/>
      <c r="I3" s="2124"/>
      <c r="J3" s="2124"/>
      <c r="K3" s="2124"/>
      <c r="L3" s="2124"/>
      <c r="M3" s="2124"/>
      <c r="N3" s="2124"/>
      <c r="O3" s="2124"/>
      <c r="P3" s="2124"/>
      <c r="Q3" s="2124"/>
      <c r="R3" s="2124"/>
    </row>
    <row r="4" spans="1:18" x14ac:dyDescent="0.2">
      <c r="A4" s="2125" t="s">
        <v>1635</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Cornell CCSD 426</v>
      </c>
      <c r="E7" s="391"/>
      <c r="G7" s="252"/>
      <c r="H7" s="387"/>
      <c r="I7" s="387"/>
      <c r="J7" s="387"/>
      <c r="K7" s="387"/>
      <c r="L7" s="329"/>
      <c r="M7" s="329"/>
      <c r="N7" s="329"/>
      <c r="O7" s="329"/>
      <c r="P7" s="329"/>
    </row>
    <row r="8" spans="1:18" ht="12.75" x14ac:dyDescent="0.2">
      <c r="A8" s="329"/>
      <c r="B8" s="329"/>
      <c r="C8" s="389" t="s">
        <v>1187</v>
      </c>
      <c r="D8" s="392">
        <f>COVER!A13</f>
        <v>17053426004</v>
      </c>
      <c r="E8" s="393"/>
      <c r="G8" s="329"/>
      <c r="H8" s="329"/>
      <c r="I8" s="329"/>
      <c r="J8" s="329"/>
      <c r="K8" s="329"/>
      <c r="L8" s="329"/>
      <c r="M8" s="329"/>
      <c r="N8" s="329"/>
      <c r="O8" s="329"/>
      <c r="P8" s="329"/>
    </row>
    <row r="9" spans="1:18" ht="12.75" x14ac:dyDescent="0.2">
      <c r="A9" s="329"/>
      <c r="B9" s="329"/>
      <c r="C9" s="389" t="s">
        <v>737</v>
      </c>
      <c r="D9" s="394" t="str">
        <f>COVER!A15</f>
        <v>LIVINGSTON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888964</v>
      </c>
      <c r="I12" s="404"/>
      <c r="J12" s="404"/>
      <c r="K12" s="405">
        <f>TRUNC((H12/H13*100000),5)/100000</f>
        <v>0.67415522419999996</v>
      </c>
      <c r="L12" s="406"/>
      <c r="M12" s="360" t="s">
        <v>1206</v>
      </c>
      <c r="N12" s="360"/>
      <c r="O12" s="407">
        <v>0.35</v>
      </c>
      <c r="P12" s="218"/>
      <c r="Q12" s="218"/>
    </row>
    <row r="13" spans="1:18" s="408" customFormat="1" ht="12.75" x14ac:dyDescent="0.2">
      <c r="A13" s="218"/>
      <c r="B13" s="401"/>
      <c r="C13" s="2121" t="s">
        <v>1391</v>
      </c>
      <c r="D13" s="2122"/>
      <c r="E13" s="218"/>
      <c r="F13" s="409" t="s">
        <v>826</v>
      </c>
      <c r="G13" s="402"/>
      <c r="H13" s="403">
        <f>SUM('Acct Summary 7-8'!C8+'Acct Summary 7-8'!D8+'Acct Summary 7-8'!F8+'Acct Summary 7-8'!I8)+H14</f>
        <v>1318634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1211279</v>
      </c>
      <c r="I17" s="404"/>
      <c r="J17" s="416"/>
      <c r="K17" s="405">
        <f>TRUNC((H17/H18*100000),5)/100000</f>
        <v>0.91858620359999998</v>
      </c>
      <c r="L17" s="406"/>
      <c r="M17" s="417" t="s">
        <v>1233</v>
      </c>
      <c r="O17" s="418" t="str">
        <f>IF(AND(O16="2", J20 &gt; 2),"1",IF(AND(O16 = "1", J20 &gt; 2),"2",IF(AND(O16="1", J20 &gt;1),"1","0")))</f>
        <v>0</v>
      </c>
      <c r="P17" s="218"/>
    </row>
    <row r="18" spans="1:18" s="408" customFormat="1" ht="11.25" x14ac:dyDescent="0.2">
      <c r="A18" s="218"/>
      <c r="B18" s="401"/>
      <c r="C18" s="2121" t="s">
        <v>1384</v>
      </c>
      <c r="D18" s="2122"/>
      <c r="E18" s="218"/>
      <c r="F18" s="419" t="s">
        <v>827</v>
      </c>
      <c r="G18" s="402"/>
      <c r="H18" s="403">
        <f>SUM('Acct Summary 7-8'!C8+'Acct Summary 7-8'!D8+'Acct Summary 7-8'!F8+'Acct Summary 7-8'!I8)+H19</f>
        <v>1318634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8" t="s">
        <v>1479</v>
      </c>
      <c r="D24" s="2118"/>
      <c r="E24" s="218"/>
      <c r="F24" s="218" t="s">
        <v>465</v>
      </c>
      <c r="G24" s="402"/>
      <c r="H24" s="403">
        <f>SUM('Assets-Liab 5-6'!C4+'Assets-Liab 5-6'!D4+'Assets-Liab 5-6'!F4+'Assets-Liab 5-6'!I4+'Assets-Liab 5-6'!C5+'Assets-Liab 5-6'!D5+'Assets-Liab 5-6'!F5+'Assets-Liab 5-6'!I5)</f>
        <v>888964</v>
      </c>
      <c r="I24" s="422"/>
      <c r="J24" s="422"/>
      <c r="K24" s="423">
        <f>TRUNC(((H24/H25*100000)/100000),2)</f>
        <v>264.2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3364.6638899999998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742303.19024999999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290000</v>
      </c>
      <c r="I32" s="420"/>
      <c r="J32" s="420"/>
      <c r="K32" s="423">
        <f>TRUNC(100-((((H32/H33*100))*100)/100),2)</f>
        <v>79.8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1436071.3320000002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L22" sqref="L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8" t="s">
        <v>1030</v>
      </c>
      <c r="B3" s="2129"/>
      <c r="C3" s="1581"/>
      <c r="D3" s="1582"/>
      <c r="E3" s="1582"/>
      <c r="F3" s="1582"/>
      <c r="G3" s="1582"/>
      <c r="H3" s="1582"/>
      <c r="I3" s="1582"/>
      <c r="J3" s="1582"/>
      <c r="K3" s="1582"/>
      <c r="L3" s="1582"/>
      <c r="M3" s="1583"/>
      <c r="N3" s="1584"/>
    </row>
    <row r="4" spans="1:14" ht="13.5" customHeight="1" x14ac:dyDescent="0.2">
      <c r="A4" s="463" t="s">
        <v>1750</v>
      </c>
      <c r="B4" s="464"/>
      <c r="C4" s="465">
        <v>751611</v>
      </c>
      <c r="D4" s="466">
        <v>15635</v>
      </c>
      <c r="E4" s="466">
        <v>11306</v>
      </c>
      <c r="F4" s="466">
        <v>121718</v>
      </c>
      <c r="G4" s="466">
        <v>35630</v>
      </c>
      <c r="H4" s="466">
        <v>14584</v>
      </c>
      <c r="I4" s="466"/>
      <c r="J4" s="467">
        <v>41292</v>
      </c>
      <c r="K4" s="466">
        <v>27138</v>
      </c>
      <c r="L4" s="466">
        <v>12900</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751611</v>
      </c>
      <c r="D13" s="1759">
        <f t="shared" ref="D13:L13" si="0">SUM(D4:D12)</f>
        <v>15635</v>
      </c>
      <c r="E13" s="1759">
        <f t="shared" si="0"/>
        <v>11306</v>
      </c>
      <c r="F13" s="1759">
        <f t="shared" si="0"/>
        <v>121718</v>
      </c>
      <c r="G13" s="1759">
        <f t="shared" si="0"/>
        <v>35630</v>
      </c>
      <c r="H13" s="1759">
        <f t="shared" si="0"/>
        <v>14584</v>
      </c>
      <c r="I13" s="1759">
        <f t="shared" si="0"/>
        <v>0</v>
      </c>
      <c r="J13" s="1759">
        <f t="shared" si="0"/>
        <v>41292</v>
      </c>
      <c r="K13" s="1759">
        <f t="shared" si="0"/>
        <v>27138</v>
      </c>
      <c r="L13" s="1759">
        <f t="shared" si="0"/>
        <v>12900</v>
      </c>
      <c r="M13" s="468"/>
      <c r="N13" s="469"/>
    </row>
    <row r="14" spans="1:14" ht="18" customHeight="1" thickTop="1" x14ac:dyDescent="0.2">
      <c r="A14" s="2130" t="s">
        <v>149</v>
      </c>
      <c r="B14" s="2131"/>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8000</v>
      </c>
      <c r="N16" s="484"/>
    </row>
    <row r="17" spans="1:14" s="485" customFormat="1" ht="12.75" customHeight="1" x14ac:dyDescent="0.2">
      <c r="A17" s="482" t="s">
        <v>1470</v>
      </c>
      <c r="B17" s="483">
        <v>230</v>
      </c>
      <c r="C17" s="477"/>
      <c r="D17" s="477"/>
      <c r="E17" s="477"/>
      <c r="F17" s="477"/>
      <c r="G17" s="477"/>
      <c r="H17" s="477"/>
      <c r="I17" s="477"/>
      <c r="J17" s="477"/>
      <c r="K17" s="477"/>
      <c r="L17" s="477"/>
      <c r="M17" s="467">
        <v>738666</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31452</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11306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278694</v>
      </c>
    </row>
    <row r="23" spans="1:14" ht="13.5" customHeight="1" thickBot="1" x14ac:dyDescent="0.25">
      <c r="A23" s="1758" t="s">
        <v>664</v>
      </c>
      <c r="B23" s="1763"/>
      <c r="C23" s="468"/>
      <c r="D23" s="468"/>
      <c r="E23" s="468"/>
      <c r="F23" s="468"/>
      <c r="G23" s="468"/>
      <c r="H23" s="468"/>
      <c r="I23" s="468"/>
      <c r="J23" s="468"/>
      <c r="K23" s="468"/>
      <c r="L23" s="468"/>
      <c r="M23" s="1710">
        <f>SUM(M15:M22)</f>
        <v>778118</v>
      </c>
      <c r="N23" s="1710">
        <f>SUM(N21:N22)</f>
        <v>290000</v>
      </c>
    </row>
    <row r="24" spans="1:14" ht="18" customHeight="1" thickTop="1" x14ac:dyDescent="0.2">
      <c r="A24" s="2132" t="s">
        <v>619</v>
      </c>
      <c r="B24" s="2133"/>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12900</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12900</v>
      </c>
      <c r="M34" s="468"/>
      <c r="N34" s="480"/>
    </row>
    <row r="35" spans="1:14" ht="18" customHeight="1" thickTop="1" x14ac:dyDescent="0.2">
      <c r="A35" s="2134" t="s">
        <v>550</v>
      </c>
      <c r="B35" s="2135"/>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290000</v>
      </c>
    </row>
    <row r="37" spans="1:14" ht="13.5" thickBot="1" x14ac:dyDescent="0.25">
      <c r="A37" s="1758" t="s">
        <v>674</v>
      </c>
      <c r="B37" s="1763"/>
      <c r="C37" s="477"/>
      <c r="D37" s="477"/>
      <c r="E37" s="477"/>
      <c r="F37" s="477"/>
      <c r="G37" s="477"/>
      <c r="H37" s="477"/>
      <c r="I37" s="477"/>
      <c r="J37" s="477"/>
      <c r="K37" s="477"/>
      <c r="L37" s="480"/>
      <c r="M37" s="468"/>
      <c r="N37" s="1710">
        <f>SUM(N36:N36)</f>
        <v>290000</v>
      </c>
    </row>
    <row r="38" spans="1:14" s="329" customFormat="1" ht="13.5" customHeight="1" thickTop="1" x14ac:dyDescent="0.2">
      <c r="A38" s="496" t="s">
        <v>440</v>
      </c>
      <c r="B38" s="483">
        <v>714</v>
      </c>
      <c r="C38" s="466">
        <v>53894</v>
      </c>
      <c r="D38" s="466"/>
      <c r="E38" s="466"/>
      <c r="F38" s="466"/>
      <c r="G38" s="466">
        <v>22606</v>
      </c>
      <c r="H38" s="466"/>
      <c r="I38" s="466"/>
      <c r="J38" s="467"/>
      <c r="K38" s="466"/>
      <c r="L38" s="481"/>
      <c r="M38" s="497"/>
      <c r="N38" s="497"/>
    </row>
    <row r="39" spans="1:14" s="329" customFormat="1" ht="13.5" customHeight="1" x14ac:dyDescent="0.2">
      <c r="A39" s="496" t="s">
        <v>360</v>
      </c>
      <c r="B39" s="483">
        <v>730</v>
      </c>
      <c r="C39" s="466">
        <v>697717</v>
      </c>
      <c r="D39" s="466">
        <v>15635</v>
      </c>
      <c r="E39" s="466">
        <v>11306</v>
      </c>
      <c r="F39" s="466">
        <v>121718</v>
      </c>
      <c r="G39" s="466">
        <v>13024</v>
      </c>
      <c r="H39" s="466">
        <v>14584</v>
      </c>
      <c r="I39" s="466"/>
      <c r="J39" s="467">
        <v>41292</v>
      </c>
      <c r="K39" s="466">
        <v>27138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778118</v>
      </c>
      <c r="N40" s="497"/>
    </row>
    <row r="41" spans="1:14" ht="13.5" customHeight="1" thickBot="1" x14ac:dyDescent="0.25">
      <c r="A41" s="1758" t="s">
        <v>676</v>
      </c>
      <c r="B41" s="1728"/>
      <c r="C41" s="1710">
        <f>(SUM(C34,C37,C38,C39))</f>
        <v>751611</v>
      </c>
      <c r="D41" s="1710">
        <f t="shared" ref="D41:L41" si="2">SUM(D34,D37,D38:D39)</f>
        <v>15635</v>
      </c>
      <c r="E41" s="1710">
        <f t="shared" si="2"/>
        <v>11306</v>
      </c>
      <c r="F41" s="1710">
        <f t="shared" si="2"/>
        <v>121718</v>
      </c>
      <c r="G41" s="1710">
        <f t="shared" si="2"/>
        <v>35630</v>
      </c>
      <c r="H41" s="1710">
        <f t="shared" si="2"/>
        <v>14584</v>
      </c>
      <c r="I41" s="1710">
        <f t="shared" si="2"/>
        <v>0</v>
      </c>
      <c r="J41" s="1710">
        <f t="shared" si="2"/>
        <v>41292</v>
      </c>
      <c r="K41" s="1710">
        <f t="shared" si="2"/>
        <v>27138</v>
      </c>
      <c r="L41" s="1710">
        <f t="shared" si="2"/>
        <v>12900</v>
      </c>
      <c r="M41" s="1710">
        <f>SUM(M40)</f>
        <v>778118</v>
      </c>
      <c r="N41" s="1710">
        <f>SUM(N37)</f>
        <v>290000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7" activePane="bottomLeft" state="frozenSplit"/>
      <selection activeCell="A47" sqref="A47"/>
      <selection pane="bottomLeft" activeCell="I80" sqref="I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6" t="s">
        <v>1237</v>
      </c>
      <c r="B3" s="2157"/>
      <c r="C3" s="1595"/>
      <c r="D3" s="1596"/>
      <c r="E3" s="1596"/>
      <c r="F3" s="1596"/>
      <c r="G3" s="1596"/>
      <c r="H3" s="1596"/>
      <c r="I3" s="1596"/>
      <c r="J3" s="1596"/>
      <c r="K3" s="1597"/>
      <c r="L3" s="506"/>
    </row>
    <row r="4" spans="1:13" ht="15.75" customHeight="1" x14ac:dyDescent="0.2">
      <c r="A4" s="1953" t="s">
        <v>1579</v>
      </c>
      <c r="B4" s="1954">
        <v>1000</v>
      </c>
      <c r="C4" s="1764">
        <f>'Revenues 9-14'!C109</f>
        <v>743029</v>
      </c>
      <c r="D4" s="1764">
        <f>'Revenues 9-14'!D109</f>
        <v>106422</v>
      </c>
      <c r="E4" s="1764">
        <f>'Revenues 9-14'!E109</f>
        <v>52578</v>
      </c>
      <c r="F4" s="1764">
        <f>'Revenues 9-14'!F109</f>
        <v>77195</v>
      </c>
      <c r="G4" s="1764">
        <f>'Revenues 9-14'!G109</f>
        <v>49215</v>
      </c>
      <c r="H4" s="1764">
        <f>'Revenues 9-14'!H109</f>
        <v>0</v>
      </c>
      <c r="I4" s="1764">
        <f>'Revenues 9-14'!I109</f>
        <v>3068</v>
      </c>
      <c r="J4" s="1764">
        <f>'Revenues 9-14'!J109</f>
        <v>27504</v>
      </c>
      <c r="K4" s="1764">
        <f>'Revenues 9-14'!K109</f>
        <v>4742</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263215</v>
      </c>
      <c r="D6" s="1765">
        <f>'Revenues 9-14'!D173</f>
        <v>0</v>
      </c>
      <c r="E6" s="1765">
        <f>'Revenues 9-14'!E173</f>
        <v>0</v>
      </c>
      <c r="F6" s="1765">
        <f>'Revenues 9-14'!F173</f>
        <v>57054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68651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1074895</v>
      </c>
      <c r="D8" s="1710">
        <f t="shared" ref="D8:K8" si="0">SUM(D4:D7)</f>
        <v>106422</v>
      </c>
      <c r="E8" s="1710">
        <f t="shared" si="0"/>
        <v>52578</v>
      </c>
      <c r="F8" s="1710">
        <f t="shared" si="0"/>
        <v>134249</v>
      </c>
      <c r="G8" s="1710">
        <f t="shared" si="0"/>
        <v>49215</v>
      </c>
      <c r="H8" s="1710">
        <f t="shared" si="0"/>
        <v>0</v>
      </c>
      <c r="I8" s="1710">
        <f t="shared" si="0"/>
        <v>3068</v>
      </c>
      <c r="J8" s="1710">
        <f t="shared" si="0"/>
        <v>27504</v>
      </c>
      <c r="K8" s="1710">
        <f t="shared" si="0"/>
        <v>4742</v>
      </c>
      <c r="L8" s="347"/>
    </row>
    <row r="9" spans="1:13" ht="15.75" thickTop="1" x14ac:dyDescent="0.2">
      <c r="A9" s="514" t="s">
        <v>1752</v>
      </c>
      <c r="B9" s="515">
        <v>3998</v>
      </c>
      <c r="C9" s="481">
        <v>64902</v>
      </c>
      <c r="D9" s="516"/>
      <c r="E9" s="481"/>
      <c r="F9" s="481"/>
      <c r="G9" s="517"/>
      <c r="H9" s="481"/>
      <c r="I9" s="509" t="s">
        <v>1231</v>
      </c>
      <c r="J9" s="478"/>
      <c r="K9" s="481"/>
      <c r="L9" s="347"/>
    </row>
    <row r="10" spans="1:13" s="519" customFormat="1" ht="13.5" thickBot="1" x14ac:dyDescent="0.25">
      <c r="A10" s="1758" t="s">
        <v>1235</v>
      </c>
      <c r="B10" s="1731"/>
      <c r="C10" s="1710">
        <f>SUM(C8:C9)</f>
        <v>1139797</v>
      </c>
      <c r="D10" s="1710">
        <f t="shared" ref="D10:K10" si="1">SUM(D8:D9)</f>
        <v>106422</v>
      </c>
      <c r="E10" s="1710">
        <f t="shared" si="1"/>
        <v>52578</v>
      </c>
      <c r="F10" s="1710">
        <f t="shared" si="1"/>
        <v>134249</v>
      </c>
      <c r="G10" s="1710">
        <f t="shared" si="1"/>
        <v>49215</v>
      </c>
      <c r="H10" s="1710">
        <f t="shared" si="1"/>
        <v>0</v>
      </c>
      <c r="I10" s="1710">
        <f t="shared" si="1"/>
        <v>3068</v>
      </c>
      <c r="J10" s="1710">
        <f t="shared" si="1"/>
        <v>27504</v>
      </c>
      <c r="K10" s="1710">
        <f t="shared" si="1"/>
        <v>4742</v>
      </c>
      <c r="L10" s="518"/>
    </row>
    <row r="11" spans="1:13" s="519" customFormat="1" ht="16.7" customHeight="1" thickTop="1" x14ac:dyDescent="0.2">
      <c r="A11" s="2130" t="s">
        <v>1238</v>
      </c>
      <c r="B11" s="2131"/>
      <c r="C11" s="1592"/>
      <c r="D11" s="1593"/>
      <c r="E11" s="1593"/>
      <c r="F11" s="1593"/>
      <c r="G11" s="1593"/>
      <c r="H11" s="1593"/>
      <c r="I11" s="1593"/>
      <c r="J11" s="1593"/>
      <c r="K11" s="1594"/>
      <c r="L11" s="518"/>
    </row>
    <row r="12" spans="1:13" ht="15.75" customHeight="1" x14ac:dyDescent="0.2">
      <c r="A12" s="1598" t="s">
        <v>476</v>
      </c>
      <c r="B12" s="1600">
        <v>1000</v>
      </c>
      <c r="C12" s="1764">
        <f>'Expenditures 15-22'!K33</f>
        <v>673418</v>
      </c>
      <c r="D12" s="520" t="s">
        <v>1231</v>
      </c>
      <c r="E12" s="468" t="s">
        <v>1231</v>
      </c>
      <c r="F12" s="468" t="s">
        <v>1231</v>
      </c>
      <c r="G12" s="1764">
        <f>'Expenditures 15-22'!K229</f>
        <v>12272</v>
      </c>
      <c r="H12" s="521"/>
      <c r="I12" s="468" t="s">
        <v>1231</v>
      </c>
      <c r="J12" s="468" t="s">
        <v>1231</v>
      </c>
      <c r="K12" s="521" t="s">
        <v>1231</v>
      </c>
      <c r="L12" s="347"/>
    </row>
    <row r="13" spans="1:13" ht="15.75" customHeight="1" x14ac:dyDescent="0.2">
      <c r="A13" s="1598" t="s">
        <v>477</v>
      </c>
      <c r="B13" s="1600">
        <v>2000</v>
      </c>
      <c r="C13" s="1765">
        <f>'Expenditures 15-22'!K74</f>
        <v>263907</v>
      </c>
      <c r="D13" s="1765">
        <f>'Expenditures 15-22'!K129</f>
        <v>162866</v>
      </c>
      <c r="E13" s="469" t="s">
        <v>1231</v>
      </c>
      <c r="F13" s="1765">
        <f>'Expenditures 15-22'!K184</f>
        <v>72727</v>
      </c>
      <c r="G13" s="1765">
        <f>'Expenditures 15-22'!K279</f>
        <v>23635</v>
      </c>
      <c r="H13" s="1765">
        <f>'Expenditures 15-22'!K303</f>
        <v>8525</v>
      </c>
      <c r="I13" s="468" t="s">
        <v>1231</v>
      </c>
      <c r="J13" s="1765">
        <f>'Expenditures 15-22'!K330</f>
        <v>27004</v>
      </c>
      <c r="K13" s="1769">
        <f>'Expenditures 15-22'!K352</f>
        <v>647</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38361</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45787</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975686</v>
      </c>
      <c r="D17" s="1710">
        <f t="shared" si="2"/>
        <v>162866</v>
      </c>
      <c r="E17" s="1710">
        <f t="shared" si="2"/>
        <v>45787</v>
      </c>
      <c r="F17" s="1710">
        <f t="shared" si="2"/>
        <v>72727</v>
      </c>
      <c r="G17" s="1710">
        <f t="shared" si="2"/>
        <v>35907</v>
      </c>
      <c r="H17" s="1710">
        <f t="shared" si="2"/>
        <v>8525</v>
      </c>
      <c r="I17" s="468"/>
      <c r="J17" s="1710">
        <f>SUM(J12:J16)</f>
        <v>27004</v>
      </c>
      <c r="K17" s="1710">
        <f>SUM(K12:K16)</f>
        <v>647</v>
      </c>
      <c r="L17" s="347"/>
    </row>
    <row r="18" spans="1:12" ht="15" customHeight="1" thickTop="1" x14ac:dyDescent="0.2">
      <c r="A18" s="1766" t="s">
        <v>1753</v>
      </c>
      <c r="B18" s="1767">
        <v>4180</v>
      </c>
      <c r="C18" s="1764">
        <f t="shared" ref="C18:H18" si="3">C9</f>
        <v>64902</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1040588</v>
      </c>
      <c r="D19" s="1710">
        <f t="shared" si="4"/>
        <v>162866</v>
      </c>
      <c r="E19" s="1710">
        <f t="shared" si="4"/>
        <v>45787</v>
      </c>
      <c r="F19" s="1710">
        <f t="shared" si="4"/>
        <v>72727</v>
      </c>
      <c r="G19" s="1710">
        <f t="shared" si="4"/>
        <v>35907</v>
      </c>
      <c r="H19" s="1710">
        <f t="shared" si="4"/>
        <v>8525</v>
      </c>
      <c r="I19" s="468"/>
      <c r="J19" s="1710">
        <f>SUM(J17:J18)</f>
        <v>27004</v>
      </c>
      <c r="K19" s="1710">
        <f>SUM(K17:K18)</f>
        <v>647</v>
      </c>
      <c r="L19" s="347"/>
    </row>
    <row r="20" spans="1:12" ht="16.5" thickTop="1" thickBot="1" x14ac:dyDescent="0.25">
      <c r="A20" s="2146" t="s">
        <v>1754</v>
      </c>
      <c r="B20" s="2147"/>
      <c r="C20" s="1768">
        <f>C8-C17</f>
        <v>99209</v>
      </c>
      <c r="D20" s="1768">
        <f t="shared" ref="D20:K20" si="5">D8-D17</f>
        <v>-56444</v>
      </c>
      <c r="E20" s="1768">
        <f t="shared" si="5"/>
        <v>6791</v>
      </c>
      <c r="F20" s="1768">
        <f t="shared" si="5"/>
        <v>61522</v>
      </c>
      <c r="G20" s="1768">
        <f t="shared" si="5"/>
        <v>13308</v>
      </c>
      <c r="H20" s="1768">
        <f t="shared" si="5"/>
        <v>-8525</v>
      </c>
      <c r="I20" s="1768">
        <f t="shared" si="5"/>
        <v>3068</v>
      </c>
      <c r="J20" s="1768">
        <f t="shared" si="5"/>
        <v>500</v>
      </c>
      <c r="K20" s="1768">
        <f t="shared" si="5"/>
        <v>4095</v>
      </c>
      <c r="L20" s="347"/>
    </row>
    <row r="21" spans="1:12" ht="16.7" customHeight="1" thickTop="1" x14ac:dyDescent="0.2">
      <c r="A21" s="2158" t="s">
        <v>616</v>
      </c>
      <c r="B21" s="2159"/>
      <c r="C21" s="1592"/>
      <c r="D21" s="1593"/>
      <c r="E21" s="1593"/>
      <c r="F21" s="1593"/>
      <c r="G21" s="1593"/>
      <c r="H21" s="1593"/>
      <c r="I21" s="1593"/>
      <c r="J21" s="1593"/>
      <c r="K21" s="1594"/>
      <c r="L21" s="524"/>
    </row>
    <row r="22" spans="1:12" ht="15.75" customHeight="1" collapsed="1" x14ac:dyDescent="0.2">
      <c r="A22" s="2154" t="s">
        <v>617</v>
      </c>
      <c r="B22" s="2155"/>
      <c r="C22" s="477"/>
      <c r="D22" s="477"/>
      <c r="E22" s="477"/>
      <c r="F22" s="477"/>
      <c r="G22" s="477"/>
      <c r="H22" s="477"/>
      <c r="I22" s="477"/>
      <c r="J22" s="477"/>
      <c r="K22" s="477"/>
      <c r="L22" s="347"/>
    </row>
    <row r="23" spans="1:12" s="485" customFormat="1" ht="15.75" customHeight="1" x14ac:dyDescent="0.2">
      <c r="A23" s="2150" t="s">
        <v>311</v>
      </c>
      <c r="B23" s="2151"/>
      <c r="C23" s="480"/>
      <c r="D23" s="477"/>
      <c r="E23" s="477"/>
      <c r="F23" s="477"/>
      <c r="G23" s="477"/>
      <c r="H23" s="477"/>
      <c r="I23" s="477"/>
      <c r="J23" s="477"/>
      <c r="K23" s="477"/>
      <c r="L23" s="524"/>
    </row>
    <row r="24" spans="1:12" s="485" customFormat="1" ht="13.5" customHeight="1" x14ac:dyDescent="0.2">
      <c r="A24" s="1511" t="s">
        <v>1755</v>
      </c>
      <c r="B24" s="525">
        <v>7110</v>
      </c>
      <c r="C24" s="467">
        <v>3068</v>
      </c>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v>20000</v>
      </c>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2" t="s">
        <v>1038</v>
      </c>
      <c r="B32" s="2153"/>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60" t="s">
        <v>392</v>
      </c>
      <c r="B44" s="2161"/>
      <c r="C44" s="1725">
        <f>SUM(C24:C43)</f>
        <v>3068</v>
      </c>
      <c r="D44" s="1725">
        <f t="shared" ref="D44:K44" si="6">SUM(D24:D43)</f>
        <v>20000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3068</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20000</v>
      </c>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6" t="s">
        <v>460</v>
      </c>
      <c r="B76" s="2137"/>
      <c r="C76" s="1725">
        <f t="shared" ref="C76:K76" si="7">SUM(C47:C75)</f>
        <v>20000</v>
      </c>
      <c r="D76" s="1725">
        <f t="shared" si="7"/>
        <v>0</v>
      </c>
      <c r="E76" s="1725">
        <f t="shared" si="7"/>
        <v>0</v>
      </c>
      <c r="F76" s="1725">
        <f t="shared" si="7"/>
        <v>0</v>
      </c>
      <c r="G76" s="1725">
        <f t="shared" si="7"/>
        <v>0</v>
      </c>
      <c r="H76" s="1725">
        <f t="shared" si="7"/>
        <v>0</v>
      </c>
      <c r="I76" s="1725">
        <f t="shared" si="7"/>
        <v>3068</v>
      </c>
      <c r="J76" s="1725">
        <f t="shared" si="7"/>
        <v>0</v>
      </c>
      <c r="K76" s="1725">
        <f t="shared" si="7"/>
        <v>0</v>
      </c>
      <c r="L76" s="524"/>
    </row>
    <row r="77" spans="1:12" ht="14.25" thickTop="1" thickBot="1" x14ac:dyDescent="0.25">
      <c r="A77" s="2138" t="s">
        <v>1239</v>
      </c>
      <c r="B77" s="2139"/>
      <c r="C77" s="1725">
        <f t="shared" ref="C77:K77" si="8">C44-C76</f>
        <v>-16932</v>
      </c>
      <c r="D77" s="1725">
        <f t="shared" si="8"/>
        <v>20000</v>
      </c>
      <c r="E77" s="1725">
        <f t="shared" si="8"/>
        <v>0</v>
      </c>
      <c r="F77" s="1725">
        <f t="shared" si="8"/>
        <v>0</v>
      </c>
      <c r="G77" s="1725">
        <f t="shared" si="8"/>
        <v>0</v>
      </c>
      <c r="H77" s="1725">
        <f t="shared" si="8"/>
        <v>0</v>
      </c>
      <c r="I77" s="1725">
        <f t="shared" si="8"/>
        <v>-3068</v>
      </c>
      <c r="J77" s="1725">
        <f t="shared" si="8"/>
        <v>0</v>
      </c>
      <c r="K77" s="1725">
        <f t="shared" si="8"/>
        <v>0</v>
      </c>
      <c r="L77" s="347"/>
    </row>
    <row r="78" spans="1:12" ht="21.75" customHeight="1" thickTop="1" thickBot="1" x14ac:dyDescent="0.25">
      <c r="A78" s="2142" t="s">
        <v>618</v>
      </c>
      <c r="B78" s="2143"/>
      <c r="C78" s="1724">
        <f t="shared" ref="C78:K78" si="9">C20+C77</f>
        <v>82277</v>
      </c>
      <c r="D78" s="1724">
        <f t="shared" si="9"/>
        <v>-36444</v>
      </c>
      <c r="E78" s="1724">
        <f t="shared" si="9"/>
        <v>6791</v>
      </c>
      <c r="F78" s="1724">
        <f t="shared" si="9"/>
        <v>61522</v>
      </c>
      <c r="G78" s="1724">
        <f t="shared" si="9"/>
        <v>13308</v>
      </c>
      <c r="H78" s="1724">
        <f t="shared" si="9"/>
        <v>-8525</v>
      </c>
      <c r="I78" s="1724">
        <f t="shared" si="9"/>
        <v>0</v>
      </c>
      <c r="J78" s="1724">
        <f t="shared" si="9"/>
        <v>500</v>
      </c>
      <c r="K78" s="1724">
        <f t="shared" si="9"/>
        <v>4095</v>
      </c>
      <c r="L78" s="533"/>
    </row>
    <row r="79" spans="1:12" ht="13.5" thickTop="1" x14ac:dyDescent="0.2">
      <c r="A79" s="1516" t="s">
        <v>2071</v>
      </c>
      <c r="B79" s="534"/>
      <c r="C79" s="478">
        <v>669334</v>
      </c>
      <c r="D79" s="535">
        <v>52079</v>
      </c>
      <c r="E79" s="535">
        <v>4515</v>
      </c>
      <c r="F79" s="535">
        <v>60196</v>
      </c>
      <c r="G79" s="535">
        <v>22322</v>
      </c>
      <c r="H79" s="535">
        <v>23109</v>
      </c>
      <c r="I79" s="535">
        <v>0</v>
      </c>
      <c r="J79" s="535">
        <v>40792</v>
      </c>
      <c r="K79" s="535">
        <v>23043</v>
      </c>
      <c r="L79" s="347"/>
    </row>
    <row r="80" spans="1:12" x14ac:dyDescent="0.2">
      <c r="A80" s="2148" t="s">
        <v>1898</v>
      </c>
      <c r="B80" s="2149"/>
      <c r="C80" s="467"/>
      <c r="D80" s="467"/>
      <c r="E80" s="467"/>
      <c r="F80" s="467"/>
      <c r="G80" s="467"/>
      <c r="H80" s="467"/>
      <c r="I80" s="467"/>
      <c r="J80" s="467"/>
      <c r="K80" s="467"/>
      <c r="L80" s="347"/>
    </row>
    <row r="81" spans="1:12" ht="13.5" thickBot="1" x14ac:dyDescent="0.25">
      <c r="A81" s="2140" t="s">
        <v>2072</v>
      </c>
      <c r="B81" s="2141"/>
      <c r="C81" s="1710">
        <f>(SUM(C78:C80))</f>
        <v>751611</v>
      </c>
      <c r="D81" s="1710">
        <f>SUM(D78:D80)</f>
        <v>15635</v>
      </c>
      <c r="E81" s="1710">
        <f t="shared" ref="E81:K81" si="10">SUM(E78:E80)</f>
        <v>11306</v>
      </c>
      <c r="F81" s="1710">
        <f t="shared" si="10"/>
        <v>121718</v>
      </c>
      <c r="G81" s="1710">
        <f t="shared" si="10"/>
        <v>35630</v>
      </c>
      <c r="H81" s="1710">
        <f t="shared" si="10"/>
        <v>14584</v>
      </c>
      <c r="I81" s="1710">
        <f t="shared" si="10"/>
        <v>0</v>
      </c>
      <c r="J81" s="1710">
        <f t="shared" si="10"/>
        <v>41292</v>
      </c>
      <c r="K81" s="1710">
        <f t="shared" si="10"/>
        <v>27138</v>
      </c>
      <c r="L81" s="347"/>
    </row>
    <row r="82" spans="1:12" ht="0.75" customHeight="1" thickTop="1" thickBot="1" x14ac:dyDescent="0.25">
      <c r="A82" s="536" t="s">
        <v>361</v>
      </c>
      <c r="B82" s="537"/>
      <c r="C82" s="538">
        <f>(C81-C79)</f>
        <v>82277</v>
      </c>
      <c r="D82" s="538">
        <f t="shared" ref="D82:K82" si="11">(D81-D79)</f>
        <v>-36444</v>
      </c>
      <c r="E82" s="538">
        <f t="shared" si="11"/>
        <v>6791</v>
      </c>
      <c r="F82" s="538">
        <f t="shared" si="11"/>
        <v>61522</v>
      </c>
      <c r="G82" s="538">
        <f t="shared" si="11"/>
        <v>13308</v>
      </c>
      <c r="H82" s="538">
        <f t="shared" si="11"/>
        <v>-8525</v>
      </c>
      <c r="I82" s="538">
        <f t="shared" si="11"/>
        <v>0</v>
      </c>
      <c r="J82" s="538">
        <f t="shared" si="11"/>
        <v>500</v>
      </c>
      <c r="K82" s="538">
        <f t="shared" si="11"/>
        <v>4095</v>
      </c>
    </row>
    <row r="83" spans="1:12" ht="14.25" hidden="1" thickTop="1" thickBot="1" x14ac:dyDescent="0.25">
      <c r="A83" s="539" t="s">
        <v>362</v>
      </c>
      <c r="B83" s="464"/>
      <c r="C83" s="540">
        <f>C82/C81</f>
        <v>0.10946753041134311</v>
      </c>
      <c r="D83" s="540">
        <f t="shared" ref="D83:K83" si="12">D82/D81</f>
        <v>-2.330924208506556</v>
      </c>
      <c r="E83" s="540">
        <f t="shared" si="12"/>
        <v>0.60065451972404038</v>
      </c>
      <c r="F83" s="540">
        <f t="shared" si="12"/>
        <v>0.50544701687507188</v>
      </c>
      <c r="G83" s="540">
        <f t="shared" si="12"/>
        <v>0.37350547291608194</v>
      </c>
      <c r="H83" s="540">
        <f t="shared" si="12"/>
        <v>-0.58454470652770163</v>
      </c>
      <c r="I83" s="540" t="e">
        <f t="shared" si="12"/>
        <v>#DIV/0!</v>
      </c>
      <c r="J83" s="540">
        <f t="shared" si="12"/>
        <v>1.2108883076625013E-2</v>
      </c>
      <c r="K83" s="540">
        <f t="shared" si="12"/>
        <v>0.15089542339155429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50" activePane="bottomLeft" state="frozen"/>
      <selection activeCell="A47" sqref="A47"/>
      <selection pane="bottomLeft" activeCell="F151" sqref="F15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1905</v>
      </c>
      <c r="B1" s="452"/>
      <c r="C1" s="453" t="s">
        <v>445</v>
      </c>
      <c r="D1" s="453" t="s">
        <v>446</v>
      </c>
      <c r="E1" s="453" t="s">
        <v>447</v>
      </c>
      <c r="F1" s="453" t="s">
        <v>448</v>
      </c>
      <c r="G1" s="453" t="s">
        <v>449</v>
      </c>
      <c r="H1" s="453" t="s">
        <v>450</v>
      </c>
      <c r="I1" s="453" t="s">
        <v>451</v>
      </c>
      <c r="J1" s="453" t="s">
        <v>452</v>
      </c>
      <c r="K1" s="453" t="s">
        <v>780</v>
      </c>
    </row>
    <row r="2" spans="1:12" ht="36" x14ac:dyDescent="0.2">
      <c r="A2" s="214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665783</v>
      </c>
      <c r="D5" s="481">
        <v>104803</v>
      </c>
      <c r="E5" s="466"/>
      <c r="F5" s="548">
        <v>77195</v>
      </c>
      <c r="G5" s="466">
        <v>25091</v>
      </c>
      <c r="H5" s="466"/>
      <c r="I5" s="466">
        <v>3068</v>
      </c>
      <c r="J5" s="467">
        <v>27504</v>
      </c>
      <c r="K5" s="466">
        <v>4742</v>
      </c>
    </row>
    <row r="6" spans="1:12" ht="15" x14ac:dyDescent="0.2">
      <c r="A6" s="463" t="s">
        <v>1761</v>
      </c>
      <c r="B6" s="470">
        <v>1130</v>
      </c>
      <c r="C6" s="466">
        <v>3793</v>
      </c>
      <c r="D6" s="466"/>
      <c r="E6" s="475"/>
      <c r="F6" s="475"/>
      <c r="G6" s="468"/>
      <c r="H6" s="468"/>
      <c r="I6" s="468"/>
      <c r="J6" s="468"/>
      <c r="K6" s="468"/>
    </row>
    <row r="7" spans="1:12" x14ac:dyDescent="0.2">
      <c r="A7" s="463" t="s">
        <v>112</v>
      </c>
      <c r="B7" s="549">
        <v>1140</v>
      </c>
      <c r="C7" s="466">
        <v>2845</v>
      </c>
      <c r="D7" s="466"/>
      <c r="E7" s="468"/>
      <c r="F7" s="467"/>
      <c r="G7" s="467"/>
      <c r="H7" s="467"/>
      <c r="I7" s="468"/>
      <c r="J7" s="468"/>
      <c r="K7" s="468"/>
    </row>
    <row r="8" spans="1:12" x14ac:dyDescent="0.2">
      <c r="A8" s="463" t="s">
        <v>433</v>
      </c>
      <c r="B8" s="470">
        <v>1150</v>
      </c>
      <c r="C8" s="475"/>
      <c r="D8" s="475"/>
      <c r="E8" s="477"/>
      <c r="F8" s="477"/>
      <c r="G8" s="481">
        <v>24124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672421</v>
      </c>
      <c r="D12" s="1729">
        <f t="shared" si="0"/>
        <v>104803</v>
      </c>
      <c r="E12" s="1729">
        <f t="shared" si="0"/>
        <v>0</v>
      </c>
      <c r="F12" s="1729">
        <f t="shared" si="0"/>
        <v>77195</v>
      </c>
      <c r="G12" s="1729">
        <f t="shared" si="0"/>
        <v>49215</v>
      </c>
      <c r="H12" s="1729">
        <f t="shared" si="0"/>
        <v>0</v>
      </c>
      <c r="I12" s="1729">
        <f t="shared" si="0"/>
        <v>3068</v>
      </c>
      <c r="J12" s="1729">
        <f t="shared" si="0"/>
        <v>27504</v>
      </c>
      <c r="K12" s="1710">
        <f t="shared" si="0"/>
        <v>4742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22346</v>
      </c>
      <c r="D16" s="466"/>
      <c r="E16" s="466"/>
      <c r="F16" s="466"/>
      <c r="G16" s="466"/>
      <c r="H16" s="466"/>
      <c r="I16" s="466"/>
      <c r="J16" s="467"/>
      <c r="K16" s="466"/>
    </row>
    <row r="17" spans="1:11" ht="12.75" customHeight="1" x14ac:dyDescent="0.2">
      <c r="A17" s="463" t="s">
        <v>840</v>
      </c>
      <c r="B17" s="470">
        <v>1290</v>
      </c>
      <c r="C17" s="551"/>
      <c r="D17" s="466"/>
      <c r="E17" s="466">
        <v>52578</v>
      </c>
      <c r="F17" s="466"/>
      <c r="G17" s="466"/>
      <c r="H17" s="466"/>
      <c r="I17" s="466"/>
      <c r="J17" s="467"/>
      <c r="K17" s="466"/>
    </row>
    <row r="18" spans="1:11" ht="12.75" customHeight="1" thickBot="1" x14ac:dyDescent="0.25">
      <c r="A18" s="1730" t="s">
        <v>558</v>
      </c>
      <c r="B18" s="1731"/>
      <c r="C18" s="1732">
        <f>SUM(C14:C17)</f>
        <v>22346</v>
      </c>
      <c r="D18" s="1732">
        <f t="shared" ref="D18:K18" si="1">SUM(D14:D17)</f>
        <v>0</v>
      </c>
      <c r="E18" s="1732">
        <f t="shared" si="1"/>
        <v>52578</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5150</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5150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2572</v>
      </c>
      <c r="D65" s="466">
        <v>198</v>
      </c>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2572</v>
      </c>
      <c r="D67" s="1710">
        <f t="shared" ref="D67:K67" si="2">SUM(D65:D66)</f>
        <v>198</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22201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720</v>
      </c>
      <c r="D73" s="468"/>
      <c r="E73" s="468"/>
      <c r="F73" s="468"/>
      <c r="G73" s="468"/>
      <c r="H73" s="468"/>
      <c r="I73" s="468"/>
      <c r="J73" s="468"/>
      <c r="K73" s="468"/>
    </row>
    <row r="74" spans="1:11" ht="12.75" customHeight="1" x14ac:dyDescent="0.2">
      <c r="A74" s="463" t="s">
        <v>25</v>
      </c>
      <c r="B74" s="470">
        <v>1690</v>
      </c>
      <c r="C74" s="551">
        <v>788</v>
      </c>
      <c r="D74" s="468"/>
      <c r="E74" s="468"/>
      <c r="F74" s="468"/>
      <c r="G74" s="468"/>
      <c r="H74" s="468"/>
      <c r="I74" s="468"/>
      <c r="J74" s="468"/>
      <c r="K74" s="468"/>
    </row>
    <row r="75" spans="1:11" ht="12.75" customHeight="1" thickBot="1" x14ac:dyDescent="0.25">
      <c r="A75" s="1730" t="s">
        <v>569</v>
      </c>
      <c r="B75" s="1731"/>
      <c r="C75" s="1710">
        <f>SUM(C69:C74)</f>
        <v>23709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v>1421</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188</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14780</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1863</v>
      </c>
      <c r="D107" s="466"/>
      <c r="E107" s="466"/>
      <c r="F107" s="466"/>
      <c r="G107" s="466"/>
      <c r="H107" s="466"/>
      <c r="I107" s="466"/>
      <c r="J107" s="467"/>
      <c r="K107" s="466"/>
    </row>
    <row r="108" spans="1:12" ht="12.75" customHeight="1" thickBot="1" x14ac:dyDescent="0.25">
      <c r="A108" s="1730" t="s">
        <v>508</v>
      </c>
      <c r="B108" s="1734"/>
      <c r="C108" s="1729">
        <f>SUM(C95:C107)</f>
        <v>16831</v>
      </c>
      <c r="D108" s="1729">
        <f t="shared" ref="D108:K108" si="3">SUM(D95:D107)</f>
        <v>1421</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743029</v>
      </c>
      <c r="D109" s="1737">
        <f t="shared" si="4"/>
        <v>106422</v>
      </c>
      <c r="E109" s="1737">
        <f t="shared" si="4"/>
        <v>52578</v>
      </c>
      <c r="F109" s="1737">
        <f t="shared" si="4"/>
        <v>77195</v>
      </c>
      <c r="G109" s="1737">
        <f t="shared" si="4"/>
        <v>49215</v>
      </c>
      <c r="H109" s="1737">
        <f t="shared" si="4"/>
        <v>0</v>
      </c>
      <c r="I109" s="1737">
        <f t="shared" si="4"/>
        <v>3068</v>
      </c>
      <c r="J109" s="1737">
        <f t="shared" si="4"/>
        <v>27504</v>
      </c>
      <c r="K109" s="1724">
        <f t="shared" si="4"/>
        <v>4742</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245976</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245976</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7077</v>
      </c>
      <c r="D125" s="561"/>
      <c r="E125" s="468"/>
      <c r="F125" s="466"/>
      <c r="G125" s="468"/>
      <c r="H125" s="468"/>
      <c r="I125" s="468"/>
      <c r="J125" s="468"/>
      <c r="K125" s="468"/>
    </row>
    <row r="126" spans="1:11" ht="12.75" customHeight="1" x14ac:dyDescent="0.2">
      <c r="A126" s="463" t="s">
        <v>922</v>
      </c>
      <c r="B126" s="562">
        <v>3110</v>
      </c>
      <c r="C126" s="551">
        <v>9000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16077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412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57054</v>
      </c>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57054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4" t="s">
        <v>418</v>
      </c>
      <c r="B172" s="2165"/>
      <c r="C172" s="1744">
        <f t="shared" ref="C172:K172" si="6">SUM(C131,C140,C144,C145:C149,C154,C155:C170,C171)</f>
        <v>17239</v>
      </c>
      <c r="D172" s="1744">
        <f t="shared" si="6"/>
        <v>0</v>
      </c>
      <c r="E172" s="1744">
        <f t="shared" si="6"/>
        <v>0</v>
      </c>
      <c r="F172" s="1744">
        <f t="shared" si="6"/>
        <v>57054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263215</v>
      </c>
      <c r="D173" s="1737">
        <f>SUM(D121,D172)</f>
        <v>0</v>
      </c>
      <c r="E173" s="1737">
        <f>SUM(E121,E172)</f>
        <v>0</v>
      </c>
      <c r="F173" s="1737">
        <f t="shared" ref="F173:K173" si="7">SUM(F121,F172)</f>
        <v>57054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6" t="s">
        <v>1572</v>
      </c>
      <c r="B175" s="216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0" t="s">
        <v>1764</v>
      </c>
      <c r="B178" s="2171"/>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4" t="s">
        <v>1763</v>
      </c>
      <c r="B179" s="217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2" t="s">
        <v>818</v>
      </c>
      <c r="B184" s="2173"/>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8" t="s">
        <v>1906</v>
      </c>
      <c r="B185" s="2169"/>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17827</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17827</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23972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6268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30240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6304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6304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2000</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1935</v>
      </c>
      <c r="D270" s="576"/>
      <c r="E270" s="468"/>
      <c r="F270" s="576"/>
      <c r="G270" s="576"/>
      <c r="H270" s="468"/>
      <c r="I270" s="468"/>
      <c r="J270" s="468"/>
      <c r="K270" s="468"/>
    </row>
    <row r="271" spans="1:11" ht="12.75" customHeight="1" thickTop="1" thickBot="1" x14ac:dyDescent="0.25">
      <c r="A271" s="463" t="s">
        <v>395</v>
      </c>
      <c r="B271" s="470">
        <v>4992</v>
      </c>
      <c r="C271" s="575">
        <v>10345</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68651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68651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1074895</v>
      </c>
      <c r="D275" s="1737">
        <f t="shared" si="12"/>
        <v>106422</v>
      </c>
      <c r="E275" s="1737">
        <f t="shared" si="12"/>
        <v>52578</v>
      </c>
      <c r="F275" s="1737">
        <f t="shared" si="12"/>
        <v>134249</v>
      </c>
      <c r="G275" s="1737">
        <f t="shared" si="12"/>
        <v>49215</v>
      </c>
      <c r="H275" s="1737">
        <f t="shared" si="12"/>
        <v>0</v>
      </c>
      <c r="I275" s="1737">
        <f t="shared" si="12"/>
        <v>3068</v>
      </c>
      <c r="J275" s="1737">
        <f t="shared" si="12"/>
        <v>27504</v>
      </c>
      <c r="K275" s="1724">
        <f t="shared" si="12"/>
        <v>4742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47" sqref="A47"/>
      <selection pane="bottomLeft" activeCell="B124" sqref="B1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418562</v>
      </c>
      <c r="D5" s="466">
        <v>77669</v>
      </c>
      <c r="E5" s="466">
        <v>20912</v>
      </c>
      <c r="F5" s="466">
        <v>15697</v>
      </c>
      <c r="G5" s="466"/>
      <c r="H5" s="466"/>
      <c r="I5" s="467"/>
      <c r="J5" s="467"/>
      <c r="K5" s="1693">
        <f>SUM(C5:J5)</f>
        <v>532840</v>
      </c>
      <c r="L5" s="466">
        <v>554851</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93982</v>
      </c>
      <c r="D8" s="466">
        <v>18527</v>
      </c>
      <c r="E8" s="466"/>
      <c r="F8" s="466">
        <v>3712</v>
      </c>
      <c r="G8" s="466"/>
      <c r="H8" s="466"/>
      <c r="I8" s="467"/>
      <c r="J8" s="467"/>
      <c r="K8" s="1693">
        <f t="shared" si="0"/>
        <v>116221</v>
      </c>
      <c r="L8" s="466">
        <v>110350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v>2897</v>
      </c>
      <c r="E10" s="466"/>
      <c r="F10" s="466"/>
      <c r="G10" s="466"/>
      <c r="H10" s="466"/>
      <c r="I10" s="467"/>
      <c r="J10" s="467"/>
      <c r="K10" s="1693">
        <f t="shared" si="0"/>
        <v>2897</v>
      </c>
      <c r="L10" s="466">
        <v>3000</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16862</v>
      </c>
      <c r="D14" s="466">
        <v>731</v>
      </c>
      <c r="E14" s="466"/>
      <c r="F14" s="466">
        <v>451</v>
      </c>
      <c r="G14" s="466"/>
      <c r="H14" s="466">
        <v>3416</v>
      </c>
      <c r="I14" s="467"/>
      <c r="J14" s="467"/>
      <c r="K14" s="1693">
        <f t="shared" si="0"/>
        <v>21460</v>
      </c>
      <c r="L14" s="466">
        <v>23850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529406</v>
      </c>
      <c r="D33" s="1692">
        <f t="shared" ref="D33:L33" si="1">SUM(D5:D32)</f>
        <v>99824</v>
      </c>
      <c r="E33" s="1692">
        <f t="shared" si="1"/>
        <v>20912</v>
      </c>
      <c r="F33" s="1692">
        <f t="shared" si="1"/>
        <v>19860</v>
      </c>
      <c r="G33" s="1692">
        <f t="shared" si="1"/>
        <v>0</v>
      </c>
      <c r="H33" s="1692">
        <f t="shared" si="1"/>
        <v>3416</v>
      </c>
      <c r="I33" s="1692">
        <f t="shared" si="1"/>
        <v>0</v>
      </c>
      <c r="J33" s="1692">
        <f t="shared" si="1"/>
        <v>0</v>
      </c>
      <c r="K33" s="1692">
        <f t="shared" si="1"/>
        <v>673418</v>
      </c>
      <c r="L33" s="1692">
        <f t="shared" si="1"/>
        <v>692051</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v>616</v>
      </c>
      <c r="F38" s="466"/>
      <c r="G38" s="466"/>
      <c r="H38" s="466"/>
      <c r="I38" s="467"/>
      <c r="J38" s="467"/>
      <c r="K38" s="1693">
        <f t="shared" si="2"/>
        <v>616</v>
      </c>
      <c r="L38" s="466">
        <v>800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v>10000</v>
      </c>
      <c r="F40" s="466"/>
      <c r="G40" s="466"/>
      <c r="H40" s="466"/>
      <c r="I40" s="467"/>
      <c r="J40" s="467"/>
      <c r="K40" s="1693">
        <f t="shared" si="2"/>
        <v>10000</v>
      </c>
      <c r="L40" s="466">
        <v>12000</v>
      </c>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10616</v>
      </c>
      <c r="F42" s="1692">
        <f t="shared" si="3"/>
        <v>0</v>
      </c>
      <c r="G42" s="1692">
        <f t="shared" si="3"/>
        <v>0</v>
      </c>
      <c r="H42" s="1692">
        <f t="shared" si="3"/>
        <v>0</v>
      </c>
      <c r="I42" s="1692">
        <f t="shared" si="3"/>
        <v>0</v>
      </c>
      <c r="J42" s="1692">
        <f t="shared" si="3"/>
        <v>0</v>
      </c>
      <c r="K42" s="1692">
        <f t="shared" si="3"/>
        <v>10616</v>
      </c>
      <c r="L42" s="1692">
        <f t="shared" si="3"/>
        <v>12800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1227</v>
      </c>
      <c r="F44" s="481"/>
      <c r="G44" s="481"/>
      <c r="H44" s="481"/>
      <c r="I44" s="467"/>
      <c r="J44" s="467"/>
      <c r="K44" s="1694">
        <f>SUM(C44:J44)</f>
        <v>1227</v>
      </c>
      <c r="L44" s="481">
        <v>2250</v>
      </c>
    </row>
    <row r="45" spans="1:14" x14ac:dyDescent="0.2">
      <c r="A45" s="1526" t="s">
        <v>869</v>
      </c>
      <c r="B45" s="615">
        <v>2220</v>
      </c>
      <c r="C45" s="466"/>
      <c r="D45" s="466"/>
      <c r="E45" s="466">
        <v>10018</v>
      </c>
      <c r="F45" s="466">
        <v>664</v>
      </c>
      <c r="G45" s="466"/>
      <c r="H45" s="466"/>
      <c r="I45" s="467"/>
      <c r="J45" s="467"/>
      <c r="K45" s="1694">
        <f>SUM(C45:J45)</f>
        <v>10682</v>
      </c>
      <c r="L45" s="466">
        <v>10800</v>
      </c>
    </row>
    <row r="46" spans="1:14" x14ac:dyDescent="0.2">
      <c r="A46" s="1526" t="s">
        <v>870</v>
      </c>
      <c r="B46" s="615">
        <v>2230</v>
      </c>
      <c r="C46" s="466"/>
      <c r="D46" s="466"/>
      <c r="E46" s="466"/>
      <c r="F46" s="466">
        <v>3894</v>
      </c>
      <c r="G46" s="466"/>
      <c r="H46" s="466"/>
      <c r="I46" s="467"/>
      <c r="J46" s="467"/>
      <c r="K46" s="1694">
        <f>SUM(C46:J46)</f>
        <v>3894</v>
      </c>
      <c r="L46" s="466">
        <v>4000</v>
      </c>
    </row>
    <row r="47" spans="1:14" ht="12.75" customHeight="1" thickBot="1" x14ac:dyDescent="0.25">
      <c r="A47" s="1690" t="s">
        <v>582</v>
      </c>
      <c r="B47" s="1691" t="s">
        <v>32</v>
      </c>
      <c r="C47" s="1692">
        <f>SUM(C44:C46)</f>
        <v>0</v>
      </c>
      <c r="D47" s="1692">
        <f t="shared" ref="D47:K47" si="4">SUM(D44:D46)</f>
        <v>0</v>
      </c>
      <c r="E47" s="1692">
        <f t="shared" si="4"/>
        <v>11245</v>
      </c>
      <c r="F47" s="1692">
        <f t="shared" si="4"/>
        <v>4558</v>
      </c>
      <c r="G47" s="1692">
        <f t="shared" si="4"/>
        <v>0</v>
      </c>
      <c r="H47" s="1692">
        <f t="shared" si="4"/>
        <v>0</v>
      </c>
      <c r="I47" s="1692">
        <f t="shared" si="4"/>
        <v>0</v>
      </c>
      <c r="J47" s="1692">
        <f t="shared" si="4"/>
        <v>0</v>
      </c>
      <c r="K47" s="1692">
        <f t="shared" si="4"/>
        <v>15803</v>
      </c>
      <c r="L47" s="1692">
        <f>SUM(L44:L46)</f>
        <v>17050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8402</v>
      </c>
      <c r="F49" s="481">
        <v>260</v>
      </c>
      <c r="G49" s="481"/>
      <c r="H49" s="481">
        <v>2749</v>
      </c>
      <c r="I49" s="467"/>
      <c r="J49" s="467"/>
      <c r="K49" s="1694">
        <f>SUM(C49:J49)</f>
        <v>11411</v>
      </c>
      <c r="L49" s="481">
        <v>13905</v>
      </c>
    </row>
    <row r="50" spans="1:14" x14ac:dyDescent="0.2">
      <c r="A50" s="1526" t="s">
        <v>872</v>
      </c>
      <c r="B50" s="615">
        <v>2320</v>
      </c>
      <c r="C50" s="466">
        <v>56746</v>
      </c>
      <c r="D50" s="466">
        <v>13184</v>
      </c>
      <c r="E50" s="466">
        <v>2611</v>
      </c>
      <c r="F50" s="466">
        <v>1511</v>
      </c>
      <c r="G50" s="466"/>
      <c r="H50" s="466">
        <v>1145</v>
      </c>
      <c r="I50" s="467"/>
      <c r="J50" s="467"/>
      <c r="K50" s="1694">
        <f>SUM(C50:J50)</f>
        <v>75197</v>
      </c>
      <c r="L50" s="466">
        <v>79515</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56746</v>
      </c>
      <c r="D53" s="1692">
        <f t="shared" ref="D53:L53" si="5">SUM(D49:D52)</f>
        <v>13184</v>
      </c>
      <c r="E53" s="1692">
        <f t="shared" si="5"/>
        <v>11013</v>
      </c>
      <c r="F53" s="1692">
        <f t="shared" si="5"/>
        <v>1771</v>
      </c>
      <c r="G53" s="1692">
        <f t="shared" si="5"/>
        <v>0</v>
      </c>
      <c r="H53" s="1692">
        <f t="shared" si="5"/>
        <v>3894</v>
      </c>
      <c r="I53" s="1692">
        <f t="shared" si="5"/>
        <v>0</v>
      </c>
      <c r="J53" s="1692">
        <f t="shared" si="5"/>
        <v>0</v>
      </c>
      <c r="K53" s="1692">
        <f t="shared" si="5"/>
        <v>86608</v>
      </c>
      <c r="L53" s="1692">
        <f t="shared" si="5"/>
        <v>93420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74540</v>
      </c>
      <c r="D55" s="481">
        <v>6127</v>
      </c>
      <c r="E55" s="481">
        <v>363</v>
      </c>
      <c r="F55" s="481">
        <v>461</v>
      </c>
      <c r="G55" s="481"/>
      <c r="H55" s="481"/>
      <c r="I55" s="467"/>
      <c r="J55" s="467"/>
      <c r="K55" s="1694">
        <f>SUM(C55:J55)</f>
        <v>81491</v>
      </c>
      <c r="L55" s="481">
        <v>83070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74540</v>
      </c>
      <c r="D57" s="1696">
        <f t="shared" ref="D57:K57" si="6">SUM(D55:D56)</f>
        <v>6127</v>
      </c>
      <c r="E57" s="1696">
        <f t="shared" si="6"/>
        <v>363</v>
      </c>
      <c r="F57" s="1696">
        <f t="shared" si="6"/>
        <v>461</v>
      </c>
      <c r="G57" s="1696">
        <f t="shared" si="6"/>
        <v>0</v>
      </c>
      <c r="H57" s="1696">
        <f t="shared" si="6"/>
        <v>0</v>
      </c>
      <c r="I57" s="1696">
        <f t="shared" si="6"/>
        <v>0</v>
      </c>
      <c r="J57" s="1696">
        <f t="shared" si="6"/>
        <v>0</v>
      </c>
      <c r="K57" s="1696">
        <f t="shared" si="6"/>
        <v>81491</v>
      </c>
      <c r="L57" s="1692">
        <f>SUM(L55:L56)</f>
        <v>83070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4">
        <f t="shared" si="7"/>
        <v>0</v>
      </c>
      <c r="L60" s="466"/>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33015</v>
      </c>
      <c r="D63" s="466">
        <v>13102</v>
      </c>
      <c r="E63" s="466">
        <v>1215</v>
      </c>
      <c r="F63" s="466">
        <v>22057</v>
      </c>
      <c r="G63" s="466"/>
      <c r="H63" s="466"/>
      <c r="I63" s="467"/>
      <c r="J63" s="467"/>
      <c r="K63" s="1694">
        <f t="shared" si="7"/>
        <v>69389</v>
      </c>
      <c r="L63" s="466">
        <v>83545</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33015</v>
      </c>
      <c r="D65" s="1692">
        <f t="shared" ref="D65:L65" si="8">SUM(D59:D64)</f>
        <v>13102</v>
      </c>
      <c r="E65" s="1692">
        <f t="shared" si="8"/>
        <v>1215</v>
      </c>
      <c r="F65" s="1692">
        <f t="shared" si="8"/>
        <v>22057</v>
      </c>
      <c r="G65" s="1692">
        <f t="shared" si="8"/>
        <v>0</v>
      </c>
      <c r="H65" s="1692">
        <f t="shared" si="8"/>
        <v>0</v>
      </c>
      <c r="I65" s="1692">
        <f t="shared" si="8"/>
        <v>0</v>
      </c>
      <c r="J65" s="1692">
        <f t="shared" si="8"/>
        <v>0</v>
      </c>
      <c r="K65" s="1692">
        <f t="shared" si="8"/>
        <v>69389</v>
      </c>
      <c r="L65" s="1692">
        <f t="shared" si="8"/>
        <v>83545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164301</v>
      </c>
      <c r="D74" s="1699">
        <f t="shared" ref="D74:K74" si="10">SUM(D42,D47,D53,D57,D65,D72,D73)</f>
        <v>32413</v>
      </c>
      <c r="E74" s="1699">
        <f t="shared" si="10"/>
        <v>34452</v>
      </c>
      <c r="F74" s="1699">
        <f t="shared" si="10"/>
        <v>28847</v>
      </c>
      <c r="G74" s="1699">
        <f t="shared" si="10"/>
        <v>0</v>
      </c>
      <c r="H74" s="1699">
        <f t="shared" si="10"/>
        <v>3894</v>
      </c>
      <c r="I74" s="1699">
        <f t="shared" si="10"/>
        <v>0</v>
      </c>
      <c r="J74" s="1699">
        <f t="shared" si="10"/>
        <v>0</v>
      </c>
      <c r="K74" s="1699">
        <f t="shared" si="10"/>
        <v>263907</v>
      </c>
      <c r="L74" s="1699">
        <f>SUM(L42,L47,L53,L57,L65,L72,L73)</f>
        <v>289885</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38361</v>
      </c>
      <c r="F79" s="617"/>
      <c r="G79" s="617"/>
      <c r="H79" s="466"/>
      <c r="I79" s="477"/>
      <c r="J79" s="477"/>
      <c r="K79" s="1693">
        <f t="shared" si="11"/>
        <v>38361</v>
      </c>
      <c r="L79" s="466">
        <v>44000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38361</v>
      </c>
      <c r="F84" s="617"/>
      <c r="G84" s="617"/>
      <c r="H84" s="1692">
        <f>SUM(H78:H83)</f>
        <v>0</v>
      </c>
      <c r="I84" s="477"/>
      <c r="J84" s="477"/>
      <c r="K84" s="1692">
        <f>SUM(K78:K83)</f>
        <v>38361</v>
      </c>
      <c r="L84" s="1692">
        <f>SUM(L78:L83)</f>
        <v>44000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38361</v>
      </c>
      <c r="F102" s="617"/>
      <c r="G102" s="617"/>
      <c r="H102" s="1699">
        <f>SUM(H84,H92,H100,H101)</f>
        <v>0</v>
      </c>
      <c r="I102" s="477"/>
      <c r="J102" s="477"/>
      <c r="K102" s="1699">
        <f>SUM(K84,K92,K100,K101)</f>
        <v>38361</v>
      </c>
      <c r="L102" s="1699">
        <f>SUM(L84,L92,L100,L101)</f>
        <v>44000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693707</v>
      </c>
      <c r="D114" s="1692">
        <f t="shared" ref="D114:K114" si="13">SUM(D33,D74,D75,D102,D112,D113)</f>
        <v>132237</v>
      </c>
      <c r="E114" s="1692">
        <f t="shared" si="13"/>
        <v>93725</v>
      </c>
      <c r="F114" s="1692">
        <f t="shared" si="13"/>
        <v>48707</v>
      </c>
      <c r="G114" s="1692">
        <f t="shared" si="13"/>
        <v>0</v>
      </c>
      <c r="H114" s="1692">
        <f>SUM(H33,H74,H75,H102,H112,H113)</f>
        <v>7310</v>
      </c>
      <c r="I114" s="1692">
        <f t="shared" si="13"/>
        <v>0</v>
      </c>
      <c r="J114" s="1692">
        <f t="shared" si="13"/>
        <v>0</v>
      </c>
      <c r="K114" s="1692">
        <f t="shared" si="13"/>
        <v>975686</v>
      </c>
      <c r="L114" s="1692">
        <f>SUM(L33,L74,L75,L102,L112,L113)</f>
        <v>1025936</v>
      </c>
    </row>
    <row r="115" spans="1:14" ht="13.5" thickTop="1" x14ac:dyDescent="0.2">
      <c r="A115" s="2201" t="s">
        <v>1053</v>
      </c>
      <c r="B115" s="2202"/>
      <c r="C115" s="619"/>
      <c r="D115" s="619"/>
      <c r="E115" s="619"/>
      <c r="F115" s="619"/>
      <c r="G115" s="619"/>
      <c r="H115" s="619"/>
      <c r="I115" s="619"/>
      <c r="J115" s="619"/>
      <c r="K115" s="1706">
        <f>'Revenues 9-14'!C275-'Expenditures 15-22'!K114</f>
        <v>99209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39382</v>
      </c>
      <c r="D124" s="466">
        <v>5275</v>
      </c>
      <c r="E124" s="466">
        <v>25514</v>
      </c>
      <c r="F124" s="466">
        <v>30626</v>
      </c>
      <c r="G124" s="466">
        <v>62069</v>
      </c>
      <c r="H124" s="466"/>
      <c r="I124" s="467"/>
      <c r="J124" s="467"/>
      <c r="K124" s="1692">
        <f>SUM(C124:J124)</f>
        <v>162866</v>
      </c>
      <c r="L124" s="466">
        <v>174589</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39382</v>
      </c>
      <c r="D127" s="1692">
        <f t="shared" ref="D127:L127" si="14">SUM(D122:D126)</f>
        <v>5275</v>
      </c>
      <c r="E127" s="1692">
        <f t="shared" si="14"/>
        <v>25514</v>
      </c>
      <c r="F127" s="1692">
        <f t="shared" si="14"/>
        <v>30626</v>
      </c>
      <c r="G127" s="1692">
        <f t="shared" si="14"/>
        <v>62069</v>
      </c>
      <c r="H127" s="1692">
        <f t="shared" si="14"/>
        <v>0</v>
      </c>
      <c r="I127" s="1692">
        <f t="shared" si="14"/>
        <v>0</v>
      </c>
      <c r="J127" s="1692">
        <f t="shared" si="14"/>
        <v>0</v>
      </c>
      <c r="K127" s="1692">
        <f t="shared" si="14"/>
        <v>162866</v>
      </c>
      <c r="L127" s="1692">
        <f t="shared" si="14"/>
        <v>174589</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39382</v>
      </c>
      <c r="D129" s="1699">
        <f t="shared" ref="D129:L129" si="15">SUM(D120,D127,D128)</f>
        <v>5275</v>
      </c>
      <c r="E129" s="1699">
        <f t="shared" si="15"/>
        <v>25514</v>
      </c>
      <c r="F129" s="1699">
        <f t="shared" si="15"/>
        <v>30626</v>
      </c>
      <c r="G129" s="1699">
        <f t="shared" si="15"/>
        <v>62069</v>
      </c>
      <c r="H129" s="1699">
        <f t="shared" si="15"/>
        <v>0</v>
      </c>
      <c r="I129" s="1699">
        <f t="shared" si="15"/>
        <v>0</v>
      </c>
      <c r="J129" s="1699">
        <f t="shared" si="15"/>
        <v>0</v>
      </c>
      <c r="K129" s="1699">
        <f t="shared" si="15"/>
        <v>162866</v>
      </c>
      <c r="L129" s="1699">
        <f t="shared" si="15"/>
        <v>174589</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3"/>
      <c r="C151" s="1692">
        <f>SUM(C129,C130,C139,C149,C150)</f>
        <v>39382</v>
      </c>
      <c r="D151" s="1692">
        <f t="shared" ref="D151:K151" si="16">SUM(D129,D130,D139,D149,D150)</f>
        <v>5275</v>
      </c>
      <c r="E151" s="1692">
        <f t="shared" si="16"/>
        <v>25514</v>
      </c>
      <c r="F151" s="1692">
        <f t="shared" si="16"/>
        <v>30626</v>
      </c>
      <c r="G151" s="1692">
        <f t="shared" si="16"/>
        <v>62069</v>
      </c>
      <c r="H151" s="1692">
        <f t="shared" si="16"/>
        <v>0</v>
      </c>
      <c r="I151" s="1692">
        <f t="shared" si="16"/>
        <v>0</v>
      </c>
      <c r="J151" s="1692">
        <f t="shared" si="16"/>
        <v>0</v>
      </c>
      <c r="K151" s="1692">
        <f t="shared" si="16"/>
        <v>162866</v>
      </c>
      <c r="L151" s="1692">
        <f>SUM(L129,L130,L139,L149,L150)</f>
        <v>174589</v>
      </c>
    </row>
    <row r="152" spans="1:14" ht="12.75" customHeight="1" thickTop="1" x14ac:dyDescent="0.2">
      <c r="A152" s="2194" t="s">
        <v>1240</v>
      </c>
      <c r="B152" s="2195"/>
      <c r="C152" s="619"/>
      <c r="D152" s="619"/>
      <c r="E152" s="619"/>
      <c r="F152" s="619"/>
      <c r="G152" s="619"/>
      <c r="H152" s="619"/>
      <c r="I152" s="619"/>
      <c r="J152" s="617"/>
      <c r="K152" s="1706">
        <f>'Revenues 9-14'!D275-'Expenditures 15-22'!K151</f>
        <v>-56444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15287</v>
      </c>
      <c r="I169" s="617"/>
      <c r="J169" s="617"/>
      <c r="K169" s="1693">
        <f>SUM(C169:H169)</f>
        <v>15287</v>
      </c>
      <c r="L169" s="657">
        <v>19000</v>
      </c>
    </row>
    <row r="170" spans="1:14" ht="33.75" customHeight="1" x14ac:dyDescent="0.2">
      <c r="A170" s="670" t="s">
        <v>1769</v>
      </c>
      <c r="B170" s="672" t="s">
        <v>31</v>
      </c>
      <c r="C170" s="617"/>
      <c r="D170" s="617"/>
      <c r="E170" s="617"/>
      <c r="F170" s="617"/>
      <c r="G170" s="617"/>
      <c r="H170" s="569">
        <v>30000</v>
      </c>
      <c r="I170" s="617"/>
      <c r="J170" s="617"/>
      <c r="K170" s="1693">
        <f>SUM(C170:J170)</f>
        <v>30000</v>
      </c>
      <c r="L170" s="569">
        <v>25000</v>
      </c>
    </row>
    <row r="171" spans="1:14" ht="15.75" customHeight="1" x14ac:dyDescent="0.2">
      <c r="A171" s="622" t="s">
        <v>790</v>
      </c>
      <c r="B171" s="673" t="s">
        <v>86</v>
      </c>
      <c r="C171" s="617"/>
      <c r="D171" s="617"/>
      <c r="E171" s="466"/>
      <c r="F171" s="617"/>
      <c r="G171" s="617"/>
      <c r="H171" s="569">
        <v>500</v>
      </c>
      <c r="I171" s="477"/>
      <c r="J171" s="617"/>
      <c r="K171" s="1693">
        <f>SUM(C171:J171)</f>
        <v>500</v>
      </c>
      <c r="L171" s="569">
        <v>500</v>
      </c>
    </row>
    <row r="172" spans="1:14" ht="12.75" customHeight="1" thickBot="1" x14ac:dyDescent="0.25">
      <c r="A172" s="1690" t="s">
        <v>659</v>
      </c>
      <c r="B172" s="1691" t="s">
        <v>513</v>
      </c>
      <c r="C172" s="617"/>
      <c r="D172" s="617"/>
      <c r="E172" s="1699">
        <f>SUM(E168,E169,E170,E171)</f>
        <v>0</v>
      </c>
      <c r="F172" s="617"/>
      <c r="G172" s="617"/>
      <c r="H172" s="1699">
        <f>SUM(H168,H169,H170,H171)</f>
        <v>45787</v>
      </c>
      <c r="I172" s="639"/>
      <c r="J172" s="617"/>
      <c r="K172" s="1699">
        <f>SUM(K168,K169,K170,K171)</f>
        <v>45787</v>
      </c>
      <c r="L172" s="1699">
        <f>SUM(L168,L169,L170,L171)</f>
        <v>44500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45787</v>
      </c>
      <c r="I174" s="639"/>
      <c r="J174" s="617"/>
      <c r="K174" s="1699">
        <f>SUM(K160,K172,K173)</f>
        <v>45787</v>
      </c>
      <c r="L174" s="1699">
        <f>SUM(L160,L172,L173)</f>
        <v>44500</v>
      </c>
    </row>
    <row r="175" spans="1:14" ht="13.5" thickTop="1" x14ac:dyDescent="0.2">
      <c r="A175" s="2201" t="s">
        <v>1053</v>
      </c>
      <c r="B175" s="2202"/>
      <c r="C175" s="617"/>
      <c r="D175" s="617"/>
      <c r="E175" s="617"/>
      <c r="F175" s="617"/>
      <c r="G175" s="617"/>
      <c r="H175" s="619"/>
      <c r="I175" s="617"/>
      <c r="J175" s="617"/>
      <c r="K175" s="1706">
        <f>'Revenues 9-14'!E275-'Expenditures 15-22'!K174</f>
        <v>6791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72727</v>
      </c>
      <c r="F182" s="466"/>
      <c r="G182" s="466"/>
      <c r="H182" s="466"/>
      <c r="I182" s="467"/>
      <c r="J182" s="467"/>
      <c r="K182" s="1693">
        <f>SUM(C182:J182)</f>
        <v>72727</v>
      </c>
      <c r="L182" s="466">
        <v>78500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72727</v>
      </c>
      <c r="F184" s="1699">
        <f t="shared" si="17"/>
        <v>0</v>
      </c>
      <c r="G184" s="1699">
        <f t="shared" si="17"/>
        <v>0</v>
      </c>
      <c r="H184" s="1699">
        <f t="shared" si="17"/>
        <v>0</v>
      </c>
      <c r="I184" s="1699">
        <f t="shared" si="17"/>
        <v>0</v>
      </c>
      <c r="J184" s="1699">
        <f t="shared" si="17"/>
        <v>0</v>
      </c>
      <c r="K184" s="1699">
        <f>SUM(K180,K182,K183)</f>
        <v>72727</v>
      </c>
      <c r="L184" s="1699">
        <f>SUM(L180, L182:L183)</f>
        <v>78500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72727</v>
      </c>
      <c r="F210" s="1692">
        <f>SUM(F184,F185)</f>
        <v>0</v>
      </c>
      <c r="G210" s="1692">
        <f>SUM(G184,G185)</f>
        <v>0</v>
      </c>
      <c r="H210" s="1692">
        <f>SUM(H184,H185,H196,H208,H209)</f>
        <v>0</v>
      </c>
      <c r="I210" s="1692">
        <f>SUM(I184,I185)</f>
        <v>0</v>
      </c>
      <c r="J210" s="1692">
        <f>SUM(J184,J185)</f>
        <v>0</v>
      </c>
      <c r="K210" s="1693">
        <f>SUM(K184,K185,K196,K208,K209)</f>
        <v>72727</v>
      </c>
      <c r="L210" s="1692">
        <f>SUM(L184,L185,L196,L208,L209)</f>
        <v>78500</v>
      </c>
    </row>
    <row r="211" spans="1:14" ht="13.5" thickTop="1" x14ac:dyDescent="0.2">
      <c r="A211" s="2201" t="s">
        <v>1053</v>
      </c>
      <c r="B211" s="2202"/>
      <c r="C211" s="619"/>
      <c r="D211" s="619"/>
      <c r="E211" s="619"/>
      <c r="F211" s="619"/>
      <c r="G211" s="619"/>
      <c r="H211" s="619"/>
      <c r="I211" s="617"/>
      <c r="J211" s="617"/>
      <c r="K211" s="1706">
        <f>'Revenues 9-14'!F275-'Expenditures 15-22'!K210</f>
        <v>61522</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6098</v>
      </c>
      <c r="E215" s="617"/>
      <c r="F215" s="617"/>
      <c r="G215" s="617"/>
      <c r="H215" s="617"/>
      <c r="I215" s="617"/>
      <c r="J215" s="617"/>
      <c r="K215" s="1693">
        <f>D215</f>
        <v>6098</v>
      </c>
      <c r="L215" s="466">
        <v>6000</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5162</v>
      </c>
      <c r="E217" s="617"/>
      <c r="F217" s="617"/>
      <c r="G217" s="617"/>
      <c r="H217" s="617"/>
      <c r="I217" s="617"/>
      <c r="J217" s="617"/>
      <c r="K217" s="1693">
        <f t="shared" si="19"/>
        <v>5162</v>
      </c>
      <c r="L217" s="466">
        <v>5620</v>
      </c>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v>400</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1012</v>
      </c>
      <c r="E223" s="617"/>
      <c r="F223" s="617"/>
      <c r="G223" s="617"/>
      <c r="H223" s="617"/>
      <c r="I223" s="617"/>
      <c r="J223" s="617"/>
      <c r="K223" s="1693">
        <f t="shared" si="19"/>
        <v>1012</v>
      </c>
      <c r="L223" s="466">
        <v>1250</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12272</v>
      </c>
      <c r="E229" s="617"/>
      <c r="F229" s="617"/>
      <c r="G229" s="617"/>
      <c r="H229" s="617"/>
      <c r="I229" s="617"/>
      <c r="J229" s="617"/>
      <c r="K229" s="1692">
        <f>SUM(K215:K228)</f>
        <v>12272</v>
      </c>
      <c r="L229" s="1692">
        <f>SUM(L215:L228)</f>
        <v>13270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v>40</v>
      </c>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40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3825</v>
      </c>
      <c r="E246" s="617"/>
      <c r="F246" s="617"/>
      <c r="G246" s="617"/>
      <c r="H246" s="617"/>
      <c r="I246" s="617"/>
      <c r="J246" s="617"/>
      <c r="K246" s="1694">
        <f t="shared" ref="K246:K256" si="21">D246</f>
        <v>3825</v>
      </c>
      <c r="L246" s="466">
        <v>4150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3825</v>
      </c>
      <c r="E257" s="617"/>
      <c r="F257" s="617"/>
      <c r="G257" s="617"/>
      <c r="H257" s="617"/>
      <c r="I257" s="617"/>
      <c r="J257" s="617"/>
      <c r="K257" s="1692">
        <f>SUM(K245:K256)</f>
        <v>3825</v>
      </c>
      <c r="L257" s="1692">
        <f>SUM(L245:L256)</f>
        <v>4150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5875</v>
      </c>
      <c r="E259" s="617"/>
      <c r="F259" s="617"/>
      <c r="G259" s="617"/>
      <c r="H259" s="617"/>
      <c r="I259" s="617"/>
      <c r="J259" s="617"/>
      <c r="K259" s="1694">
        <f>D259</f>
        <v>5875</v>
      </c>
      <c r="L259" s="481">
        <v>6325</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5875</v>
      </c>
      <c r="E261" s="617"/>
      <c r="F261" s="617"/>
      <c r="G261" s="617"/>
      <c r="H261" s="617"/>
      <c r="I261" s="617"/>
      <c r="J261" s="617"/>
      <c r="K261" s="1692">
        <f>SUM(K259:K260)</f>
        <v>5875</v>
      </c>
      <c r="L261" s="1692">
        <f>SUM(L259:L260)</f>
        <v>6325</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7900</v>
      </c>
      <c r="E266" s="617"/>
      <c r="F266" s="617"/>
      <c r="G266" s="617"/>
      <c r="H266" s="617"/>
      <c r="I266" s="617"/>
      <c r="J266" s="617"/>
      <c r="K266" s="1694">
        <f t="shared" si="22"/>
        <v>7900</v>
      </c>
      <c r="L266" s="466">
        <v>9000</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6035</v>
      </c>
      <c r="E268" s="617"/>
      <c r="F268" s="617"/>
      <c r="G268" s="617"/>
      <c r="H268" s="617"/>
      <c r="I268" s="617"/>
      <c r="J268" s="617"/>
      <c r="K268" s="1694">
        <f t="shared" si="22"/>
        <v>6035</v>
      </c>
      <c r="L268" s="466">
        <v>7100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13935</v>
      </c>
      <c r="E270" s="617"/>
      <c r="F270" s="617"/>
      <c r="G270" s="617"/>
      <c r="H270" s="617"/>
      <c r="I270" s="617"/>
      <c r="J270" s="617"/>
      <c r="K270" s="1692">
        <f>SUM(K263:K269)</f>
        <v>13935</v>
      </c>
      <c r="L270" s="1692">
        <f>SUM(L263:L269)</f>
        <v>16100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23635</v>
      </c>
      <c r="E279" s="617"/>
      <c r="F279" s="617"/>
      <c r="G279" s="617"/>
      <c r="H279" s="617"/>
      <c r="I279" s="617"/>
      <c r="J279" s="617"/>
      <c r="K279" s="1699">
        <f>SUM(K238,K243,K257,K261,K270,K277,K278)</f>
        <v>23635</v>
      </c>
      <c r="L279" s="1699">
        <f>SUM(L238,L243,L257,L261,L270,L277,L278)</f>
        <v>26615</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35907</v>
      </c>
      <c r="E295" s="617"/>
      <c r="F295" s="617"/>
      <c r="G295" s="617"/>
      <c r="H295" s="1692">
        <f>H293</f>
        <v>0</v>
      </c>
      <c r="I295" s="617"/>
      <c r="J295" s="617"/>
      <c r="K295" s="1692">
        <f>SUM(K229,K279,K280,K285,K293,K294)</f>
        <v>35907</v>
      </c>
      <c r="L295" s="1692">
        <f>SUM(L229,L279,L280,L285,L293,L294)</f>
        <v>39885</v>
      </c>
    </row>
    <row r="296" spans="1:14" ht="13.5" thickTop="1" x14ac:dyDescent="0.2">
      <c r="A296" s="2201" t="s">
        <v>1053</v>
      </c>
      <c r="B296" s="2202"/>
      <c r="C296" s="617"/>
      <c r="D296" s="619"/>
      <c r="E296" s="617"/>
      <c r="F296" s="617"/>
      <c r="G296" s="617"/>
      <c r="H296" s="688"/>
      <c r="I296" s="617"/>
      <c r="J296" s="617"/>
      <c r="K296" s="1706">
        <f>'Revenues 9-14'!G275-'Expenditures 15-22'!K295</f>
        <v>13308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8525</v>
      </c>
      <c r="H301" s="466"/>
      <c r="I301" s="467"/>
      <c r="J301" s="467"/>
      <c r="K301" s="1693">
        <f>SUM(C301:J301)</f>
        <v>8525</v>
      </c>
      <c r="L301" s="467">
        <v>20000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8525</v>
      </c>
      <c r="H303" s="1699">
        <f t="shared" si="23"/>
        <v>0</v>
      </c>
      <c r="I303" s="1699">
        <f t="shared" si="23"/>
        <v>0</v>
      </c>
      <c r="J303" s="1699">
        <f t="shared" si="23"/>
        <v>0</v>
      </c>
      <c r="K303" s="1699">
        <f t="shared" si="23"/>
        <v>8525</v>
      </c>
      <c r="L303" s="1699">
        <f t="shared" si="23"/>
        <v>20000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8525</v>
      </c>
      <c r="H312" s="1692">
        <f>SUM(H303,H310)</f>
        <v>0</v>
      </c>
      <c r="I312" s="1692">
        <f>SUM(I303)</f>
        <v>0</v>
      </c>
      <c r="J312" s="1692">
        <f>SUM(J303)</f>
        <v>0</v>
      </c>
      <c r="K312" s="1692">
        <f>SUM(K303,K310,K311)</f>
        <v>8525</v>
      </c>
      <c r="L312" s="1692">
        <f>SUM(L303,L310,L311)</f>
        <v>20000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-8525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12334</v>
      </c>
      <c r="F320" s="467"/>
      <c r="G320" s="467"/>
      <c r="H320" s="467"/>
      <c r="I320" s="467"/>
      <c r="J320" s="467"/>
      <c r="K320" s="1693">
        <f t="shared" ref="K320:K327" si="24">SUM(C320:J320)</f>
        <v>12334</v>
      </c>
      <c r="L320" s="467">
        <v>12334</v>
      </c>
      <c r="M320" s="666"/>
      <c r="N320" s="666"/>
    </row>
    <row r="321" spans="1:14" s="675" customFormat="1" x14ac:dyDescent="0.2">
      <c r="A321" s="1541" t="s">
        <v>318</v>
      </c>
      <c r="B321" s="698" t="s">
        <v>301</v>
      </c>
      <c r="C321" s="467"/>
      <c r="D321" s="467"/>
      <c r="E321" s="467">
        <v>2658</v>
      </c>
      <c r="F321" s="467"/>
      <c r="G321" s="467"/>
      <c r="H321" s="467"/>
      <c r="I321" s="467"/>
      <c r="J321" s="467"/>
      <c r="K321" s="1693">
        <f t="shared" si="24"/>
        <v>2658</v>
      </c>
      <c r="L321" s="467">
        <v>2000</v>
      </c>
      <c r="M321" s="666"/>
      <c r="N321" s="666"/>
    </row>
    <row r="322" spans="1:14" s="675" customFormat="1" x14ac:dyDescent="0.2">
      <c r="A322" s="1541" t="s">
        <v>256</v>
      </c>
      <c r="B322" s="698" t="s">
        <v>302</v>
      </c>
      <c r="C322" s="467"/>
      <c r="D322" s="467"/>
      <c r="E322" s="467">
        <v>12012</v>
      </c>
      <c r="F322" s="467"/>
      <c r="G322" s="467"/>
      <c r="H322" s="467"/>
      <c r="I322" s="467"/>
      <c r="J322" s="467"/>
      <c r="K322" s="1693">
        <f t="shared" si="24"/>
        <v>12012</v>
      </c>
      <c r="L322" s="467">
        <v>12016</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27004</v>
      </c>
      <c r="F330" s="1692">
        <f t="shared" si="25"/>
        <v>0</v>
      </c>
      <c r="G330" s="1692">
        <f t="shared" si="25"/>
        <v>0</v>
      </c>
      <c r="H330" s="1692">
        <f t="shared" si="25"/>
        <v>0</v>
      </c>
      <c r="I330" s="1692">
        <f t="shared" si="25"/>
        <v>0</v>
      </c>
      <c r="J330" s="1692">
        <f t="shared" si="25"/>
        <v>0</v>
      </c>
      <c r="K330" s="1692">
        <f>SUM(K319:K329)</f>
        <v>27004</v>
      </c>
      <c r="L330" s="1692">
        <f>SUM(L319:L329)</f>
        <v>26350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27004</v>
      </c>
      <c r="F342" s="1692">
        <f>SUM(F330)</f>
        <v>0</v>
      </c>
      <c r="G342" s="1692">
        <f>SUM(G330)</f>
        <v>0</v>
      </c>
      <c r="H342" s="1692">
        <f>SUM(H330,H334,H340)</f>
        <v>0</v>
      </c>
      <c r="I342" s="1692">
        <f>SUM(I330)</f>
        <v>0</v>
      </c>
      <c r="J342" s="1692">
        <f>SUM(J330)</f>
        <v>0</v>
      </c>
      <c r="K342" s="1692">
        <f>SUM(K330,K334,K340)</f>
        <v>27004</v>
      </c>
      <c r="L342" s="1699">
        <f>SUM(L330,L340,L341)</f>
        <v>26350</v>
      </c>
    </row>
    <row r="343" spans="1:14" ht="12.75" customHeight="1" thickTop="1" x14ac:dyDescent="0.2">
      <c r="A343" s="2187" t="s">
        <v>1053</v>
      </c>
      <c r="B343" s="2188"/>
      <c r="C343" s="617"/>
      <c r="D343" s="617"/>
      <c r="E343" s="617"/>
      <c r="F343" s="617"/>
      <c r="G343" s="617"/>
      <c r="H343" s="617"/>
      <c r="I343" s="617"/>
      <c r="J343" s="617"/>
      <c r="K343" s="1706">
        <f>'Revenues 9-14'!J275-'Expenditures 15-22'!K342</f>
        <v>500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v>647</v>
      </c>
      <c r="G349" s="466"/>
      <c r="H349" s="466"/>
      <c r="I349" s="467"/>
      <c r="J349" s="467"/>
      <c r="K349" s="1693">
        <f>SUM(C349:J349)</f>
        <v>647</v>
      </c>
      <c r="L349" s="466">
        <v>4500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647</v>
      </c>
      <c r="G350" s="1692">
        <f t="shared" si="26"/>
        <v>0</v>
      </c>
      <c r="H350" s="1692">
        <f t="shared" si="26"/>
        <v>0</v>
      </c>
      <c r="I350" s="1692">
        <f t="shared" si="26"/>
        <v>0</v>
      </c>
      <c r="J350" s="1692">
        <f t="shared" si="26"/>
        <v>0</v>
      </c>
      <c r="K350" s="1692">
        <f t="shared" si="26"/>
        <v>647</v>
      </c>
      <c r="L350" s="1692">
        <f t="shared" si="26"/>
        <v>4500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647</v>
      </c>
      <c r="G352" s="1692">
        <f t="shared" si="27"/>
        <v>0</v>
      </c>
      <c r="H352" s="1692">
        <f t="shared" si="27"/>
        <v>0</v>
      </c>
      <c r="I352" s="1692">
        <f t="shared" si="27"/>
        <v>0</v>
      </c>
      <c r="J352" s="1692">
        <f t="shared" si="27"/>
        <v>0</v>
      </c>
      <c r="K352" s="1692">
        <f t="shared" si="27"/>
        <v>647</v>
      </c>
      <c r="L352" s="1692">
        <f t="shared" si="27"/>
        <v>4500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647</v>
      </c>
      <c r="G367" s="1692">
        <f t="shared" si="28"/>
        <v>0</v>
      </c>
      <c r="H367" s="1692">
        <f t="shared" si="28"/>
        <v>0</v>
      </c>
      <c r="I367" s="1692">
        <f t="shared" si="28"/>
        <v>0</v>
      </c>
      <c r="J367" s="1692">
        <f t="shared" si="28"/>
        <v>0</v>
      </c>
      <c r="K367" s="1692">
        <f t="shared" si="28"/>
        <v>647</v>
      </c>
      <c r="L367" s="1692">
        <f t="shared" si="28"/>
        <v>4500</v>
      </c>
    </row>
    <row r="368" spans="1:14" ht="13.5" thickTop="1" x14ac:dyDescent="0.2">
      <c r="A368" s="2201" t="s">
        <v>1053</v>
      </c>
      <c r="B368" s="2202"/>
      <c r="C368" s="655"/>
      <c r="D368" s="655"/>
      <c r="E368" s="627"/>
      <c r="F368" s="627"/>
      <c r="G368" s="627"/>
      <c r="H368" s="627"/>
      <c r="I368" s="627"/>
      <c r="J368" s="624"/>
      <c r="K368" s="1693">
        <f>'Revenues 9-14'!K275-'Expenditures 15-22'!K367</f>
        <v>4095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14" sqref="D14"/>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3" t="s">
        <v>1905</v>
      </c>
      <c r="B2" s="1550" t="s">
        <v>2035</v>
      </c>
      <c r="C2" s="715" t="s">
        <v>1910</v>
      </c>
      <c r="D2" s="715" t="s">
        <v>1911</v>
      </c>
      <c r="E2" s="715" t="s">
        <v>1912</v>
      </c>
      <c r="F2" s="715" t="s">
        <v>1913</v>
      </c>
    </row>
    <row r="3" spans="1:6" ht="12" customHeight="1" x14ac:dyDescent="0.2">
      <c r="A3" s="2204"/>
      <c r="B3" s="1547"/>
      <c r="C3" s="1548"/>
      <c r="D3" s="1549" t="s">
        <v>274</v>
      </c>
      <c r="E3" s="1548"/>
      <c r="F3" s="1549" t="s">
        <v>275</v>
      </c>
    </row>
    <row r="4" spans="1:6" ht="13.7" customHeight="1" x14ac:dyDescent="0.2">
      <c r="A4" s="716" t="s">
        <v>1217</v>
      </c>
      <c r="B4" s="1771">
        <f>'Revenues 9-14'!C5</f>
        <v>665783</v>
      </c>
      <c r="C4" s="1546"/>
      <c r="D4" s="1774">
        <f>B4-C4</f>
        <v>665783</v>
      </c>
      <c r="E4" s="1546">
        <v>684099</v>
      </c>
      <c r="F4" s="1774">
        <f>E4-C4</f>
        <v>684099</v>
      </c>
    </row>
    <row r="5" spans="1:6" ht="13.7" customHeight="1" x14ac:dyDescent="0.2">
      <c r="A5" s="716" t="s">
        <v>925</v>
      </c>
      <c r="B5" s="1772">
        <f>'Revenues 9-14'!D5</f>
        <v>104803</v>
      </c>
      <c r="C5" s="585"/>
      <c r="D5" s="1775">
        <f t="shared" ref="D5:D18" si="0">B5-C5</f>
        <v>104803</v>
      </c>
      <c r="E5" s="585">
        <v>109774</v>
      </c>
      <c r="F5" s="1775">
        <f>E5-C5</f>
        <v>109774</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77195</v>
      </c>
      <c r="C7" s="585"/>
      <c r="D7" s="1775">
        <f t="shared" si="0"/>
        <v>77195</v>
      </c>
      <c r="E7" s="585">
        <v>79390</v>
      </c>
      <c r="F7" s="1775">
        <f t="shared" si="1"/>
        <v>79390</v>
      </c>
    </row>
    <row r="8" spans="1:6" ht="13.7" customHeight="1" x14ac:dyDescent="0.2">
      <c r="A8" s="716" t="s">
        <v>1241</v>
      </c>
      <c r="B8" s="1772">
        <f>'Revenues 9-14'!G5</f>
        <v>25091</v>
      </c>
      <c r="C8" s="585"/>
      <c r="D8" s="1775">
        <f t="shared" si="0"/>
        <v>25091</v>
      </c>
      <c r="E8" s="585">
        <v>26463</v>
      </c>
      <c r="F8" s="1775">
        <f t="shared" si="1"/>
        <v>26463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3068</v>
      </c>
      <c r="C10" s="585"/>
      <c r="D10" s="1775">
        <f t="shared" si="0"/>
        <v>3068</v>
      </c>
      <c r="E10" s="585">
        <v>3076</v>
      </c>
      <c r="F10" s="1775">
        <f t="shared" si="1"/>
        <v>3076</v>
      </c>
    </row>
    <row r="11" spans="1:6" x14ac:dyDescent="0.2">
      <c r="A11" s="716" t="s">
        <v>429</v>
      </c>
      <c r="B11" s="1772">
        <f>'Revenues 9-14'!J5</f>
        <v>27504</v>
      </c>
      <c r="C11" s="585"/>
      <c r="D11" s="1775">
        <f t="shared" si="0"/>
        <v>27504</v>
      </c>
      <c r="E11" s="585">
        <v>29406</v>
      </c>
      <c r="F11" s="1775">
        <f t="shared" si="1"/>
        <v>29406</v>
      </c>
    </row>
    <row r="12" spans="1:6" ht="13.7" customHeight="1" x14ac:dyDescent="0.2">
      <c r="A12" s="716" t="s">
        <v>159</v>
      </c>
      <c r="B12" s="1772">
        <f>'Revenues 9-14'!K5</f>
        <v>4742</v>
      </c>
      <c r="C12" s="585"/>
      <c r="D12" s="1775">
        <f t="shared" si="0"/>
        <v>4742</v>
      </c>
      <c r="E12" s="585">
        <v>4754</v>
      </c>
      <c r="F12" s="1775">
        <f t="shared" si="1"/>
        <v>4754</v>
      </c>
    </row>
    <row r="13" spans="1:6" ht="13.7" customHeight="1" x14ac:dyDescent="0.2">
      <c r="A13" s="716" t="s">
        <v>993</v>
      </c>
      <c r="B13" s="1772">
        <f>SUM('Revenues 9-14'!C6:D6)</f>
        <v>3793</v>
      </c>
      <c r="C13" s="585"/>
      <c r="D13" s="1775">
        <f t="shared" si="0"/>
        <v>3793</v>
      </c>
      <c r="E13" s="585">
        <v>3802</v>
      </c>
      <c r="F13" s="1775">
        <f t="shared" si="1"/>
        <v>3802</v>
      </c>
    </row>
    <row r="14" spans="1:6" ht="13.7" customHeight="1" x14ac:dyDescent="0.2">
      <c r="A14" s="716" t="s">
        <v>430</v>
      </c>
      <c r="B14" s="1772">
        <f>SUM('Revenues 9-14'!C7:D7,'Revenues 9-14'!F7:H7)</f>
        <v>2845</v>
      </c>
      <c r="C14" s="585"/>
      <c r="D14" s="1775">
        <f t="shared" si="0"/>
        <v>2845</v>
      </c>
      <c r="E14" s="585">
        <v>2853</v>
      </c>
      <c r="F14" s="1775">
        <f t="shared" si="1"/>
        <v>2853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24124</v>
      </c>
      <c r="C16" s="585"/>
      <c r="D16" s="1775">
        <f t="shared" si="0"/>
        <v>24124</v>
      </c>
      <c r="E16" s="585">
        <v>24182</v>
      </c>
      <c r="F16" s="1775">
        <f t="shared" si="1"/>
        <v>24182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938948</v>
      </c>
      <c r="C19" s="1773">
        <f>SUM(C4:C18)</f>
        <v>0</v>
      </c>
      <c r="D19" s="1773">
        <f>SUM(D4:D18)</f>
        <v>938948</v>
      </c>
      <c r="E19" s="1773">
        <f>SUM(E4:E18)</f>
        <v>967799</v>
      </c>
      <c r="F19" s="1773">
        <f>SUM(F4:F18)</f>
        <v>967799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650</v>
      </c>
      <c r="B1" s="2210"/>
      <c r="C1" s="722"/>
    </row>
    <row r="2" spans="1:7" ht="33.75" x14ac:dyDescent="0.2">
      <c r="A2" s="2218" t="s">
        <v>1905</v>
      </c>
      <c r="B2" s="2219"/>
      <c r="C2" s="1908" t="s">
        <v>2036</v>
      </c>
      <c r="D2" s="724" t="s">
        <v>2043</v>
      </c>
      <c r="E2" s="724" t="s">
        <v>2044</v>
      </c>
      <c r="F2" s="1908" t="s">
        <v>2037</v>
      </c>
    </row>
    <row r="3" spans="1:7" ht="15.75" customHeight="1" x14ac:dyDescent="0.2">
      <c r="A3" s="2222" t="s">
        <v>1176</v>
      </c>
      <c r="B3" s="2223"/>
      <c r="C3" s="2211"/>
      <c r="D3" s="2212"/>
      <c r="E3" s="2212"/>
      <c r="F3" s="2213"/>
    </row>
    <row r="4" spans="1:7" ht="12.75" customHeight="1" thickBot="1" x14ac:dyDescent="0.25">
      <c r="A4" s="2220" t="s">
        <v>651</v>
      </c>
      <c r="B4" s="2221"/>
      <c r="C4" s="581"/>
      <c r="D4" s="581"/>
      <c r="E4" s="581"/>
      <c r="F4" s="1777">
        <f>SUM(C4+D4)-E4</f>
        <v>0</v>
      </c>
    </row>
    <row r="5" spans="1:7" ht="15.75" customHeight="1" thickTop="1" x14ac:dyDescent="0.2">
      <c r="A5" s="2205" t="s">
        <v>1172</v>
      </c>
      <c r="B5" s="2206"/>
      <c r="C5" s="2214"/>
      <c r="D5" s="2215"/>
      <c r="E5" s="2215"/>
      <c r="F5" s="2216"/>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7" t="s">
        <v>652</v>
      </c>
      <c r="B15" s="2208"/>
      <c r="C15" s="1777">
        <f>SUM(C6:C14)</f>
        <v>0</v>
      </c>
      <c r="D15" s="1777">
        <f>SUM(D6:D14)</f>
        <v>0</v>
      </c>
      <c r="E15" s="1777">
        <f>SUM(E6:E14)</f>
        <v>0</v>
      </c>
      <c r="F15" s="1777">
        <f>SUM(F6:F14)</f>
        <v>0</v>
      </c>
      <c r="G15" s="552"/>
    </row>
    <row r="16" spans="1:7" s="202" customFormat="1" ht="15.75" customHeight="1" thickTop="1" x14ac:dyDescent="0.2">
      <c r="A16" s="2217" t="s">
        <v>1173</v>
      </c>
      <c r="B16" s="2206"/>
      <c r="C16" s="2214"/>
      <c r="D16" s="2215"/>
      <c r="E16" s="2215"/>
      <c r="F16" s="2216"/>
    </row>
    <row r="17" spans="1:11" ht="12.75" customHeight="1" thickBot="1" x14ac:dyDescent="0.25">
      <c r="A17" s="2230" t="s">
        <v>66</v>
      </c>
      <c r="B17" s="2231"/>
      <c r="C17" s="727"/>
      <c r="D17" s="585"/>
      <c r="E17" s="727"/>
      <c r="F17" s="1777">
        <f>SUM(C17+D17)-E17</f>
        <v>0</v>
      </c>
    </row>
    <row r="18" spans="1:11" ht="12.75" customHeight="1" thickTop="1" thickBot="1" x14ac:dyDescent="0.25">
      <c r="A18" s="2230" t="s">
        <v>6</v>
      </c>
      <c r="B18" s="2231"/>
      <c r="C18" s="727"/>
      <c r="D18" s="585"/>
      <c r="E18" s="727"/>
      <c r="F18" s="1777">
        <f>SUM(C18+D18)-E18</f>
        <v>0</v>
      </c>
    </row>
    <row r="19" spans="1:11" ht="12.75" customHeight="1" thickTop="1" thickBot="1" x14ac:dyDescent="0.25">
      <c r="A19" s="2230" t="s">
        <v>406</v>
      </c>
      <c r="B19" s="2231"/>
      <c r="C19" s="727"/>
      <c r="D19" s="585"/>
      <c r="E19" s="727"/>
      <c r="F19" s="1777">
        <f>SUM(C19+D19)-E19</f>
        <v>0</v>
      </c>
    </row>
    <row r="20" spans="1:11" ht="12.75" customHeight="1" thickTop="1" thickBot="1" x14ac:dyDescent="0.25">
      <c r="A20" s="2230" t="s">
        <v>468</v>
      </c>
      <c r="B20" s="2231"/>
      <c r="C20" s="727"/>
      <c r="D20" s="585"/>
      <c r="E20" s="727"/>
      <c r="F20" s="1777">
        <f>SUM(C20+D20)-E20</f>
        <v>0</v>
      </c>
    </row>
    <row r="21" spans="1:11" ht="14.25" thickTop="1" thickBot="1" x14ac:dyDescent="0.25">
      <c r="A21" s="2207" t="s">
        <v>653</v>
      </c>
      <c r="B21" s="2208"/>
      <c r="C21" s="1777">
        <f>SUM(C17:C20)</f>
        <v>0</v>
      </c>
      <c r="D21" s="1777">
        <f>SUM(D17:D20)</f>
        <v>0</v>
      </c>
      <c r="E21" s="1777">
        <f>SUM(E17:E20)</f>
        <v>0</v>
      </c>
      <c r="F21" s="1777">
        <f>SUM(F17:F20)</f>
        <v>0</v>
      </c>
      <c r="G21" s="552"/>
    </row>
    <row r="22" spans="1:11" ht="15.75" customHeight="1" thickTop="1" x14ac:dyDescent="0.2">
      <c r="A22" s="2232" t="s">
        <v>1174</v>
      </c>
      <c r="B22" s="2206"/>
      <c r="C22" s="2214"/>
      <c r="D22" s="2215"/>
      <c r="E22" s="2215"/>
      <c r="F22" s="2216"/>
    </row>
    <row r="23" spans="1:11" ht="13.5" thickBot="1" x14ac:dyDescent="0.25">
      <c r="A23" s="2220" t="s">
        <v>654</v>
      </c>
      <c r="B23" s="2221"/>
      <c r="C23" s="581"/>
      <c r="D23" s="581"/>
      <c r="E23" s="581"/>
      <c r="F23" s="1777">
        <f>SUM(C23+D23)-E23</f>
        <v>0</v>
      </c>
      <c r="G23" s="552"/>
    </row>
    <row r="24" spans="1:11" ht="15.75" customHeight="1" thickTop="1" x14ac:dyDescent="0.2">
      <c r="A24" s="2232" t="s">
        <v>1175</v>
      </c>
      <c r="B24" s="2206"/>
      <c r="C24" s="2214"/>
      <c r="D24" s="2215"/>
      <c r="E24" s="2215"/>
      <c r="F24" s="2216"/>
    </row>
    <row r="25" spans="1:11" ht="13.5" thickBot="1" x14ac:dyDescent="0.25">
      <c r="A25" s="2220" t="s">
        <v>655</v>
      </c>
      <c r="B25" s="2221"/>
      <c r="C25" s="581"/>
      <c r="D25" s="581"/>
      <c r="E25" s="581"/>
      <c r="F25" s="1777">
        <f>SUM(C25+D25)-E25</f>
        <v>0</v>
      </c>
      <c r="G25" s="552"/>
    </row>
    <row r="26" spans="1:11" ht="15.75" customHeight="1" thickTop="1" x14ac:dyDescent="0.2">
      <c r="A26" s="2205" t="s">
        <v>678</v>
      </c>
      <c r="B26" s="2206"/>
      <c r="C26" s="728"/>
      <c r="D26" s="728"/>
      <c r="E26" s="728"/>
      <c r="F26" s="729"/>
    </row>
    <row r="27" spans="1:11" ht="13.5" thickBot="1" x14ac:dyDescent="0.25">
      <c r="A27" s="2207" t="s">
        <v>1130</v>
      </c>
      <c r="B27" s="2208"/>
      <c r="C27" s="585"/>
      <c r="D27" s="585"/>
      <c r="E27" s="585"/>
      <c r="F27" s="1777">
        <f>SUM(C27+D27)-E27</f>
        <v>0</v>
      </c>
      <c r="G27" s="552"/>
    </row>
    <row r="28" spans="1:11" ht="7.5" customHeight="1" thickTop="1" x14ac:dyDescent="0.2">
      <c r="A28" s="594"/>
    </row>
    <row r="29" spans="1:11" ht="23.25" customHeight="1" x14ac:dyDescent="0.2">
      <c r="A29" s="2233" t="s">
        <v>603</v>
      </c>
      <c r="B29" s="2210"/>
      <c r="C29" s="730"/>
      <c r="D29" s="730"/>
      <c r="E29" s="730"/>
      <c r="F29" s="730"/>
      <c r="G29" s="730"/>
      <c r="H29" s="730"/>
      <c r="I29" s="730"/>
      <c r="J29" s="730"/>
    </row>
    <row r="30" spans="1:11" ht="33.75" x14ac:dyDescent="0.2">
      <c r="A30" s="1551" t="s">
        <v>1131</v>
      </c>
      <c r="B30" s="731" t="s">
        <v>1186</v>
      </c>
      <c r="C30" s="1909" t="s">
        <v>604</v>
      </c>
      <c r="D30" s="1909" t="s">
        <v>1772</v>
      </c>
      <c r="E30" s="1909" t="s">
        <v>2038</v>
      </c>
      <c r="F30" s="1909" t="s">
        <v>2039</v>
      </c>
      <c r="G30" s="1909" t="s">
        <v>2042</v>
      </c>
      <c r="H30" s="1909" t="s">
        <v>2040</v>
      </c>
      <c r="I30" s="1909" t="s">
        <v>2041</v>
      </c>
      <c r="J30" s="1910" t="s">
        <v>2</v>
      </c>
      <c r="K30" s="732"/>
    </row>
    <row r="31" spans="1:11" ht="12" customHeight="1" x14ac:dyDescent="0.2">
      <c r="A31" s="733" t="s">
        <v>2094</v>
      </c>
      <c r="B31" s="734">
        <v>40664</v>
      </c>
      <c r="C31" s="735">
        <v>450000</v>
      </c>
      <c r="D31" s="736">
        <v>6</v>
      </c>
      <c r="E31" s="735">
        <v>320000</v>
      </c>
      <c r="F31" s="735"/>
      <c r="G31" s="735"/>
      <c r="H31" s="735">
        <v>30000</v>
      </c>
      <c r="I31" s="1778">
        <f>((E31+F31)-H31)+G31</f>
        <v>290000</v>
      </c>
      <c r="J31" s="735">
        <v>278694</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450000</v>
      </c>
      <c r="D49" s="746"/>
      <c r="E49" s="1778">
        <f t="shared" ref="E49:J49" si="2">SUM(E31:E48)</f>
        <v>320000</v>
      </c>
      <c r="F49" s="1778">
        <f t="shared" si="2"/>
        <v>0</v>
      </c>
      <c r="G49" s="1778">
        <f t="shared" si="2"/>
        <v>0</v>
      </c>
      <c r="H49" s="1778">
        <f t="shared" si="2"/>
        <v>30000</v>
      </c>
      <c r="I49" s="1778">
        <f t="shared" si="2"/>
        <v>290000</v>
      </c>
      <c r="J49" s="1778">
        <f t="shared" si="2"/>
        <v>278694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4" t="s">
        <v>605</v>
      </c>
      <c r="C52" s="2225"/>
      <c r="D52" s="2225"/>
      <c r="E52" s="750" t="s">
        <v>900</v>
      </c>
      <c r="F52" s="2226"/>
      <c r="G52" s="2227"/>
      <c r="H52" s="737"/>
      <c r="I52" s="737"/>
      <c r="J52" s="747"/>
    </row>
    <row r="53" spans="1:11" ht="11.25" customHeight="1" x14ac:dyDescent="0.2">
      <c r="A53" s="751" t="s">
        <v>969</v>
      </c>
      <c r="B53" s="752" t="s">
        <v>1008</v>
      </c>
      <c r="C53" s="747"/>
      <c r="D53" s="738"/>
      <c r="E53" s="750" t="s">
        <v>518</v>
      </c>
      <c r="F53" s="2228"/>
      <c r="G53" s="2229"/>
      <c r="H53" s="737"/>
      <c r="I53" s="737"/>
      <c r="J53" s="747"/>
    </row>
    <row r="54" spans="1:11" ht="11.25" customHeight="1" x14ac:dyDescent="0.2">
      <c r="A54" s="753" t="s">
        <v>970</v>
      </c>
      <c r="B54" s="748" t="s">
        <v>1009</v>
      </c>
      <c r="C54" s="747"/>
      <c r="D54" s="738"/>
      <c r="E54" s="750" t="s">
        <v>519</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911</v>
      </c>
      <c r="B1" s="2259"/>
      <c r="C1" s="2259"/>
      <c r="D1" s="2259"/>
      <c r="E1" s="2259"/>
      <c r="F1" s="2259"/>
      <c r="G1" s="2260"/>
      <c r="H1" s="1552"/>
      <c r="I1" s="761"/>
      <c r="J1" s="433"/>
    </row>
    <row r="2" spans="1:11" ht="26.25" x14ac:dyDescent="0.2">
      <c r="A2" s="2237" t="s">
        <v>1776</v>
      </c>
      <c r="B2" s="2238"/>
      <c r="C2" s="2238"/>
      <c r="D2" s="2238"/>
      <c r="E2" s="2239"/>
      <c r="F2" s="762" t="s">
        <v>960</v>
      </c>
      <c r="G2" s="763" t="s">
        <v>1773</v>
      </c>
      <c r="H2" s="763" t="s">
        <v>430</v>
      </c>
      <c r="I2" s="763" t="s">
        <v>1220</v>
      </c>
      <c r="J2" s="763" t="s">
        <v>1919</v>
      </c>
      <c r="K2" s="763" t="s">
        <v>140</v>
      </c>
    </row>
    <row r="3" spans="1:11" x14ac:dyDescent="0.2">
      <c r="A3" s="2240" t="s">
        <v>1698</v>
      </c>
      <c r="B3" s="2241"/>
      <c r="C3" s="2241"/>
      <c r="D3" s="2241"/>
      <c r="E3" s="2242"/>
      <c r="F3" s="764"/>
      <c r="G3" s="765"/>
      <c r="H3" s="765"/>
      <c r="I3" s="765"/>
      <c r="J3" s="766"/>
      <c r="K3" s="766"/>
    </row>
    <row r="4" spans="1:11" x14ac:dyDescent="0.2">
      <c r="A4" s="2243" t="s">
        <v>387</v>
      </c>
      <c r="B4" s="2244"/>
      <c r="C4" s="2244"/>
      <c r="D4" s="2244"/>
      <c r="E4" s="2225"/>
      <c r="F4" s="767"/>
      <c r="G4" s="768"/>
      <c r="H4" s="769"/>
      <c r="I4" s="768"/>
      <c r="J4" s="770"/>
      <c r="K4" s="770"/>
    </row>
    <row r="5" spans="1:11" x14ac:dyDescent="0.2">
      <c r="A5" s="2261" t="s">
        <v>1129</v>
      </c>
      <c r="B5" s="2234"/>
      <c r="C5" s="2234"/>
      <c r="D5" s="2234"/>
      <c r="E5" s="2262"/>
      <c r="F5" s="771" t="s">
        <v>903</v>
      </c>
      <c r="G5" s="772"/>
      <c r="H5" s="765">
        <v>2845</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61" t="s">
        <v>1920</v>
      </c>
      <c r="B10" s="2234"/>
      <c r="C10" s="2234"/>
      <c r="D10" s="2234"/>
      <c r="E10" s="2263"/>
      <c r="F10" s="784" t="s">
        <v>917</v>
      </c>
      <c r="G10" s="783"/>
      <c r="H10" s="785"/>
      <c r="I10" s="765"/>
      <c r="J10" s="766"/>
      <c r="K10" s="766"/>
    </row>
    <row r="11" spans="1:11" x14ac:dyDescent="0.2">
      <c r="A11" s="2261" t="s">
        <v>162</v>
      </c>
      <c r="B11" s="2234"/>
      <c r="C11" s="2234"/>
      <c r="D11" s="2234"/>
      <c r="E11" s="2262"/>
      <c r="F11" s="771" t="s">
        <v>907</v>
      </c>
      <c r="G11" s="772"/>
      <c r="H11" s="765"/>
      <c r="I11" s="765"/>
      <c r="J11" s="766"/>
      <c r="K11" s="774"/>
    </row>
    <row r="12" spans="1:11" ht="13.5" thickBot="1" x14ac:dyDescent="0.25">
      <c r="A12" s="2251" t="s">
        <v>961</v>
      </c>
      <c r="B12" s="2252"/>
      <c r="C12" s="2252"/>
      <c r="D12" s="2252"/>
      <c r="E12" s="2253"/>
      <c r="F12" s="1779"/>
      <c r="G12" s="1780">
        <f>SUM(G5:G11)</f>
        <v>0</v>
      </c>
      <c r="H12" s="1780">
        <f>SUM(H5:H11)</f>
        <v>2845</v>
      </c>
      <c r="I12" s="1780">
        <f>SUM(I5:I11)</f>
        <v>0</v>
      </c>
      <c r="J12" s="1780">
        <f>SUM(J5:J11)</f>
        <v>0</v>
      </c>
      <c r="K12" s="1780">
        <f>SUM(K5:K11)</f>
        <v>0</v>
      </c>
    </row>
    <row r="13" spans="1:11" ht="13.5" thickTop="1" x14ac:dyDescent="0.2">
      <c r="A13" s="2245" t="s">
        <v>388</v>
      </c>
      <c r="B13" s="2246"/>
      <c r="C13" s="2246"/>
      <c r="D13" s="2246"/>
      <c r="E13" s="2247"/>
      <c r="F13" s="786"/>
      <c r="G13" s="787"/>
      <c r="H13" s="788"/>
      <c r="I13" s="789"/>
      <c r="J13" s="789"/>
      <c r="K13" s="789"/>
    </row>
    <row r="14" spans="1:11" x14ac:dyDescent="0.2">
      <c r="A14" s="2267" t="s">
        <v>476</v>
      </c>
      <c r="B14" s="2267"/>
      <c r="C14" s="2267"/>
      <c r="D14" s="2267"/>
      <c r="E14" s="2268"/>
      <c r="F14" s="790" t="s">
        <v>909</v>
      </c>
      <c r="G14" s="783"/>
      <c r="H14" s="765">
        <v>2845</v>
      </c>
      <c r="I14" s="772"/>
      <c r="J14" s="774"/>
      <c r="K14" s="766"/>
    </row>
    <row r="15" spans="1:11" x14ac:dyDescent="0.2">
      <c r="A15" s="2234" t="s">
        <v>4</v>
      </c>
      <c r="B15" s="2234"/>
      <c r="C15" s="2234"/>
      <c r="D15" s="2234"/>
      <c r="E15" s="2262"/>
      <c r="F15" s="790" t="s">
        <v>910</v>
      </c>
      <c r="G15" s="772"/>
      <c r="H15" s="765"/>
      <c r="I15" s="765"/>
      <c r="J15" s="766"/>
      <c r="K15" s="766"/>
    </row>
    <row r="16" spans="1:11" x14ac:dyDescent="0.2">
      <c r="A16" s="2234" t="s">
        <v>316</v>
      </c>
      <c r="B16" s="2234"/>
      <c r="C16" s="2234"/>
      <c r="D16" s="2234"/>
      <c r="E16" s="2262"/>
      <c r="F16" s="790" t="s">
        <v>980</v>
      </c>
      <c r="G16" s="773"/>
      <c r="H16" s="768"/>
      <c r="I16" s="768"/>
      <c r="J16" s="770"/>
      <c r="K16" s="770"/>
    </row>
    <row r="17" spans="1:11" x14ac:dyDescent="0.2">
      <c r="A17" s="2256" t="s">
        <v>992</v>
      </c>
      <c r="B17" s="2256"/>
      <c r="C17" s="2256"/>
      <c r="D17" s="2256"/>
      <c r="E17" s="2257"/>
      <c r="F17" s="791"/>
      <c r="G17" s="792"/>
      <c r="H17" s="793"/>
      <c r="I17" s="793"/>
      <c r="J17" s="794"/>
      <c r="K17" s="795"/>
    </row>
    <row r="18" spans="1:11" x14ac:dyDescent="0.2">
      <c r="A18" s="2248" t="s">
        <v>386</v>
      </c>
      <c r="B18" s="2249"/>
      <c r="C18" s="2249"/>
      <c r="D18" s="2249"/>
      <c r="E18" s="2250"/>
      <c r="F18" s="790" t="s">
        <v>989</v>
      </c>
      <c r="G18" s="783"/>
      <c r="H18" s="783"/>
      <c r="I18" s="783"/>
      <c r="J18" s="766"/>
      <c r="K18" s="796"/>
    </row>
    <row r="19" spans="1:11" ht="21.75" customHeight="1" x14ac:dyDescent="0.2">
      <c r="A19" s="2269" t="s">
        <v>1916</v>
      </c>
      <c r="B19" s="2269"/>
      <c r="C19" s="2269"/>
      <c r="D19" s="2269"/>
      <c r="E19" s="2270"/>
      <c r="F19" s="790" t="s">
        <v>990</v>
      </c>
      <c r="G19" s="783"/>
      <c r="H19" s="783"/>
      <c r="I19" s="783"/>
      <c r="J19" s="766"/>
      <c r="K19" s="796"/>
    </row>
    <row r="20" spans="1:11" x14ac:dyDescent="0.2">
      <c r="A20" s="2248" t="s">
        <v>1921</v>
      </c>
      <c r="B20" s="2249"/>
      <c r="C20" s="2249"/>
      <c r="D20" s="2249"/>
      <c r="E20" s="2250"/>
      <c r="F20" s="790" t="s">
        <v>991</v>
      </c>
      <c r="G20" s="783"/>
      <c r="H20" s="783"/>
      <c r="I20" s="783"/>
      <c r="J20" s="766"/>
      <c r="K20" s="796"/>
    </row>
    <row r="21" spans="1:11" ht="13.5" thickBot="1" x14ac:dyDescent="0.25">
      <c r="A21" s="2254" t="s">
        <v>659</v>
      </c>
      <c r="B21" s="2254"/>
      <c r="C21" s="2254"/>
      <c r="D21" s="2254"/>
      <c r="E21" s="2254"/>
      <c r="F21" s="1781"/>
      <c r="G21" s="793"/>
      <c r="H21" s="797"/>
      <c r="I21" s="797"/>
      <c r="J21" s="1782">
        <f>SUM(J18:J20)</f>
        <v>0</v>
      </c>
      <c r="K21" s="794"/>
    </row>
    <row r="22" spans="1:11" ht="13.5" thickTop="1" x14ac:dyDescent="0.2">
      <c r="A22" s="2234" t="s">
        <v>1922</v>
      </c>
      <c r="B22" s="2234"/>
      <c r="C22" s="2234"/>
      <c r="D22" s="2234"/>
      <c r="E22" s="2262"/>
      <c r="F22" s="790" t="s">
        <v>917</v>
      </c>
      <c r="G22" s="783"/>
      <c r="H22" s="765"/>
      <c r="I22" s="765"/>
      <c r="J22" s="798"/>
      <c r="K22" s="766"/>
    </row>
    <row r="23" spans="1:11" ht="13.5" thickBot="1" x14ac:dyDescent="0.25">
      <c r="A23" s="2255" t="s">
        <v>962</v>
      </c>
      <c r="B23" s="2254"/>
      <c r="C23" s="2254"/>
      <c r="D23" s="2254"/>
      <c r="E23" s="2254"/>
      <c r="F23" s="1783"/>
      <c r="G23" s="1780">
        <f>SUM(G14:G16,G21,G22)</f>
        <v>0</v>
      </c>
      <c r="H23" s="1780">
        <f>SUM(H14:H16,H21,H22)</f>
        <v>2845</v>
      </c>
      <c r="I23" s="1780">
        <f>SUM(I14:I16,I21,I22)</f>
        <v>0</v>
      </c>
      <c r="J23" s="1780">
        <f>SUM(J14:J16,J21,J22)</f>
        <v>0</v>
      </c>
      <c r="K23" s="1780">
        <f>SUM(K14:K16,K21,K22)</f>
        <v>0</v>
      </c>
    </row>
    <row r="24" spans="1:11" ht="14.25" thickTop="1" thickBot="1" x14ac:dyDescent="0.25">
      <c r="A24" s="2255" t="s">
        <v>2024</v>
      </c>
      <c r="B24" s="2254"/>
      <c r="C24" s="2254"/>
      <c r="D24" s="2254"/>
      <c r="E24" s="2254"/>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2034</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4"/>
      <c r="I31" s="2265"/>
      <c r="J31" s="2265"/>
      <c r="K31" s="2265"/>
    </row>
    <row r="32" spans="1:11" x14ac:dyDescent="0.2">
      <c r="A32" s="810"/>
      <c r="B32" s="237"/>
      <c r="C32" s="237"/>
      <c r="D32" s="237"/>
      <c r="E32" s="806"/>
      <c r="F32" s="812" t="s">
        <v>561</v>
      </c>
      <c r="G32" s="765"/>
      <c r="H32" s="2266"/>
      <c r="I32" s="2265"/>
      <c r="J32" s="2265"/>
      <c r="K32" s="2265"/>
    </row>
    <row r="33" spans="1:11" ht="1.5" customHeight="1" x14ac:dyDescent="0.2">
      <c r="A33" s="813" t="s">
        <v>1231</v>
      </c>
      <c r="B33" s="364"/>
      <c r="C33" s="364"/>
      <c r="D33" s="364"/>
      <c r="E33" s="364"/>
      <c r="F33" s="364"/>
      <c r="G33" s="814"/>
      <c r="H33" s="2266"/>
      <c r="I33" s="2265"/>
      <c r="J33" s="2265"/>
      <c r="K33" s="2265"/>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4" t="s">
        <v>562</v>
      </c>
      <c r="B41" s="2235"/>
      <c r="C41" s="2235"/>
      <c r="D41" s="2235"/>
      <c r="E41" s="2235"/>
      <c r="F41" s="223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G5" sqref="G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2033</v>
      </c>
      <c r="B1" s="2274"/>
      <c r="C1" s="2275"/>
      <c r="D1" s="827"/>
      <c r="E1" s="828"/>
      <c r="F1" s="828"/>
      <c r="G1" s="829"/>
      <c r="H1" s="830"/>
      <c r="I1" s="831"/>
      <c r="J1" s="2271"/>
      <c r="K1" s="2272"/>
      <c r="L1" s="2272"/>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8000</v>
      </c>
      <c r="D5" s="842"/>
      <c r="E5" s="842"/>
      <c r="F5" s="1782">
        <f>(C5+D5)-E5</f>
        <v>8000</v>
      </c>
      <c r="G5" s="838"/>
      <c r="H5" s="843"/>
      <c r="I5" s="843"/>
      <c r="J5" s="843"/>
      <c r="K5" s="794"/>
      <c r="L5" s="1791">
        <f>F5-K5</f>
        <v>8000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1336205</v>
      </c>
      <c r="D8" s="845">
        <v>62069</v>
      </c>
      <c r="E8" s="845"/>
      <c r="F8" s="1782">
        <f>(C8+D8)-E8</f>
        <v>1398274</v>
      </c>
      <c r="G8" s="844">
        <v>50</v>
      </c>
      <c r="H8" s="766">
        <v>626934</v>
      </c>
      <c r="I8" s="766">
        <v>32672</v>
      </c>
      <c r="J8" s="766"/>
      <c r="K8" s="1791">
        <f>(H8+I8)-J8</f>
        <v>659606</v>
      </c>
      <c r="L8" s="1791">
        <f>F8-K8</f>
        <v>738668</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7104</v>
      </c>
      <c r="D10" s="847"/>
      <c r="E10" s="847"/>
      <c r="F10" s="1786">
        <f>(C10+D10)-E10</f>
        <v>7104</v>
      </c>
      <c r="G10" s="844">
        <v>20</v>
      </c>
      <c r="H10" s="848">
        <v>7104</v>
      </c>
      <c r="I10" s="848"/>
      <c r="J10" s="848"/>
      <c r="K10" s="1791">
        <f>(H10+I10)-J10</f>
        <v>7104</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350345</v>
      </c>
      <c r="D12" s="845">
        <v>675</v>
      </c>
      <c r="E12" s="845"/>
      <c r="F12" s="1782">
        <f>(C12+D12)-E12</f>
        <v>351020</v>
      </c>
      <c r="G12" s="844">
        <v>10</v>
      </c>
      <c r="H12" s="766">
        <v>311771</v>
      </c>
      <c r="I12" s="766">
        <v>7243</v>
      </c>
      <c r="J12" s="766"/>
      <c r="K12" s="1791">
        <f>(H12+I12)-J12</f>
        <v>319014</v>
      </c>
      <c r="L12" s="1791">
        <f>F12-K12</f>
        <v>32006</v>
      </c>
    </row>
    <row r="13" spans="1:14" ht="14.25" thickTop="1" thickBot="1" x14ac:dyDescent="0.25">
      <c r="A13" s="849" t="s">
        <v>1184</v>
      </c>
      <c r="B13" s="841">
        <v>252</v>
      </c>
      <c r="C13" s="845">
        <v>45781</v>
      </c>
      <c r="D13" s="845">
        <v>1750</v>
      </c>
      <c r="E13" s="845"/>
      <c r="F13" s="1782">
        <f>(C13+D13)-E13</f>
        <v>47531</v>
      </c>
      <c r="G13" s="844">
        <v>5</v>
      </c>
      <c r="H13" s="766">
        <v>45781</v>
      </c>
      <c r="I13" s="766">
        <v>2306</v>
      </c>
      <c r="J13" s="766"/>
      <c r="K13" s="1791">
        <f>(H13+I13)-J13</f>
        <v>48087</v>
      </c>
      <c r="L13" s="1791">
        <f>F13-K13</f>
        <v>-556</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1747435</v>
      </c>
      <c r="D16" s="1782">
        <f>SUM(D3,D5:D6,D8:D10,D12:D15)</f>
        <v>64494</v>
      </c>
      <c r="E16" s="1782">
        <f>SUM(E3,E5:E6,E8:E10,E12:E15)</f>
        <v>0</v>
      </c>
      <c r="F16" s="1782">
        <f>SUM(F3,F5:F6,F8:F10,F12:F15)</f>
        <v>1811929</v>
      </c>
      <c r="G16" s="844"/>
      <c r="H16" s="1782">
        <f>SUM(H3,H6,H8:H10,H12:H14,)</f>
        <v>991590</v>
      </c>
      <c r="I16" s="1782">
        <f>SUM(I3,I6,I8:I10,I12:I14,)</f>
        <v>42221</v>
      </c>
      <c r="J16" s="1782">
        <f>SUM(J3,J6,J8:J10,J12:J14,)</f>
        <v>0</v>
      </c>
      <c r="K16" s="1782">
        <f>(H16+I16)-J16</f>
        <v>1033811</v>
      </c>
      <c r="L16" s="1782">
        <f>F16-K16</f>
        <v>778118</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42221</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33"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1699</v>
      </c>
      <c r="B1" s="2280"/>
      <c r="C1" s="2280"/>
      <c r="D1" s="2280"/>
      <c r="E1" s="2280"/>
      <c r="F1" s="2281"/>
      <c r="G1" s="856"/>
    </row>
    <row r="2" spans="1:7" ht="15" customHeight="1" thickBot="1" x14ac:dyDescent="0.25">
      <c r="A2" s="2282" t="s">
        <v>498</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5"/>
      <c r="B5" s="2286"/>
      <c r="C5" s="2286"/>
      <c r="D5" s="2286"/>
      <c r="E5" s="2286"/>
      <c r="F5" s="2286"/>
    </row>
    <row r="6" spans="1:7" ht="13.5" customHeight="1" thickBot="1" x14ac:dyDescent="0.25">
      <c r="A6" s="2276" t="s">
        <v>1166</v>
      </c>
      <c r="B6" s="2277"/>
      <c r="C6" s="2277"/>
      <c r="D6" s="2277"/>
      <c r="E6" s="2277"/>
      <c r="F6" s="227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975686</v>
      </c>
      <c r="G8" s="866"/>
    </row>
    <row r="9" spans="1:7" x14ac:dyDescent="0.2">
      <c r="A9" s="870" t="s">
        <v>480</v>
      </c>
      <c r="B9" s="871" t="s">
        <v>1988</v>
      </c>
      <c r="C9" s="872"/>
      <c r="D9" s="870" t="s">
        <v>522</v>
      </c>
      <c r="E9" s="869"/>
      <c r="F9" s="1934">
        <f>'Expenditures 15-22'!K151</f>
        <v>162866</v>
      </c>
      <c r="G9" s="873"/>
    </row>
    <row r="10" spans="1:7" x14ac:dyDescent="0.2">
      <c r="A10" s="870" t="s">
        <v>520</v>
      </c>
      <c r="B10" s="871" t="s">
        <v>1989</v>
      </c>
      <c r="C10" s="872"/>
      <c r="D10" s="870" t="s">
        <v>522</v>
      </c>
      <c r="E10" s="869"/>
      <c r="F10" s="1934">
        <f>'Expenditures 15-22'!K174</f>
        <v>45787</v>
      </c>
      <c r="G10" s="873"/>
    </row>
    <row r="11" spans="1:7" x14ac:dyDescent="0.2">
      <c r="A11" s="870" t="s">
        <v>481</v>
      </c>
      <c r="B11" s="871" t="s">
        <v>1990</v>
      </c>
      <c r="C11" s="872"/>
      <c r="D11" s="870" t="s">
        <v>522</v>
      </c>
      <c r="E11" s="869"/>
      <c r="F11" s="1934">
        <f>'Expenditures 15-22'!K210</f>
        <v>72727</v>
      </c>
      <c r="G11" s="873"/>
    </row>
    <row r="12" spans="1:7" x14ac:dyDescent="0.2">
      <c r="A12" s="870" t="s">
        <v>482</v>
      </c>
      <c r="B12" s="871" t="s">
        <v>1991</v>
      </c>
      <c r="C12" s="872"/>
      <c r="D12" s="870" t="s">
        <v>522</v>
      </c>
      <c r="E12" s="869"/>
      <c r="F12" s="1934">
        <f>'Expenditures 15-22'!K295</f>
        <v>35907</v>
      </c>
      <c r="G12" s="873"/>
    </row>
    <row r="13" spans="1:7" x14ac:dyDescent="0.2">
      <c r="A13" s="870" t="s">
        <v>108</v>
      </c>
      <c r="B13" s="871" t="s">
        <v>1992</v>
      </c>
      <c r="C13" s="872"/>
      <c r="D13" s="870" t="s">
        <v>522</v>
      </c>
      <c r="E13" s="869"/>
      <c r="F13" s="1934">
        <f>'Expenditures 15-22'!K342</f>
        <v>27004</v>
      </c>
      <c r="G13" s="874"/>
    </row>
    <row r="14" spans="1:7" ht="12" customHeight="1" thickBot="1" x14ac:dyDescent="0.25">
      <c r="A14" s="1792"/>
      <c r="B14" s="1793"/>
      <c r="C14" s="1794"/>
      <c r="D14" s="1795" t="s">
        <v>522</v>
      </c>
      <c r="E14" s="1796" t="s">
        <v>1015</v>
      </c>
      <c r="F14" s="1797">
        <f>SUM(F8:F13)</f>
        <v>1319977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38361</v>
      </c>
      <c r="G53" s="866"/>
    </row>
    <row r="54" spans="1:7" x14ac:dyDescent="0.2">
      <c r="A54" s="870" t="s">
        <v>479</v>
      </c>
      <c r="B54" s="870" t="s">
        <v>1552</v>
      </c>
      <c r="C54" s="890" t="s">
        <v>1039</v>
      </c>
      <c r="D54" s="886" t="s">
        <v>1157</v>
      </c>
      <c r="E54" s="869"/>
      <c r="F54" s="1938">
        <f>'Expenditures 15-22'!G114</f>
        <v>0</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8">
        <f>'Expenditures 15-22'!K139</f>
        <v>0</v>
      </c>
      <c r="G57" s="866"/>
    </row>
    <row r="58" spans="1:7" x14ac:dyDescent="0.2">
      <c r="A58" s="870" t="s">
        <v>480</v>
      </c>
      <c r="B58" s="870" t="s">
        <v>1994</v>
      </c>
      <c r="C58" s="887" t="s">
        <v>1039</v>
      </c>
      <c r="D58" s="886" t="s">
        <v>1157</v>
      </c>
      <c r="E58" s="869"/>
      <c r="F58" s="1940">
        <f>'Expenditures 15-22'!G151</f>
        <v>62069</v>
      </c>
      <c r="G58" s="866"/>
    </row>
    <row r="59" spans="1:7" x14ac:dyDescent="0.2">
      <c r="A59" s="894" t="s">
        <v>480</v>
      </c>
      <c r="B59" s="857" t="s">
        <v>1995</v>
      </c>
      <c r="C59" s="895" t="s">
        <v>1039</v>
      </c>
      <c r="D59" s="857" t="s">
        <v>309</v>
      </c>
      <c r="F59" s="1941">
        <f>'Expenditures 15-22'!I151</f>
        <v>0</v>
      </c>
      <c r="G59" s="866"/>
    </row>
    <row r="60" spans="1:7" x14ac:dyDescent="0.2">
      <c r="A60" s="894" t="s">
        <v>520</v>
      </c>
      <c r="B60" s="857" t="s">
        <v>1996</v>
      </c>
      <c r="C60" s="895">
        <v>4000</v>
      </c>
      <c r="D60" s="857" t="s">
        <v>330</v>
      </c>
      <c r="F60" s="1939">
        <f>'Expenditures 15-22'!K160</f>
        <v>0</v>
      </c>
      <c r="G60" s="866"/>
    </row>
    <row r="61" spans="1:7" x14ac:dyDescent="0.2">
      <c r="A61" s="896" t="s">
        <v>520</v>
      </c>
      <c r="B61" s="896" t="s">
        <v>1997</v>
      </c>
      <c r="C61" s="897" t="str">
        <f>'Expenditures 15-22'!B170</f>
        <v>5300</v>
      </c>
      <c r="D61" s="898" t="s">
        <v>329</v>
      </c>
      <c r="E61" s="880"/>
      <c r="F61" s="1938">
        <f>'Expenditures 15-22'!K170</f>
        <v>30000</v>
      </c>
      <c r="G61" s="866"/>
    </row>
    <row r="62" spans="1:7" x14ac:dyDescent="0.2">
      <c r="A62" s="870" t="s">
        <v>481</v>
      </c>
      <c r="B62" s="870" t="s">
        <v>1998</v>
      </c>
      <c r="C62" s="887">
        <f>'Expenditures 15-22'!B185</f>
        <v>3000</v>
      </c>
      <c r="D62" s="877" t="s">
        <v>469</v>
      </c>
      <c r="E62" s="869"/>
      <c r="F62" s="1938">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2000</v>
      </c>
      <c r="C64" s="897" t="str">
        <f>'Expenditures 15-22'!B206</f>
        <v>5300</v>
      </c>
      <c r="D64" s="893" t="s">
        <v>329</v>
      </c>
      <c r="E64" s="869"/>
      <c r="F64" s="1938">
        <f>'Expenditures 15-22'!K206</f>
        <v>0</v>
      </c>
      <c r="G64" s="866"/>
    </row>
    <row r="65" spans="1:8" x14ac:dyDescent="0.2">
      <c r="A65" s="870" t="s">
        <v>481</v>
      </c>
      <c r="B65" s="870" t="s">
        <v>2001</v>
      </c>
      <c r="C65" s="887" t="s">
        <v>1039</v>
      </c>
      <c r="D65" s="886" t="s">
        <v>1157</v>
      </c>
      <c r="E65" s="869"/>
      <c r="F65" s="1938">
        <f>'Expenditures 15-22'!G210</f>
        <v>0</v>
      </c>
      <c r="G65" s="866"/>
    </row>
    <row r="66" spans="1:8" x14ac:dyDescent="0.2">
      <c r="A66" s="870" t="s">
        <v>481</v>
      </c>
      <c r="B66" s="870" t="s">
        <v>2002</v>
      </c>
      <c r="C66" s="887" t="s">
        <v>1039</v>
      </c>
      <c r="D66" s="886" t="s">
        <v>309</v>
      </c>
      <c r="E66" s="869"/>
      <c r="F66" s="1938">
        <f>'Expenditures 15-22'!I210</f>
        <v>0</v>
      </c>
      <c r="G66" s="866"/>
    </row>
    <row r="67" spans="1:8" x14ac:dyDescent="0.2">
      <c r="A67" s="870" t="s">
        <v>482</v>
      </c>
      <c r="B67" s="870" t="s">
        <v>2003</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2005</v>
      </c>
      <c r="C70" s="887">
        <f>'Expenditures 15-22'!B221</f>
        <v>1300</v>
      </c>
      <c r="D70" s="888" t="str">
        <f>'Expenditures 15-22'!A221</f>
        <v>Adult/Continuing Education Programs</v>
      </c>
      <c r="E70" s="869"/>
      <c r="F70" s="1938">
        <f>'Expenditures 15-22'!K221</f>
        <v>0</v>
      </c>
      <c r="G70" s="866"/>
    </row>
    <row r="71" spans="1:8" x14ac:dyDescent="0.2">
      <c r="A71" s="870" t="s">
        <v>482</v>
      </c>
      <c r="B71" s="870" t="s">
        <v>2006</v>
      </c>
      <c r="C71" s="887">
        <f>'Expenditures 15-22'!B224</f>
        <v>1600</v>
      </c>
      <c r="D71" s="888" t="str">
        <f>'Expenditures 15-22'!A224</f>
        <v>Summer School Programs</v>
      </c>
      <c r="E71" s="869"/>
      <c r="F71" s="1938">
        <f>'Expenditures 15-22'!K224</f>
        <v>0</v>
      </c>
      <c r="G71" s="866"/>
    </row>
    <row r="72" spans="1:8" x14ac:dyDescent="0.2">
      <c r="A72" s="870" t="s">
        <v>482</v>
      </c>
      <c r="B72" s="870" t="s">
        <v>2007</v>
      </c>
      <c r="C72" s="887">
        <f>'Expenditures 15-22'!B280</f>
        <v>3000</v>
      </c>
      <c r="D72" s="877" t="s">
        <v>469</v>
      </c>
      <c r="E72" s="869"/>
      <c r="F72" s="1938">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8">
        <f>'Expenditures 15-22'!K285</f>
        <v>0</v>
      </c>
      <c r="G73" s="866"/>
    </row>
    <row r="74" spans="1:8" x14ac:dyDescent="0.2">
      <c r="A74" s="870" t="s">
        <v>456</v>
      </c>
      <c r="B74" s="870" t="s">
        <v>2009</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130430</v>
      </c>
      <c r="G76" s="866"/>
    </row>
    <row r="77" spans="1:8" s="894" customFormat="1" ht="12" customHeight="1" thickTop="1" thickBot="1" x14ac:dyDescent="0.25">
      <c r="A77" s="1801"/>
      <c r="B77" s="1798"/>
      <c r="C77" s="1794"/>
      <c r="D77" s="1799" t="s">
        <v>2011</v>
      </c>
      <c r="E77" s="1796"/>
      <c r="F77" s="1802">
        <f>(F14-F76)</f>
        <v>1189547</v>
      </c>
      <c r="G77" s="870"/>
    </row>
    <row r="78" spans="1:8" s="894" customFormat="1" ht="12" customHeight="1" thickTop="1" x14ac:dyDescent="0.2">
      <c r="A78" s="1803"/>
      <c r="B78" s="1798"/>
      <c r="C78" s="1794"/>
      <c r="D78" s="1799" t="s">
        <v>2057</v>
      </c>
      <c r="E78" s="1796"/>
      <c r="F78" s="899">
        <v>109.43</v>
      </c>
      <c r="G78" s="900"/>
      <c r="H78" s="870"/>
    </row>
    <row r="79" spans="1:8" s="894" customFormat="1" ht="12" customHeight="1" thickBot="1" x14ac:dyDescent="0.25">
      <c r="A79" s="1804"/>
      <c r="B79" s="1798"/>
      <c r="C79" s="1794"/>
      <c r="D79" s="1799" t="s">
        <v>2012</v>
      </c>
      <c r="E79" s="1796" t="s">
        <v>1015</v>
      </c>
      <c r="F79" s="1805">
        <f>IF(F78&gt;0,F77/F78," Complete Line 78")</f>
        <v>10870.39203143562</v>
      </c>
      <c r="G79" s="870"/>
    </row>
    <row r="80" spans="1:8" s="894" customFormat="1" ht="8.25" customHeight="1" thickTop="1" x14ac:dyDescent="0.2">
      <c r="A80" s="901"/>
      <c r="B80" s="870"/>
      <c r="C80" s="872"/>
      <c r="D80" s="902"/>
      <c r="E80" s="869"/>
      <c r="F80" s="903"/>
      <c r="G80" s="870"/>
    </row>
    <row r="81" spans="1:7" s="894" customFormat="1" ht="12" thickBot="1" x14ac:dyDescent="0.25">
      <c r="A81" s="2276" t="s">
        <v>1167</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23709</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14780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16077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412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57054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17827</v>
      </c>
      <c r="G128" s="931"/>
    </row>
    <row r="129" spans="1:7" x14ac:dyDescent="0.2">
      <c r="A129" s="928" t="s">
        <v>685</v>
      </c>
      <c r="B129" s="928" t="s">
        <v>803</v>
      </c>
      <c r="C129" s="933">
        <v>4200</v>
      </c>
      <c r="D129" s="930" t="str">
        <f>'Revenues 9-14'!A201</f>
        <v>Total Food Service</v>
      </c>
      <c r="E129" s="907"/>
      <c r="F129" s="1811">
        <f>SUM('Revenues 9-14'!C201,'Revenues 9-14'!G201)</f>
        <v>30240</v>
      </c>
      <c r="G129" s="931"/>
    </row>
    <row r="130" spans="1:7" x14ac:dyDescent="0.2">
      <c r="A130" s="928" t="s">
        <v>689</v>
      </c>
      <c r="B130" s="928" t="s">
        <v>804</v>
      </c>
      <c r="C130" s="933">
        <v>4300</v>
      </c>
      <c r="D130" s="934" t="str">
        <f>'Revenues 9-14'!A211</f>
        <v>Total Title I</v>
      </c>
      <c r="E130" s="907"/>
      <c r="F130" s="1811">
        <f>SUM('Revenues 9-14'!C211,'Revenues 9-14'!D211,'Revenues 9-14'!F211,'Revenues 9-14'!G211)</f>
        <v>6304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2000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1935</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10345</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3" t="s">
        <v>5</v>
      </c>
      <c r="B175" s="1944" t="s">
        <v>2056</v>
      </c>
      <c r="C175" s="1945">
        <v>3100</v>
      </c>
      <c r="D175" s="1946" t="s">
        <v>2059</v>
      </c>
      <c r="E175" s="907"/>
      <c r="F175" s="1930"/>
      <c r="G175" s="928"/>
    </row>
    <row r="176" spans="1:7" x14ac:dyDescent="0.2">
      <c r="A176" s="1943" t="s">
        <v>685</v>
      </c>
      <c r="B176" s="1944" t="s">
        <v>2056</v>
      </c>
      <c r="C176" s="1945">
        <v>3300</v>
      </c>
      <c r="D176" s="1946" t="s">
        <v>2060</v>
      </c>
      <c r="E176" s="907"/>
      <c r="F176" s="1930"/>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181433</v>
      </c>
    </row>
    <row r="179" spans="1:7" ht="12" customHeight="1" x14ac:dyDescent="0.2">
      <c r="A179" s="1792"/>
      <c r="B179" s="1806"/>
      <c r="C179" s="1807"/>
      <c r="D179" s="1808" t="s">
        <v>2014</v>
      </c>
      <c r="E179" s="1809"/>
      <c r="F179" s="1811">
        <f>'PCTC-OEPP 27-28'!F77-F178</f>
        <v>1008114</v>
      </c>
    </row>
    <row r="180" spans="1:7" ht="12" customHeight="1" x14ac:dyDescent="0.2">
      <c r="A180" s="1792"/>
      <c r="B180" s="1806"/>
      <c r="C180" s="1807"/>
      <c r="D180" s="1808" t="s">
        <v>1924</v>
      </c>
      <c r="E180" s="1809"/>
      <c r="F180" s="1811">
        <f>'Cap Outlay Deprec 26'!I18</f>
        <v>42221</v>
      </c>
    </row>
    <row r="181" spans="1:7" ht="12" customHeight="1" x14ac:dyDescent="0.2">
      <c r="A181" s="1792"/>
      <c r="B181" s="1806"/>
      <c r="C181" s="1807"/>
      <c r="D181" s="1808" t="s">
        <v>2015</v>
      </c>
      <c r="E181" s="1809"/>
      <c r="F181" s="1811">
        <f>F179+F180</f>
        <v>1050335</v>
      </c>
    </row>
    <row r="182" spans="1:7" ht="12" customHeight="1" x14ac:dyDescent="0.2">
      <c r="A182" s="1792"/>
      <c r="B182" s="1812"/>
      <c r="C182" s="1807"/>
      <c r="D182" s="1808" t="str">
        <f>D78</f>
        <v>9 Month ADA from District Average Daily Attendance/Prior General State Aid Inquiry 2017-2018</v>
      </c>
      <c r="E182" s="1809"/>
      <c r="F182" s="1813">
        <f>'PCTC-OEPP 27-28'!F78</f>
        <v>109.43</v>
      </c>
      <c r="G182" s="931"/>
    </row>
    <row r="183" spans="1:7" ht="12" customHeight="1" thickBot="1" x14ac:dyDescent="0.25">
      <c r="A183" s="1792"/>
      <c r="B183" s="1812"/>
      <c r="C183" s="1807"/>
      <c r="D183" s="1808" t="s">
        <v>2016</v>
      </c>
      <c r="E183" s="1809" t="s">
        <v>1626</v>
      </c>
      <c r="F183" s="1814">
        <f>F181/F182</f>
        <v>9598.2363154528011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7" customFormat="1" ht="12.2" customHeight="1" x14ac:dyDescent="0.2">
      <c r="A186" s="1947" t="s">
        <v>2063</v>
      </c>
      <c r="B186" s="1948"/>
      <c r="C186" s="1949"/>
      <c r="D186" s="1948"/>
      <c r="E186" s="1949"/>
      <c r="F186" s="1948"/>
      <c r="G186" s="1948"/>
    </row>
    <row r="187" spans="1:7" s="1947" customFormat="1" ht="12.2" customHeight="1" x14ac:dyDescent="0.2">
      <c r="A187" s="1950" t="s">
        <v>2064</v>
      </c>
      <c r="C187" s="1949"/>
      <c r="D187" s="1948"/>
      <c r="E187" s="1949"/>
      <c r="F187" s="1948"/>
      <c r="G187" s="1948"/>
    </row>
    <row r="188" spans="1:7" ht="12" customHeight="1" x14ac:dyDescent="0.2">
      <c r="C188" s="950"/>
      <c r="D188" s="931"/>
      <c r="E188" s="950"/>
      <c r="F188" s="931"/>
      <c r="G188" s="931"/>
    </row>
    <row r="189" spans="1:7" x14ac:dyDescent="0.2">
      <c r="A189" s="1951" t="s">
        <v>2062</v>
      </c>
      <c r="B189" s="1952"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21" sqref="D21"/>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0" t="s">
        <v>1925</v>
      </c>
      <c r="B4" s="2291"/>
      <c r="C4" s="2291"/>
      <c r="D4" s="2291"/>
      <c r="E4" s="2291"/>
      <c r="F4" s="2291"/>
      <c r="G4" s="2292"/>
    </row>
    <row r="5" spans="1:7" x14ac:dyDescent="0.25">
      <c r="A5" s="2293"/>
      <c r="B5" s="2294"/>
      <c r="C5" s="2294"/>
      <c r="D5" s="2294"/>
      <c r="E5" s="2294"/>
      <c r="F5" s="2294"/>
      <c r="G5" s="2295"/>
    </row>
    <row r="6" spans="1:7" ht="18.75" x14ac:dyDescent="0.25">
      <c r="A6" s="1556" t="s">
        <v>1926</v>
      </c>
      <c r="B6" s="1557"/>
      <c r="C6" s="1557"/>
      <c r="D6" s="1557"/>
      <c r="E6" s="1557"/>
      <c r="F6" s="1557"/>
      <c r="G6" s="1558"/>
    </row>
    <row r="7" spans="1:7" ht="30.75" customHeight="1" x14ac:dyDescent="0.25">
      <c r="A7" s="2296" t="s">
        <v>2073</v>
      </c>
      <c r="B7" s="2297"/>
      <c r="C7" s="2297"/>
      <c r="D7" s="2297"/>
      <c r="E7" s="2297"/>
      <c r="F7" s="2297"/>
      <c r="G7" s="2298"/>
    </row>
    <row r="8" spans="1:7" ht="15.75" customHeight="1" x14ac:dyDescent="0.25">
      <c r="A8" s="2299" t="s">
        <v>2022</v>
      </c>
      <c r="B8" s="2300"/>
      <c r="C8" s="2300"/>
      <c r="D8" s="2300"/>
      <c r="E8" s="2300"/>
      <c r="F8" s="2300"/>
      <c r="G8" s="2301"/>
    </row>
    <row r="9" spans="1:7" ht="35.25" customHeight="1" x14ac:dyDescent="0.25">
      <c r="A9" s="2296" t="s">
        <v>2076</v>
      </c>
      <c r="B9" s="2297"/>
      <c r="C9" s="2297"/>
      <c r="D9" s="2297"/>
      <c r="E9" s="2297"/>
      <c r="F9" s="2297"/>
      <c r="G9" s="2298"/>
    </row>
    <row r="10" spans="1:7" ht="15" customHeight="1" x14ac:dyDescent="0.25">
      <c r="A10" s="1559" t="s">
        <v>1927</v>
      </c>
      <c r="B10" s="1560"/>
      <c r="C10" s="1560"/>
      <c r="D10" s="1560"/>
      <c r="E10" s="1560"/>
      <c r="F10" s="1560"/>
      <c r="G10" s="1561"/>
    </row>
    <row r="11" spans="1:7" ht="17.25" customHeight="1" x14ac:dyDescent="0.25">
      <c r="A11" s="2296" t="s">
        <v>2075</v>
      </c>
      <c r="B11" s="2297"/>
      <c r="C11" s="2297"/>
      <c r="D11" s="2297"/>
      <c r="E11" s="2297"/>
      <c r="F11" s="2297"/>
      <c r="G11" s="2298"/>
    </row>
    <row r="12" spans="1:7" ht="15" customHeight="1" x14ac:dyDescent="0.25">
      <c r="A12" s="1559" t="s">
        <v>1932</v>
      </c>
      <c r="B12" s="1560"/>
      <c r="C12" s="1560"/>
      <c r="D12" s="1560"/>
      <c r="E12" s="1560"/>
      <c r="F12" s="1560"/>
      <c r="G12" s="1561"/>
    </row>
    <row r="13" spans="1:7" ht="32.25" customHeight="1" x14ac:dyDescent="0.25">
      <c r="A13" s="2287" t="s">
        <v>1933</v>
      </c>
      <c r="B13" s="2288"/>
      <c r="C13" s="2288"/>
      <c r="D13" s="2288"/>
      <c r="E13" s="2288"/>
      <c r="F13" s="2288"/>
      <c r="G13" s="2289"/>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9" t="s">
        <v>2107</v>
      </c>
      <c r="B17" s="1958" t="s">
        <v>2106</v>
      </c>
      <c r="C17" s="1960" t="s">
        <v>2108</v>
      </c>
      <c r="D17" s="1867">
        <v>3510</v>
      </c>
      <c r="E17" s="1562">
        <f t="shared" ref="E17:E141" si="1">IF(D17&lt;=25000,D17,IF(D17&gt;25000,25000,0))</f>
        <v>3510</v>
      </c>
      <c r="F17" s="1815">
        <f t="shared" si="0"/>
        <v>3510</v>
      </c>
      <c r="G17" s="1816">
        <f>IF(F17=0,0,D17-F17)</f>
        <v>0</v>
      </c>
      <c r="H17" s="1669"/>
    </row>
    <row r="18" spans="1:8" x14ac:dyDescent="0.25">
      <c r="A18" s="1959" t="s">
        <v>2107</v>
      </c>
      <c r="B18" s="1958" t="s">
        <v>2106</v>
      </c>
      <c r="C18" s="1960" t="s">
        <v>2109</v>
      </c>
      <c r="D18" s="1867">
        <v>1745</v>
      </c>
      <c r="E18" s="1562">
        <f t="shared" ref="E18:E140" si="2">IF(D18&lt;=25000,D18,IF(D18&gt;25000,25000,0))</f>
        <v>1745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1745</v>
      </c>
      <c r="G18" s="1816">
        <f t="shared" ref="G18:G140" si="4">IF(F18=0,0,D18-F18)</f>
        <v>0</v>
      </c>
    </row>
    <row r="19" spans="1:8" x14ac:dyDescent="0.25">
      <c r="A19" s="1959" t="s">
        <v>2107</v>
      </c>
      <c r="B19" s="1958" t="s">
        <v>2106</v>
      </c>
      <c r="C19" s="1960" t="s">
        <v>2103</v>
      </c>
      <c r="D19" s="1867">
        <v>756</v>
      </c>
      <c r="E19" s="1562">
        <f t="shared" si="2"/>
        <v>756</v>
      </c>
      <c r="F19" s="1815">
        <f t="shared" si="3"/>
        <v>756</v>
      </c>
      <c r="G19" s="1816">
        <f t="shared" si="4"/>
        <v>0</v>
      </c>
    </row>
    <row r="20" spans="1:8" x14ac:dyDescent="0.25">
      <c r="A20" s="1959" t="s">
        <v>2107</v>
      </c>
      <c r="B20" s="1958" t="s">
        <v>2106</v>
      </c>
      <c r="C20" s="1960" t="s">
        <v>2110</v>
      </c>
      <c r="D20" s="1867">
        <f>15544-6100-150</f>
        <v>9294</v>
      </c>
      <c r="E20" s="1562">
        <f t="shared" si="2"/>
        <v>9294</v>
      </c>
      <c r="F20" s="1815">
        <f t="shared" si="3"/>
        <v>9294</v>
      </c>
      <c r="G20" s="1816">
        <f t="shared" si="4"/>
        <v>0</v>
      </c>
    </row>
    <row r="21" spans="1:8" x14ac:dyDescent="0.25">
      <c r="A21" s="1957"/>
      <c r="B21" s="1955"/>
      <c r="C21" s="1956"/>
      <c r="D21" s="1867"/>
      <c r="E21" s="1562">
        <f t="shared" si="2"/>
        <v>0</v>
      </c>
      <c r="F21" s="1815">
        <f t="shared" si="3"/>
        <v>0</v>
      </c>
      <c r="G21" s="1816">
        <f t="shared" si="4"/>
        <v>0</v>
      </c>
    </row>
    <row r="22" spans="1:8" x14ac:dyDescent="0.25">
      <c r="A22" s="1957"/>
      <c r="B22" s="1955"/>
      <c r="C22" s="1956"/>
      <c r="D22" s="1867"/>
      <c r="E22" s="1562">
        <f t="shared" si="2"/>
        <v>0</v>
      </c>
      <c r="F22" s="1815">
        <f t="shared" si="3"/>
        <v>0</v>
      </c>
      <c r="G22" s="1816">
        <f t="shared" si="4"/>
        <v>0</v>
      </c>
    </row>
    <row r="23" spans="1:8" x14ac:dyDescent="0.25">
      <c r="A23" s="1957"/>
      <c r="B23" s="1955"/>
      <c r="C23" s="1956"/>
      <c r="D23" s="1867"/>
      <c r="E23" s="1562">
        <f t="shared" si="2"/>
        <v>0</v>
      </c>
      <c r="F23" s="1815">
        <f t="shared" si="3"/>
        <v>0</v>
      </c>
      <c r="G23" s="1816">
        <f t="shared" si="4"/>
        <v>0</v>
      </c>
    </row>
    <row r="24" spans="1:8" x14ac:dyDescent="0.25">
      <c r="A24" s="1957"/>
      <c r="B24" s="1955"/>
      <c r="C24" s="1956"/>
      <c r="D24" s="1867"/>
      <c r="E24" s="1562">
        <f t="shared" si="2"/>
        <v>0</v>
      </c>
      <c r="F24" s="1815">
        <f t="shared" si="3"/>
        <v>0</v>
      </c>
      <c r="G24" s="1816">
        <f t="shared" si="4"/>
        <v>0</v>
      </c>
    </row>
    <row r="25" spans="1:8" x14ac:dyDescent="0.25">
      <c r="A25" s="1957"/>
      <c r="B25" s="1955"/>
      <c r="C25" s="1956"/>
      <c r="D25" s="1867"/>
      <c r="E25" s="1562">
        <f t="shared" si="2"/>
        <v>0</v>
      </c>
      <c r="F25" s="1815">
        <f t="shared" si="3"/>
        <v>0</v>
      </c>
      <c r="G25" s="1816">
        <f t="shared" si="4"/>
        <v>0</v>
      </c>
    </row>
    <row r="26" spans="1:8" x14ac:dyDescent="0.25">
      <c r="A26" s="1957"/>
      <c r="B26" s="1955"/>
      <c r="C26" s="1956"/>
      <c r="D26" s="1867"/>
      <c r="E26" s="1562">
        <f t="shared" si="2"/>
        <v>0</v>
      </c>
      <c r="F26" s="1815">
        <f t="shared" si="3"/>
        <v>0</v>
      </c>
      <c r="G26" s="1816">
        <f t="shared" si="4"/>
        <v>0</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15305</v>
      </c>
      <c r="E141" s="1563">
        <f t="shared" si="1"/>
        <v>15305</v>
      </c>
      <c r="F141" s="1817">
        <f>SUM(F17:F140)</f>
        <v>15305</v>
      </c>
      <c r="G141" s="1818">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2" t="s">
        <v>1778</v>
      </c>
      <c r="B5" s="2303"/>
      <c r="C5" s="2303"/>
      <c r="D5" s="2303"/>
      <c r="E5" s="2303"/>
      <c r="F5" s="2303"/>
      <c r="G5" s="2304"/>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+'Revenues 9-14'!C201</f>
        <v>30240</v>
      </c>
      <c r="F10" s="975"/>
      <c r="G10" s="976"/>
      <c r="H10" s="162"/>
      <c r="I10" s="162"/>
    </row>
    <row r="11" spans="1:9" s="669" customFormat="1" ht="22.5" customHeight="1" x14ac:dyDescent="0.2">
      <c r="A11" s="2307" t="s">
        <v>1944</v>
      </c>
      <c r="B11" s="2308"/>
      <c r="C11" s="2308"/>
      <c r="D11" s="2309"/>
      <c r="E11" s="978">
        <v>5134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685690</v>
      </c>
      <c r="F19" s="1822"/>
      <c r="G19" s="1824">
        <f>'Expenditures 15-22'!K33-SUM('Expenditures 15-22'!G33,'Expenditures 15-22'!I33)+'Expenditures 15-22'!D229</f>
        <v>685690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10616</v>
      </c>
      <c r="F21" s="1825"/>
      <c r="G21" s="1828">
        <f>'Expenditures 15-22'!K42-SUM('Expenditures 15-22'!G42,'Expenditures 15-22'!I42)+'Expenditures 15-22'!K120-SUM('Expenditures 15-22'!G120,'Expenditures 15-22'!I120)+'Expenditures 15-22'!K180-SUM('Expenditures 15-22'!G180,'Expenditures 15-22'!I180)+'Expenditures 15-22'!D238</f>
        <v>10616</v>
      </c>
      <c r="H21" s="988"/>
      <c r="I21" s="162"/>
    </row>
    <row r="22" spans="1:9" s="669" customFormat="1" ht="12" customHeight="1" x14ac:dyDescent="0.2">
      <c r="A22" s="995" t="s">
        <v>585</v>
      </c>
      <c r="B22" s="996"/>
      <c r="C22" s="994">
        <v>2200</v>
      </c>
      <c r="D22" s="1825"/>
      <c r="E22" s="1827">
        <f>'Expenditures 15-22'!K47-SUM('Expenditures 15-22'!G47,'Expenditures 15-22'!I47)+'Expenditures 15-22'!D243</f>
        <v>15803</v>
      </c>
      <c r="F22" s="1825"/>
      <c r="G22" s="1828">
        <f>'Expenditures 15-22'!K47-SUM('Expenditures 15-22'!G47,'Expenditures 15-22'!I47)+'Expenditures 15-22'!D243</f>
        <v>15803</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117437</v>
      </c>
      <c r="F23" s="1825"/>
      <c r="G23" s="1827">
        <f>'Expenditures 15-22'!K53-SUM('Expenditures 15-22'!G53,'Expenditures 15-22'!I53)+'Expenditures 15-22'!D257+'Expenditures 15-22'!K330-SUM('Expenditures 15-22'!G330,'Expenditures 15-22'!I330)</f>
        <v>117437</v>
      </c>
      <c r="H23" s="988"/>
      <c r="I23" s="162"/>
    </row>
    <row r="24" spans="1:9" s="669" customFormat="1" ht="12" customHeight="1" x14ac:dyDescent="0.2">
      <c r="A24" s="995" t="s">
        <v>587</v>
      </c>
      <c r="B24" s="996"/>
      <c r="C24" s="994">
        <v>2400</v>
      </c>
      <c r="D24" s="1825"/>
      <c r="E24" s="1827">
        <f>'Expenditures 15-22'!K57-SUM('Expenditures 15-22'!G57,'Expenditures 15-22'!I57)+'Expenditures 15-22'!D261</f>
        <v>87366</v>
      </c>
      <c r="F24" s="1825"/>
      <c r="G24" s="1828">
        <f>'Expenditures 15-22'!K57-SUM('Expenditures 15-22'!G57,'Expenditures 15-22'!I57)+'Expenditures 15-22'!D261</f>
        <v>87366</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0</v>
      </c>
      <c r="E27" s="1827">
        <f>E8</f>
        <v>0</v>
      </c>
      <c r="F27" s="1827">
        <f>'Expenditures 15-22'!K60-SUM('Expenditures 15-22'!G60,'Expenditures 15-22'!I60)+'Expenditures 15-22'!D264-E8</f>
        <v>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108697</v>
      </c>
      <c r="F28" s="1829">
        <f>'Expenditures 15-22'!K61-SUM('Expenditures 15-22'!G61,'Expenditures 15-22'!I61)+'Expenditures 15-22'!K124-SUM('Expenditures 15-22'!G124,'Expenditures 15-22'!I124)+'Expenditures 15-22'!D266-E9</f>
        <v>108697</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72727</v>
      </c>
      <c r="F29" s="1825"/>
      <c r="G29" s="1828">
        <f>'Expenditures 15-22'!K62-SUM('Expenditures 15-22'!G62,'Expenditures 15-22'!I62)+'Expenditures 15-22'!K125-SUM('Expenditures 15-22'!G125,'Expenditures 15-22'!I125)+'Expenditures 15-22'!K182-SUM('Expenditures 15-22'!G182,'Expenditures 15-22'!I182)+'Expenditures 15-22'!D267</f>
        <v>72727</v>
      </c>
      <c r="H29" s="986"/>
    </row>
    <row r="30" spans="1:9" ht="12" customHeight="1" x14ac:dyDescent="0.2">
      <c r="A30" s="995" t="s">
        <v>102</v>
      </c>
      <c r="B30" s="998"/>
      <c r="C30" s="994">
        <v>2560</v>
      </c>
      <c r="D30" s="1825"/>
      <c r="E30" s="1827">
        <f>'Expenditures 15-22'!K63-SUM('Expenditures 15-22'!G63,'Expenditures 15-22'!I63)+'Expenditures 15-22'!D268-E10</f>
        <v>45184</v>
      </c>
      <c r="F30" s="1825"/>
      <c r="G30" s="1827">
        <f>'Expenditures 15-22'!K63-SUM('Expenditures 15-22'!G63,'Expenditures 15-22'!I63)+'Expenditures 15-22'!D268-E10</f>
        <v>45184</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0</v>
      </c>
      <c r="E41" s="1829">
        <f>SUM(E19:E40)</f>
        <v>1143520</v>
      </c>
      <c r="F41" s="1829">
        <f>SUM(F19:F39)</f>
        <v>108697</v>
      </c>
      <c r="G41" s="1829">
        <f>SUM(G19:G40)</f>
        <v>1034823</v>
      </c>
    </row>
    <row r="42" spans="1:7" x14ac:dyDescent="0.2">
      <c r="A42" s="988"/>
      <c r="B42" s="162"/>
      <c r="C42" s="1002"/>
      <c r="D42" s="2305" t="s">
        <v>543</v>
      </c>
      <c r="E42" s="2306"/>
      <c r="F42" s="1003" t="s">
        <v>544</v>
      </c>
      <c r="G42" s="1004"/>
    </row>
    <row r="43" spans="1:7" ht="12" customHeight="1" x14ac:dyDescent="0.2">
      <c r="A43" s="988"/>
      <c r="B43" s="162"/>
      <c r="C43" s="1002"/>
      <c r="D43" s="1830" t="s">
        <v>493</v>
      </c>
      <c r="E43" s="1831">
        <f>D41</f>
        <v>0</v>
      </c>
      <c r="F43" s="1830" t="s">
        <v>495</v>
      </c>
      <c r="G43" s="1831">
        <f>F41</f>
        <v>108697</v>
      </c>
    </row>
    <row r="44" spans="1:7" ht="12" customHeight="1" x14ac:dyDescent="0.2">
      <c r="A44" s="988"/>
      <c r="B44" s="162"/>
      <c r="C44" s="1002"/>
      <c r="D44" s="1830" t="s">
        <v>494</v>
      </c>
      <c r="E44" s="1831">
        <f>E41</f>
        <v>1143520</v>
      </c>
      <c r="F44" s="1830" t="s">
        <v>494</v>
      </c>
      <c r="G44" s="1831">
        <f>G41</f>
        <v>1034823</v>
      </c>
    </row>
    <row r="45" spans="1:7" ht="12" customHeight="1" x14ac:dyDescent="0.2">
      <c r="A45" s="988"/>
      <c r="B45" s="162"/>
      <c r="C45" s="162"/>
      <c r="D45" s="1832" t="s">
        <v>1063</v>
      </c>
      <c r="E45" s="1833">
        <f>(E43/E44)</f>
        <v>0</v>
      </c>
      <c r="F45" s="1832" t="s">
        <v>1063</v>
      </c>
      <c r="G45" s="1833">
        <f>(G43/G44)</f>
        <v>0.10503921926744961</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3" t="s">
        <v>1446</v>
      </c>
      <c r="B1" s="2313"/>
      <c r="C1" s="2313"/>
      <c r="D1" s="2313"/>
      <c r="E1" s="2313"/>
      <c r="F1" s="2313"/>
    </row>
    <row r="2" spans="1:10" x14ac:dyDescent="0.2">
      <c r="A2" s="1911" t="s">
        <v>2046</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14" t="s">
        <v>1627</v>
      </c>
      <c r="B5" s="2315"/>
      <c r="C5" s="2316"/>
      <c r="D5" s="2316"/>
      <c r="E5" s="2316"/>
      <c r="F5" s="2316"/>
    </row>
    <row r="6" spans="1:10" ht="12" customHeight="1" x14ac:dyDescent="0.25">
      <c r="A6" s="1874"/>
      <c r="B6" s="1875"/>
      <c r="C6" s="2317" t="str">
        <f>COVER!A17</f>
        <v>Cornell CCSD 426</v>
      </c>
      <c r="D6" s="2317"/>
      <c r="E6" s="2317"/>
      <c r="F6" s="1876"/>
    </row>
    <row r="7" spans="1:10" ht="11.25" customHeight="1" thickBot="1" x14ac:dyDescent="0.3">
      <c r="A7" s="1874"/>
      <c r="B7" s="1875"/>
      <c r="C7" s="2318">
        <f>COVER!A13</f>
        <v>17053426004</v>
      </c>
      <c r="D7" s="2318"/>
      <c r="E7" s="2318"/>
      <c r="F7" s="1876"/>
    </row>
    <row r="8" spans="1:10" ht="25.5" customHeight="1" thickBot="1" x14ac:dyDescent="0.25">
      <c r="A8" s="1917" t="s">
        <v>2023</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t="s">
        <v>2077</v>
      </c>
      <c r="D23" s="1889" t="s">
        <v>2077</v>
      </c>
      <c r="E23" s="1892"/>
      <c r="F23" s="1891" t="s">
        <v>2095</v>
      </c>
      <c r="H23" s="1902">
        <f t="shared" si="0"/>
        <v>5</v>
      </c>
      <c r="I23" s="1902">
        <f t="shared" si="1"/>
        <v>5</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t="s">
        <v>2077</v>
      </c>
      <c r="D25" s="1889" t="s">
        <v>2077</v>
      </c>
      <c r="E25" s="1892"/>
      <c r="F25" s="1891" t="s">
        <v>2096</v>
      </c>
      <c r="H25" s="1902">
        <f t="shared" si="0"/>
        <v>5</v>
      </c>
      <c r="I25" s="1902">
        <f t="shared" si="1"/>
        <v>5</v>
      </c>
      <c r="J25" s="1902">
        <f t="shared" si="2"/>
        <v>0</v>
      </c>
    </row>
    <row r="26" spans="1:12" ht="12" customHeight="1" x14ac:dyDescent="0.2">
      <c r="A26" s="1887" t="s">
        <v>1615</v>
      </c>
      <c r="B26" s="1888"/>
      <c r="C26" s="1889" t="s">
        <v>2077</v>
      </c>
      <c r="D26" s="1889" t="s">
        <v>2077</v>
      </c>
      <c r="E26" s="1892"/>
      <c r="F26" s="1891" t="s">
        <v>2097</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2077</v>
      </c>
      <c r="D30" s="1889" t="s">
        <v>2077</v>
      </c>
      <c r="E30" s="1892"/>
      <c r="F30" s="1891" t="s">
        <v>2098</v>
      </c>
      <c r="H30" s="1902">
        <f t="shared" si="0"/>
        <v>5</v>
      </c>
      <c r="I30" s="1902">
        <f t="shared" si="1"/>
        <v>5</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20</v>
      </c>
      <c r="I34" s="1902">
        <f>SUM(I11:I32)</f>
        <v>20</v>
      </c>
      <c r="J34" s="1902">
        <f>SUM(J11:J32)</f>
        <v>0</v>
      </c>
      <c r="K34" s="1902">
        <f>SUM(H34:J34)</f>
        <v>40</v>
      </c>
    </row>
    <row r="35" spans="1:11" ht="12" customHeight="1" x14ac:dyDescent="0.2">
      <c r="A35" s="1895" t="s">
        <v>1459</v>
      </c>
      <c r="B35" s="1896"/>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7"/>
      <c r="B39" s="1897"/>
      <c r="C39" s="1897"/>
      <c r="D39" s="1897"/>
      <c r="E39" s="1897"/>
      <c r="F39" s="1897"/>
    </row>
    <row r="40" spans="1:11" s="1894" customFormat="1" ht="12" customHeight="1" x14ac:dyDescent="0.25">
      <c r="A40" s="1898" t="s">
        <v>1458</v>
      </c>
      <c r="B40" s="1899"/>
      <c r="C40" s="2327"/>
      <c r="D40" s="2327"/>
      <c r="E40" s="2327"/>
      <c r="F40" s="2328"/>
      <c r="H40" s="1903"/>
      <c r="I40" s="1903"/>
      <c r="J40" s="1903"/>
      <c r="K40" s="1903"/>
    </row>
    <row r="41" spans="1:11" s="1894" customFormat="1" ht="12" customHeight="1" x14ac:dyDescent="0.25">
      <c r="A41" s="2329"/>
      <c r="B41" s="2330"/>
      <c r="C41" s="2330"/>
      <c r="D41" s="2330"/>
      <c r="E41" s="2330"/>
      <c r="F41" s="2331"/>
      <c r="H41" s="1903"/>
      <c r="I41" s="1903"/>
      <c r="J41" s="1903"/>
      <c r="K41" s="1903"/>
    </row>
    <row r="42" spans="1:11" s="1894" customFormat="1" ht="12" customHeight="1" x14ac:dyDescent="0.25">
      <c r="A42" s="2329"/>
      <c r="B42" s="2330"/>
      <c r="C42" s="2330"/>
      <c r="D42" s="2330"/>
      <c r="E42" s="2330"/>
      <c r="F42" s="2331"/>
      <c r="H42" s="1903"/>
      <c r="I42" s="1903"/>
      <c r="J42" s="1903"/>
      <c r="K42" s="1903"/>
    </row>
    <row r="43" spans="1:11" s="1894" customFormat="1" ht="15" x14ac:dyDescent="0.25">
      <c r="A43" s="2321"/>
      <c r="B43" s="2322"/>
      <c r="C43" s="2322"/>
      <c r="D43" s="2322"/>
      <c r="E43" s="2322"/>
      <c r="F43" s="2323"/>
      <c r="H43" s="1903"/>
      <c r="I43" s="1903"/>
      <c r="J43" s="1903"/>
      <c r="K43" s="1903"/>
    </row>
    <row r="44" spans="1:11" s="1894" customFormat="1" ht="12" hidden="1" customHeight="1" x14ac:dyDescent="0.25">
      <c r="A44" s="2321"/>
      <c r="B44" s="2322"/>
      <c r="C44" s="2322"/>
      <c r="D44" s="2322"/>
      <c r="E44" s="2322"/>
      <c r="F44" s="2323"/>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4"/>
      <c r="C6" s="1664"/>
      <c r="D6" s="1664"/>
      <c r="E6" s="1665"/>
      <c r="F6" s="1016"/>
      <c r="G6" s="1010"/>
      <c r="H6" s="1017" t="s">
        <v>1086</v>
      </c>
      <c r="I6" s="2337" t="str">
        <f>COVER!A17</f>
        <v>Cornell CCSD 426</v>
      </c>
      <c r="J6" s="2338"/>
      <c r="Q6" s="1686"/>
    </row>
    <row r="7" spans="1:17" x14ac:dyDescent="0.2">
      <c r="A7" s="2339" t="s">
        <v>924</v>
      </c>
      <c r="B7" s="2340"/>
      <c r="C7" s="2340"/>
      <c r="D7" s="2340"/>
      <c r="E7" s="2341"/>
      <c r="F7" s="1018"/>
      <c r="G7" s="1010"/>
      <c r="H7" s="1017" t="s">
        <v>390</v>
      </c>
      <c r="I7" s="2342">
        <f>COVER!A13</f>
        <v>17053426004</v>
      </c>
      <c r="J7" s="2342"/>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3" t="s">
        <v>502</v>
      </c>
      <c r="B11" s="2344"/>
      <c r="C11" s="234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75197</v>
      </c>
      <c r="F12" s="1040"/>
      <c r="G12" s="1834">
        <f t="shared" ref="G12:G18" si="0">SUM(E12:F12)</f>
        <v>75197</v>
      </c>
      <c r="H12" s="1041">
        <v>79832</v>
      </c>
      <c r="I12" s="1040"/>
      <c r="J12" s="1834">
        <f t="shared" ref="J12:J18" si="1">SUM(H12:I12)</f>
        <v>79832</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6" t="s">
        <v>7</v>
      </c>
      <c r="C18" s="2347"/>
      <c r="D18" s="2348"/>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75197</v>
      </c>
      <c r="F19" s="1836">
        <f t="shared" si="2"/>
        <v>0</v>
      </c>
      <c r="G19" s="1836">
        <f t="shared" si="2"/>
        <v>75197</v>
      </c>
      <c r="H19" s="1836">
        <f t="shared" si="2"/>
        <v>79832</v>
      </c>
      <c r="I19" s="1836">
        <f t="shared" si="2"/>
        <v>0</v>
      </c>
      <c r="J19" s="1836">
        <f t="shared" si="2"/>
        <v>79832</v>
      </c>
    </row>
    <row r="20" spans="1:10" ht="13.5" thickTop="1" x14ac:dyDescent="0.2">
      <c r="A20" s="1036">
        <v>9</v>
      </c>
      <c r="B20" s="2349" t="s">
        <v>1703</v>
      </c>
      <c r="C20" s="2349"/>
      <c r="D20" s="2350"/>
      <c r="E20" s="1047"/>
      <c r="F20" s="1047"/>
      <c r="G20" s="1047"/>
      <c r="H20" s="1047"/>
      <c r="I20" s="1047"/>
      <c r="J20" s="1837">
        <f>IF(AND(G19&gt;0,J19&gt;0),(((J19-G19)/G19)),"Enter Budget Data")</f>
        <v>6.1638097264518528E-2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1093</v>
      </c>
      <c r="D27" s="1053"/>
      <c r="E27" s="1054"/>
      <c r="F27" s="2351" t="s">
        <v>1589</v>
      </c>
      <c r="G27" s="2351"/>
    </row>
    <row r="28" spans="1:10" ht="28.5" customHeight="1" x14ac:dyDescent="0.2">
      <c r="B28" s="1048"/>
      <c r="C28" s="2353"/>
      <c r="D28" s="2353"/>
      <c r="E28" s="1055"/>
      <c r="F28" s="2353"/>
      <c r="G28" s="2353"/>
    </row>
    <row r="29" spans="1:10" x14ac:dyDescent="0.2">
      <c r="B29" s="1048"/>
      <c r="C29" s="1056" t="s">
        <v>1642</v>
      </c>
      <c r="E29" s="1057"/>
      <c r="F29" s="2352" t="s">
        <v>1590</v>
      </c>
      <c r="G29" s="235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1943</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937</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2099</v>
      </c>
    </row>
    <row r="6" spans="1:2" x14ac:dyDescent="0.2">
      <c r="A6" s="1069">
        <v>2</v>
      </c>
      <c r="B6" s="329" t="s">
        <v>2100</v>
      </c>
    </row>
    <row r="7" spans="1:2" x14ac:dyDescent="0.2">
      <c r="A7" s="1069">
        <v>3</v>
      </c>
      <c r="B7" s="329" t="s">
        <v>2101</v>
      </c>
    </row>
    <row r="8" spans="1:2" x14ac:dyDescent="0.2">
      <c r="A8" s="1069">
        <v>4</v>
      </c>
      <c r="B8" s="329" t="s">
        <v>2112</v>
      </c>
    </row>
    <row r="9" spans="1:2" x14ac:dyDescent="0.2">
      <c r="A9" s="1069">
        <v>5</v>
      </c>
      <c r="B9" s="329" t="s">
        <v>2111</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Cornell CCSD 426</v>
      </c>
    </row>
    <row r="65" spans="2:2" x14ac:dyDescent="0.2">
      <c r="B65" s="1071">
        <f>COVER!A13</f>
        <v>17053426004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31" sqref="C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13" sqref="A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6" t="s">
        <v>1784</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11" dvAspect="DVASPECT_ICON" shapeId="50177" r:id="rId4">
          <objectPr defaultSize="0" r:id="rId5">
            <anchor moveWithCells="1">
              <from>
                <xdr:col>0</xdr:col>
                <xdr:colOff>0</xdr:colOff>
                <xdr:row>4</xdr:row>
                <xdr:rowOff>0</xdr:rowOff>
              </from>
              <to>
                <xdr:col>1</xdr:col>
                <xdr:colOff>790575</xdr:colOff>
                <xdr:row>8</xdr:row>
                <xdr:rowOff>38100</xdr:rowOff>
              </to>
            </anchor>
          </objectPr>
        </oleObject>
      </mc:Choice>
      <mc:Fallback>
        <oleObject progId="AcroExch.Document.11" dvAspect="DVASPECT_ICON" shapeId="50177" r:id="rId4"/>
      </mc:Fallback>
    </mc:AlternateContent>
    <mc:AlternateContent xmlns:mc="http://schemas.openxmlformats.org/markup-compatibility/2006">
      <mc:Choice Requires="x14">
        <oleObject progId="AcroExch.Document.11" dvAspect="DVASPECT_ICON" shapeId="50178" r:id="rId6">
          <objectPr defaultSize="0" r:id="rId5">
            <anchor moveWithCells="1">
              <from>
                <xdr:col>0</xdr:col>
                <xdr:colOff>0</xdr:colOff>
                <xdr:row>8</xdr:row>
                <xdr:rowOff>0</xdr:rowOff>
              </from>
              <to>
                <xdr:col>1</xdr:col>
                <xdr:colOff>790575</xdr:colOff>
                <xdr:row>12</xdr:row>
                <xdr:rowOff>38100</xdr:rowOff>
              </to>
            </anchor>
          </objectPr>
        </oleObject>
      </mc:Choice>
      <mc:Fallback>
        <oleObject progId="AcroExch.Document.11" dvAspect="DVASPECT_ICON" shapeId="50178" r:id="rId6"/>
      </mc:Fallback>
    </mc:AlternateContent>
    <mc:AlternateContent xmlns:mc="http://schemas.openxmlformats.org/markup-compatibility/2006">
      <mc:Choice Requires="x14">
        <oleObject progId="AcroExch.Document.11" dvAspect="DVASPECT_ICON" shapeId="50179" r:id="rId7">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Exch.Document.11" dvAspect="DVASPECT_ICON" shapeId="50179" r:id="rId7"/>
      </mc:Fallback>
    </mc:AlternateContent>
    <mc:AlternateContent xmlns:mc="http://schemas.openxmlformats.org/markup-compatibility/2006">
      <mc:Choice Requires="x14">
        <oleObject progId="AcroExch.Document.11" dvAspect="DVASPECT_ICON" shapeId="50180" r:id="rId8">
          <objectPr defaultSize="0" r:id="rId9">
            <anchor moveWithCells="1">
              <from>
                <xdr:col>0</xdr:col>
                <xdr:colOff>0</xdr:colOff>
                <xdr:row>12</xdr:row>
                <xdr:rowOff>0</xdr:rowOff>
              </from>
              <to>
                <xdr:col>1</xdr:col>
                <xdr:colOff>790575</xdr:colOff>
                <xdr:row>15</xdr:row>
                <xdr:rowOff>200025</xdr:rowOff>
              </to>
            </anchor>
          </objectPr>
        </oleObject>
      </mc:Choice>
      <mc:Fallback>
        <oleObject progId="AcroExch.Document.11"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1790</v>
      </c>
      <c r="B1" s="2358"/>
      <c r="C1" s="2358"/>
      <c r="D1" s="2358"/>
      <c r="E1" s="2358"/>
      <c r="F1" s="2359"/>
    </row>
    <row r="2" spans="1:8" ht="45" customHeight="1" x14ac:dyDescent="0.2">
      <c r="A2" s="2367" t="s">
        <v>1791</v>
      </c>
      <c r="B2" s="2368"/>
      <c r="C2" s="2368"/>
      <c r="D2" s="2368"/>
      <c r="E2" s="2368"/>
      <c r="F2" s="2369"/>
      <c r="G2" s="1075"/>
      <c r="H2" s="1075"/>
    </row>
    <row r="3" spans="1:8" ht="57" customHeight="1" x14ac:dyDescent="0.2">
      <c r="A3" s="2370" t="s">
        <v>1786</v>
      </c>
      <c r="B3" s="2371"/>
      <c r="C3" s="2371"/>
      <c r="D3" s="2371"/>
      <c r="E3" s="2371"/>
      <c r="F3" s="2372"/>
      <c r="G3" s="1075"/>
      <c r="H3" s="1075"/>
    </row>
    <row r="4" spans="1:8" ht="14.25" customHeight="1" x14ac:dyDescent="0.2">
      <c r="A4" s="2376" t="s">
        <v>2054</v>
      </c>
      <c r="B4" s="2377"/>
      <c r="C4" s="2377"/>
      <c r="D4" s="2377"/>
      <c r="E4" s="2377"/>
      <c r="F4" s="2378"/>
      <c r="G4" s="1075"/>
      <c r="H4" s="1075"/>
    </row>
    <row r="5" spans="1:8" ht="14.25" customHeight="1" x14ac:dyDescent="0.2">
      <c r="A5" s="2379" t="s">
        <v>2055</v>
      </c>
      <c r="B5" s="2380"/>
      <c r="C5" s="2380"/>
      <c r="D5" s="2380"/>
      <c r="E5" s="2380"/>
      <c r="F5" s="2381"/>
      <c r="G5" s="1075"/>
      <c r="H5" s="1075"/>
    </row>
    <row r="6" spans="1:8" s="1076" customFormat="1" ht="41.25" customHeight="1" x14ac:dyDescent="0.2">
      <c r="A6" s="2373" t="s">
        <v>1792</v>
      </c>
      <c r="B6" s="2374"/>
      <c r="C6" s="2374"/>
      <c r="D6" s="2374"/>
      <c r="E6" s="2374"/>
      <c r="F6" s="237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1074895</v>
      </c>
      <c r="C8" s="1838">
        <f>'Acct Summary 7-8'!D8</f>
        <v>106422</v>
      </c>
      <c r="D8" s="1838">
        <f>'Acct Summary 7-8'!F8</f>
        <v>134249</v>
      </c>
      <c r="E8" s="1838">
        <f>'Acct Summary 7-8'!I8</f>
        <v>3068</v>
      </c>
      <c r="F8" s="1838">
        <f>SUM(B8:E8)</f>
        <v>1318634</v>
      </c>
    </row>
    <row r="9" spans="1:8" s="1080" customFormat="1" ht="14.25" customHeight="1" thickBot="1" x14ac:dyDescent="0.25">
      <c r="A9" s="1079" t="s">
        <v>1436</v>
      </c>
      <c r="B9" s="1839">
        <f>'Acct Summary 7-8'!C17</f>
        <v>975686</v>
      </c>
      <c r="C9" s="1839">
        <f>'Acct Summary 7-8'!D17</f>
        <v>162866</v>
      </c>
      <c r="D9" s="1839">
        <f>'Acct Summary 7-8'!F17</f>
        <v>72727</v>
      </c>
      <c r="E9" s="1838"/>
      <c r="F9" s="1838">
        <f>SUM(B9:E9)</f>
        <v>1211279</v>
      </c>
    </row>
    <row r="10" spans="1:8" s="1080" customFormat="1" ht="14.25" thickTop="1" thickBot="1" x14ac:dyDescent="0.25">
      <c r="A10" s="1081" t="s">
        <v>1437</v>
      </c>
      <c r="B10" s="1840">
        <f>(B8-B9)</f>
        <v>99209</v>
      </c>
      <c r="C10" s="1840">
        <f>(C8-C9)</f>
        <v>-56444</v>
      </c>
      <c r="D10" s="1840">
        <f>(D8-D9)</f>
        <v>61522</v>
      </c>
      <c r="E10" s="1839">
        <f>(E8-E9)</f>
        <v>3068</v>
      </c>
      <c r="F10" s="1841">
        <f>SUM(F8-F9)</f>
        <v>107355</v>
      </c>
    </row>
    <row r="11" spans="1:8" s="1080" customFormat="1" ht="14.25" thickTop="1" thickBot="1" x14ac:dyDescent="0.25">
      <c r="A11" s="1082" t="s">
        <v>1785</v>
      </c>
      <c r="B11" s="1842">
        <f>'Acct Summary 7-8'!C81</f>
        <v>751611</v>
      </c>
      <c r="C11" s="1842">
        <f>'Acct Summary 7-8'!D81</f>
        <v>15635</v>
      </c>
      <c r="D11" s="1842">
        <f>'Acct Summary 7-8'!F81</f>
        <v>121718</v>
      </c>
      <c r="E11" s="1842">
        <f>'Acct Summary 7-8'!I81</f>
        <v>0</v>
      </c>
      <c r="F11" s="1843">
        <f>SUM(B11:E11)</f>
        <v>888964</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1787</v>
      </c>
      <c r="B16" s="2360"/>
      <c r="C16" s="2360"/>
      <c r="D16" s="2360"/>
      <c r="E16" s="236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2" t="s">
        <v>686</v>
      </c>
      <c r="B3" s="2383"/>
      <c r="C3" s="2383"/>
      <c r="D3" s="2384"/>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3" t="s">
        <v>1584</v>
      </c>
      <c r="D7" s="2394"/>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5" t="s">
        <v>1065</v>
      </c>
      <c r="B15" s="2386"/>
      <c r="C15" s="2386"/>
      <c r="D15" s="2387"/>
    </row>
    <row r="16" spans="1:4" s="669" customFormat="1" ht="24" customHeight="1" x14ac:dyDescent="0.2">
      <c r="A16" s="2388" t="s">
        <v>684</v>
      </c>
      <c r="B16" s="2389"/>
      <c r="C16" s="2389"/>
      <c r="D16" s="239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7" t="s">
        <v>332</v>
      </c>
      <c r="D21" s="2398"/>
    </row>
    <row r="22" spans="1:10" ht="12.75" x14ac:dyDescent="0.2">
      <c r="A22" s="1140"/>
      <c r="B22" s="1141">
        <v>2</v>
      </c>
      <c r="C22" s="2395" t="s">
        <v>1605</v>
      </c>
      <c r="D22" s="239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9" t="s">
        <v>557</v>
      </c>
      <c r="D43" s="240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1" t="s">
        <v>817</v>
      </c>
      <c r="D56" s="239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1" t="s">
        <v>1797</v>
      </c>
      <c r="D70" s="239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17053426004</v>
      </c>
    </row>
    <row r="3" spans="1:2" x14ac:dyDescent="0.2">
      <c r="A3" t="s">
        <v>1013</v>
      </c>
      <c r="B3" s="138" t="str">
        <f>COVER!A15</f>
        <v>LIVINGSTON</v>
      </c>
    </row>
    <row r="4" spans="1:2" x14ac:dyDescent="0.2">
      <c r="A4" t="s">
        <v>1064</v>
      </c>
      <c r="B4" s="138" t="str">
        <f>COVER!A17</f>
        <v>Cornell CCSD 426</v>
      </c>
    </row>
    <row r="5" spans="1:2" x14ac:dyDescent="0.2">
      <c r="A5" t="s">
        <v>728</v>
      </c>
      <c r="B5" s="138" t="str">
        <f>COVER!A38</f>
        <v>GEOFF SCHOONOVER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066-005100</v>
      </c>
    </row>
    <row r="16" spans="1:2" x14ac:dyDescent="0.2">
      <c r="A16" t="s">
        <v>442</v>
      </c>
      <c r="B16" s="138" t="str">
        <f>COVER!T13</f>
        <v>MACK &amp; ASSOCIATES, P.C.</v>
      </c>
    </row>
    <row r="17" spans="1:2" x14ac:dyDescent="0.2">
      <c r="A17" t="s">
        <v>939</v>
      </c>
      <c r="B17" s="138" t="str">
        <f>COVER!T15</f>
        <v>TAWNYA MACK, CPA</v>
      </c>
    </row>
    <row r="18" spans="1:2" x14ac:dyDescent="0.2">
      <c r="A18" t="s">
        <v>1212</v>
      </c>
      <c r="B18" s="138" t="str">
        <f>COVER!T17</f>
        <v>116 E. WASHINGTON ST., SUITE ONE</v>
      </c>
    </row>
    <row r="19" spans="1:2" x14ac:dyDescent="0.2">
      <c r="A19" t="s">
        <v>941</v>
      </c>
      <c r="B19" s="138" t="str">
        <f>COVER!T25</f>
        <v>tmack@mackcpas.com</v>
      </c>
    </row>
    <row r="20" spans="1:2" x14ac:dyDescent="0.2">
      <c r="A20" t="s">
        <v>942</v>
      </c>
      <c r="B20" s="138" t="str">
        <f>COVER!T19</f>
        <v>MORRIS</v>
      </c>
    </row>
    <row r="21" spans="1:2" x14ac:dyDescent="0.2">
      <c r="A21" t="s">
        <v>500</v>
      </c>
      <c r="B21" s="138" t="str">
        <f>COVER!X19</f>
        <v>IL</v>
      </c>
    </row>
    <row r="22" spans="1:2" x14ac:dyDescent="0.2">
      <c r="A22" t="s">
        <v>943</v>
      </c>
      <c r="B22" s="138">
        <f>COVER!Z19</f>
        <v>60450</v>
      </c>
    </row>
    <row r="23" spans="1:2" x14ac:dyDescent="0.2">
      <c r="A23" t="s">
        <v>1214</v>
      </c>
      <c r="B23" s="138" t="str">
        <f>COVER!T21</f>
        <v>815-942-3306</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36251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751611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697717</v>
      </c>
      <c r="D92" s="2" t="str">
        <f t="shared" si="0"/>
        <v>Error?</v>
      </c>
    </row>
    <row r="93" spans="1:4" x14ac:dyDescent="0.2">
      <c r="A93" s="5">
        <v>32</v>
      </c>
      <c r="B93" s="138">
        <f>'Assets-Liab 5-6'!C41</f>
        <v>751611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15635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15635</v>
      </c>
      <c r="D123" s="2" t="str">
        <f t="shared" si="0"/>
        <v>Error?</v>
      </c>
    </row>
    <row r="124" spans="1:4" x14ac:dyDescent="0.2">
      <c r="A124" s="5">
        <v>63</v>
      </c>
      <c r="B124" s="138">
        <f>'Assets-Liab 5-6'!D41</f>
        <v>15635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11306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11306</v>
      </c>
      <c r="D140" s="2" t="str">
        <f t="shared" si="1"/>
        <v>Error?</v>
      </c>
    </row>
    <row r="141" spans="1:4" x14ac:dyDescent="0.2">
      <c r="A141" s="5">
        <v>80</v>
      </c>
      <c r="B141" s="138">
        <f>'Assets-Liab 5-6'!E41</f>
        <v>11306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121718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121718</v>
      </c>
      <c r="D170" s="2" t="str">
        <f t="shared" si="1"/>
        <v>Error?</v>
      </c>
    </row>
    <row r="171" spans="1:4" x14ac:dyDescent="0.2">
      <c r="A171" s="5">
        <v>110</v>
      </c>
      <c r="B171" s="138">
        <f>'Assets-Liab 5-6'!F41</f>
        <v>121718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35630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13024</v>
      </c>
      <c r="D189" s="2" t="str">
        <f t="shared" si="1"/>
        <v>Error?</v>
      </c>
    </row>
    <row r="190" spans="1:4" x14ac:dyDescent="0.2">
      <c r="A190" s="5">
        <v>129</v>
      </c>
      <c r="B190" s="138">
        <f>'Assets-Liab 5-6'!G41</f>
        <v>35630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14584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14584</v>
      </c>
      <c r="D212" s="2" t="str">
        <f t="shared" si="2"/>
        <v>Error?</v>
      </c>
    </row>
    <row r="213" spans="1:4" x14ac:dyDescent="0.2">
      <c r="A213" s="12">
        <v>152</v>
      </c>
      <c r="B213" s="138">
        <f>'Assets-Liab 5-6'!H41</f>
        <v>14584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8000</v>
      </c>
      <c r="D273" s="2" t="str">
        <f t="shared" si="3"/>
        <v>Error?</v>
      </c>
    </row>
    <row r="274" spans="1:4" x14ac:dyDescent="0.2">
      <c r="A274" s="5">
        <v>213</v>
      </c>
      <c r="B274" s="138">
        <f>'Assets-Liab 5-6'!M17</f>
        <v>738666</v>
      </c>
      <c r="D274" s="2" t="str">
        <f t="shared" si="3"/>
        <v>Error?</v>
      </c>
    </row>
    <row r="275" spans="1:4" x14ac:dyDescent="0.2">
      <c r="A275" s="5">
        <v>214</v>
      </c>
      <c r="B275" s="138">
        <f>'Assets-Liab 5-6'!M18</f>
        <v>0</v>
      </c>
      <c r="D275" s="2" t="str">
        <f t="shared" si="3"/>
        <v>Error?</v>
      </c>
    </row>
    <row r="276" spans="1:4" x14ac:dyDescent="0.2">
      <c r="A276" s="5">
        <v>215</v>
      </c>
      <c r="B276" s="138">
        <f>'Assets-Liab 5-6'!M19</f>
        <v>31452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778118</v>
      </c>
      <c r="C279" s="2" t="s">
        <v>594</v>
      </c>
      <c r="D279" s="2" t="str">
        <f t="shared" si="3"/>
        <v>Error?</v>
      </c>
    </row>
    <row r="280" spans="1:4" x14ac:dyDescent="0.2">
      <c r="A280" s="5">
        <v>219</v>
      </c>
      <c r="B280" s="138">
        <f>'Assets-Liab 5-6'!M40</f>
        <v>778118</v>
      </c>
      <c r="D280" s="2" t="str">
        <f t="shared" si="3"/>
        <v>Error?</v>
      </c>
    </row>
    <row r="281" spans="1:4" x14ac:dyDescent="0.2">
      <c r="A281" s="5">
        <v>220</v>
      </c>
      <c r="B281" s="138">
        <f>'Assets-Liab 5-6'!M41</f>
        <v>778118</v>
      </c>
      <c r="C281" s="2" t="s">
        <v>594</v>
      </c>
      <c r="D281" s="2" t="str">
        <f t="shared" si="3"/>
        <v>Error?</v>
      </c>
    </row>
    <row r="282" spans="1:4" x14ac:dyDescent="0.2">
      <c r="A282" s="5">
        <v>221</v>
      </c>
      <c r="B282" s="138">
        <f>'Assets-Liab 5-6'!N21</f>
        <v>11306</v>
      </c>
      <c r="D282" s="2" t="str">
        <f t="shared" si="3"/>
        <v>Error?</v>
      </c>
    </row>
    <row r="283" spans="1:4" x14ac:dyDescent="0.2">
      <c r="A283" s="5">
        <v>222</v>
      </c>
      <c r="B283" s="138">
        <f>'Assets-Liab 5-6'!N22</f>
        <v>278694</v>
      </c>
      <c r="D283" s="2" t="str">
        <f t="shared" si="3"/>
        <v>Error?</v>
      </c>
    </row>
    <row r="284" spans="1:4" x14ac:dyDescent="0.2">
      <c r="A284" s="5">
        <v>223</v>
      </c>
      <c r="B284" s="138">
        <f>'Assets-Liab 5-6'!N23</f>
        <v>290000</v>
      </c>
      <c r="C284" s="2" t="s">
        <v>594</v>
      </c>
      <c r="D284" s="2" t="str">
        <f t="shared" si="3"/>
        <v>Error?</v>
      </c>
    </row>
    <row r="285" spans="1:4" x14ac:dyDescent="0.2">
      <c r="A285" s="5">
        <v>224</v>
      </c>
      <c r="B285" s="138">
        <f>'Assets-Liab 5-6'!N36</f>
        <v>290000</v>
      </c>
      <c r="D285" s="2" t="str">
        <f t="shared" si="3"/>
        <v>Error?</v>
      </c>
    </row>
    <row r="286" spans="1:4" x14ac:dyDescent="0.2">
      <c r="A286" s="10">
        <v>225</v>
      </c>
      <c r="D286" s="2" t="str">
        <f t="shared" si="3"/>
        <v>OK</v>
      </c>
    </row>
    <row r="287" spans="1:4" x14ac:dyDescent="0.2">
      <c r="A287" s="5">
        <v>226</v>
      </c>
      <c r="B287" s="138">
        <f>'Assets-Liab 5-6'!N37</f>
        <v>290000</v>
      </c>
      <c r="C287" s="2" t="s">
        <v>594</v>
      </c>
      <c r="D287" s="2" t="str">
        <f t="shared" si="3"/>
        <v>Error?</v>
      </c>
    </row>
    <row r="288" spans="1:4" x14ac:dyDescent="0.2">
      <c r="A288" s="5">
        <v>227</v>
      </c>
      <c r="B288" s="138">
        <f>'Assets-Liab 5-6'!N41</f>
        <v>290000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3068</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418562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16862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529406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56746</v>
      </c>
      <c r="D733" s="2" t="str">
        <f t="shared" si="10"/>
        <v>Error?</v>
      </c>
    </row>
    <row r="734" spans="1:4" x14ac:dyDescent="0.2">
      <c r="A734" s="5">
        <v>673</v>
      </c>
      <c r="B734" s="138">
        <f>'Expenditures 15-22'!C53</f>
        <v>56746</v>
      </c>
      <c r="C734" s="2" t="s">
        <v>594</v>
      </c>
      <c r="D734" s="2" t="str">
        <f t="shared" si="10"/>
        <v>Error?</v>
      </c>
    </row>
    <row r="735" spans="1:4" x14ac:dyDescent="0.2">
      <c r="A735" s="5">
        <v>674</v>
      </c>
      <c r="B735" s="138">
        <f>'Expenditures 15-22'!C55</f>
        <v>74540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74540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33015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33015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164301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693707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77669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731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99824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13184</v>
      </c>
      <c r="D791" s="2" t="str">
        <f t="shared" si="11"/>
        <v>Error?</v>
      </c>
    </row>
    <row r="792" spans="1:4" x14ac:dyDescent="0.2">
      <c r="A792" s="5">
        <v>731</v>
      </c>
      <c r="B792" s="138">
        <f>'Expenditures 15-22'!D53</f>
        <v>13184</v>
      </c>
      <c r="C792" s="2" t="s">
        <v>594</v>
      </c>
      <c r="D792" s="2" t="str">
        <f t="shared" si="11"/>
        <v>Error?</v>
      </c>
    </row>
    <row r="793" spans="1:4" x14ac:dyDescent="0.2">
      <c r="A793" s="5">
        <v>732</v>
      </c>
      <c r="B793" s="138">
        <f>'Expenditures 15-22'!D55</f>
        <v>6127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6127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13102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13102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32413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132237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20912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20912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616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10000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10616</v>
      </c>
      <c r="C843" s="2" t="s">
        <v>594</v>
      </c>
      <c r="D843" s="2" t="str">
        <f t="shared" si="12"/>
        <v>Error?</v>
      </c>
    </row>
    <row r="844" spans="1:4" x14ac:dyDescent="0.2">
      <c r="A844" s="5">
        <v>783</v>
      </c>
      <c r="B844" s="138">
        <f>'Expenditures 15-22'!E44</f>
        <v>1227</v>
      </c>
      <c r="D844" s="2" t="str">
        <f t="shared" si="12"/>
        <v>Error?</v>
      </c>
    </row>
    <row r="845" spans="1:4" x14ac:dyDescent="0.2">
      <c r="A845" s="5">
        <v>784</v>
      </c>
      <c r="B845" s="138">
        <f>'Expenditures 15-22'!E45</f>
        <v>10018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11245</v>
      </c>
      <c r="C847" s="2" t="s">
        <v>594</v>
      </c>
      <c r="D847" s="2" t="str">
        <f t="shared" si="12"/>
        <v>Error?</v>
      </c>
    </row>
    <row r="848" spans="1:4" x14ac:dyDescent="0.2">
      <c r="A848" s="5">
        <v>787</v>
      </c>
      <c r="B848" s="138">
        <f>'Expenditures 15-22'!E49</f>
        <v>8402</v>
      </c>
      <c r="D848" s="2" t="str">
        <f t="shared" si="12"/>
        <v>Error?</v>
      </c>
    </row>
    <row r="849" spans="1:4" x14ac:dyDescent="0.2">
      <c r="A849" s="5">
        <v>788</v>
      </c>
      <c r="B849" s="138">
        <f>'Expenditures 15-22'!E50</f>
        <v>2611</v>
      </c>
      <c r="D849" s="2" t="str">
        <f t="shared" si="12"/>
        <v>Error?</v>
      </c>
    </row>
    <row r="850" spans="1:4" x14ac:dyDescent="0.2">
      <c r="A850" s="5">
        <v>789</v>
      </c>
      <c r="B850" s="138">
        <f>'Expenditures 15-22'!E53</f>
        <v>11013</v>
      </c>
      <c r="C850" s="2" t="s">
        <v>594</v>
      </c>
      <c r="D850" s="2" t="str">
        <f t="shared" si="12"/>
        <v>Error?</v>
      </c>
    </row>
    <row r="851" spans="1:4" x14ac:dyDescent="0.2">
      <c r="A851" s="5">
        <v>790</v>
      </c>
      <c r="B851" s="138">
        <f>'Expenditures 15-22'!E55</f>
        <v>363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1215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1215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34452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93725</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15697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19860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664</v>
      </c>
      <c r="D903" s="2" t="str">
        <f t="shared" si="13"/>
        <v>Error?</v>
      </c>
    </row>
    <row r="904" spans="1:4" x14ac:dyDescent="0.2">
      <c r="A904" s="5">
        <v>843</v>
      </c>
      <c r="B904" s="138">
        <f>'Expenditures 15-22'!F46</f>
        <v>3894</v>
      </c>
      <c r="D904" s="2" t="str">
        <f t="shared" si="13"/>
        <v>Error?</v>
      </c>
    </row>
    <row r="905" spans="1:4" x14ac:dyDescent="0.2">
      <c r="A905" s="5">
        <v>844</v>
      </c>
      <c r="B905" s="138">
        <f>'Expenditures 15-22'!F47</f>
        <v>4558</v>
      </c>
      <c r="C905" s="2" t="s">
        <v>594</v>
      </c>
      <c r="D905" s="2" t="str">
        <f t="shared" si="13"/>
        <v>Error?</v>
      </c>
    </row>
    <row r="906" spans="1:4" x14ac:dyDescent="0.2">
      <c r="A906" s="5">
        <v>845</v>
      </c>
      <c r="B906" s="138">
        <f>'Expenditures 15-22'!F49</f>
        <v>260</v>
      </c>
      <c r="D906" s="2" t="str">
        <f t="shared" si="13"/>
        <v>Error?</v>
      </c>
    </row>
    <row r="907" spans="1:4" x14ac:dyDescent="0.2">
      <c r="A907" s="5">
        <v>846</v>
      </c>
      <c r="B907" s="138">
        <f>'Expenditures 15-22'!F50</f>
        <v>1511</v>
      </c>
      <c r="D907" s="2" t="str">
        <f t="shared" si="13"/>
        <v>Error?</v>
      </c>
    </row>
    <row r="908" spans="1:4" x14ac:dyDescent="0.2">
      <c r="A908" s="5">
        <v>847</v>
      </c>
      <c r="B908" s="138">
        <f>'Expenditures 15-22'!F53</f>
        <v>1771</v>
      </c>
      <c r="C908" s="2" t="s">
        <v>594</v>
      </c>
      <c r="D908" s="2" t="str">
        <f t="shared" si="13"/>
        <v>Error?</v>
      </c>
    </row>
    <row r="909" spans="1:4" x14ac:dyDescent="0.2">
      <c r="A909" s="5">
        <v>848</v>
      </c>
      <c r="B909" s="138">
        <f>'Expenditures 15-22'!F55</f>
        <v>461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461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22057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22057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28847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48707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3416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3416</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2749</v>
      </c>
      <c r="D1022" s="2" t="str">
        <f t="shared" si="14"/>
        <v>Error?</v>
      </c>
    </row>
    <row r="1023" spans="1:4" x14ac:dyDescent="0.2">
      <c r="A1023" s="5">
        <v>962</v>
      </c>
      <c r="B1023" s="138">
        <f>'Expenditures 15-22'!H50</f>
        <v>1145</v>
      </c>
      <c r="D1023" s="2" t="str">
        <f t="shared" ref="D1023:D1086" si="15">IF(ISBLANK(B1023),"OK",IF(A1023-B1023=0,"OK","Error?"))</f>
        <v>Error?</v>
      </c>
    </row>
    <row r="1024" spans="1:4" x14ac:dyDescent="0.2">
      <c r="A1024" s="5">
        <v>963</v>
      </c>
      <c r="B1024" s="138">
        <f>'Expenditures 15-22'!H53</f>
        <v>3894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3894</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7310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532840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21460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673418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616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10000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10616</v>
      </c>
      <c r="C1115" s="2" t="s">
        <v>594</v>
      </c>
      <c r="D1115" s="2" t="str">
        <f t="shared" si="16"/>
        <v>Error?</v>
      </c>
    </row>
    <row r="1116" spans="1:4" x14ac:dyDescent="0.2">
      <c r="A1116" s="5">
        <v>1055</v>
      </c>
      <c r="B1116" s="138">
        <f>'Expenditures 15-22'!K44</f>
        <v>1227</v>
      </c>
      <c r="C1116" s="2" t="s">
        <v>594</v>
      </c>
      <c r="D1116" s="2" t="str">
        <f t="shared" si="16"/>
        <v>Error?</v>
      </c>
    </row>
    <row r="1117" spans="1:4" x14ac:dyDescent="0.2">
      <c r="A1117" s="5">
        <v>1056</v>
      </c>
      <c r="B1117" s="138">
        <f>'Expenditures 15-22'!K45</f>
        <v>10682</v>
      </c>
      <c r="C1117" s="2" t="s">
        <v>594</v>
      </c>
      <c r="D1117" s="2" t="str">
        <f t="shared" si="16"/>
        <v>Error?</v>
      </c>
    </row>
    <row r="1118" spans="1:4" x14ac:dyDescent="0.2">
      <c r="A1118" s="5">
        <v>1057</v>
      </c>
      <c r="B1118" s="138">
        <f>'Expenditures 15-22'!K46</f>
        <v>3894</v>
      </c>
      <c r="C1118" s="2" t="s">
        <v>594</v>
      </c>
      <c r="D1118" s="2" t="str">
        <f t="shared" si="16"/>
        <v>Error?</v>
      </c>
    </row>
    <row r="1119" spans="1:4" x14ac:dyDescent="0.2">
      <c r="A1119" s="5">
        <v>1058</v>
      </c>
      <c r="B1119" s="138">
        <f>'Expenditures 15-22'!K47</f>
        <v>15803</v>
      </c>
      <c r="C1119" s="2" t="s">
        <v>594</v>
      </c>
      <c r="D1119" s="2" t="str">
        <f t="shared" si="16"/>
        <v>Error?</v>
      </c>
    </row>
    <row r="1120" spans="1:4" x14ac:dyDescent="0.2">
      <c r="A1120" s="5">
        <v>1059</v>
      </c>
      <c r="B1120" s="138">
        <f>'Expenditures 15-22'!K49</f>
        <v>11411</v>
      </c>
      <c r="C1120" s="2" t="s">
        <v>594</v>
      </c>
      <c r="D1120" s="2" t="str">
        <f t="shared" si="16"/>
        <v>Error?</v>
      </c>
    </row>
    <row r="1121" spans="1:4" x14ac:dyDescent="0.2">
      <c r="A1121" s="5">
        <v>1060</v>
      </c>
      <c r="B1121" s="138">
        <f>'Expenditures 15-22'!K50</f>
        <v>75197</v>
      </c>
      <c r="C1121" s="2" t="s">
        <v>594</v>
      </c>
      <c r="D1121" s="2" t="str">
        <f t="shared" si="16"/>
        <v>Error?</v>
      </c>
    </row>
    <row r="1122" spans="1:4" x14ac:dyDescent="0.2">
      <c r="A1122" s="5">
        <v>1061</v>
      </c>
      <c r="B1122" s="138">
        <f>'Expenditures 15-22'!K53</f>
        <v>86608</v>
      </c>
      <c r="C1122" s="2" t="s">
        <v>594</v>
      </c>
      <c r="D1122" s="2" t="str">
        <f t="shared" si="16"/>
        <v>Error?</v>
      </c>
    </row>
    <row r="1123" spans="1:4" x14ac:dyDescent="0.2">
      <c r="A1123" s="5">
        <v>1062</v>
      </c>
      <c r="B1123" s="138">
        <f>'Expenditures 15-22'!K55</f>
        <v>81491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81491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69389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69389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263907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38361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975686</v>
      </c>
      <c r="C1152" s="2" t="s">
        <v>594</v>
      </c>
      <c r="D1152" s="2" t="str">
        <f t="shared" si="17"/>
        <v>Error?</v>
      </c>
    </row>
    <row r="1153" spans="1:4" x14ac:dyDescent="0.2">
      <c r="A1153" s="5">
        <v>1092</v>
      </c>
      <c r="B1153" s="138">
        <f>'Expenditures 15-22'!K115</f>
        <v>99209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39382</v>
      </c>
      <c r="D1221" s="2" t="str">
        <f t="shared" si="18"/>
        <v>Error?</v>
      </c>
    </row>
    <row r="1222" spans="1:4" x14ac:dyDescent="0.2">
      <c r="A1222" s="10">
        <v>1161</v>
      </c>
      <c r="D1222" s="2" t="str">
        <f t="shared" si="18"/>
        <v>OK</v>
      </c>
    </row>
    <row r="1223" spans="1:4" x14ac:dyDescent="0.2">
      <c r="A1223" s="5">
        <v>1162</v>
      </c>
      <c r="B1223" s="138">
        <f>'Expenditures 15-22'!C127</f>
        <v>39382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39382</v>
      </c>
      <c r="C1225" s="2" t="s">
        <v>594</v>
      </c>
      <c r="D1225" s="2" t="str">
        <f t="shared" si="18"/>
        <v>Error?</v>
      </c>
    </row>
    <row r="1226" spans="1:4" x14ac:dyDescent="0.2">
      <c r="A1226" s="5">
        <v>1165</v>
      </c>
      <c r="B1226" s="138">
        <f>'Expenditures 15-22'!C151</f>
        <v>39382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5275</v>
      </c>
      <c r="D1229" s="2" t="str">
        <f t="shared" si="18"/>
        <v>Error?</v>
      </c>
    </row>
    <row r="1230" spans="1:4" x14ac:dyDescent="0.2">
      <c r="A1230" s="10">
        <v>1169</v>
      </c>
      <c r="D1230" s="2" t="str">
        <f t="shared" si="18"/>
        <v>OK</v>
      </c>
    </row>
    <row r="1231" spans="1:4" x14ac:dyDescent="0.2">
      <c r="A1231" s="5">
        <v>1170</v>
      </c>
      <c r="B1231" s="138">
        <f>'Expenditures 15-22'!D127</f>
        <v>5275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5275</v>
      </c>
      <c r="C1233" s="2" t="s">
        <v>594</v>
      </c>
      <c r="D1233" s="2" t="str">
        <f t="shared" si="18"/>
        <v>Error?</v>
      </c>
    </row>
    <row r="1234" spans="1:4" x14ac:dyDescent="0.2">
      <c r="A1234" s="5">
        <v>1173</v>
      </c>
      <c r="B1234" s="138">
        <f>'Expenditures 15-22'!D151</f>
        <v>5275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25514</v>
      </c>
      <c r="D1237" s="2" t="str">
        <f t="shared" si="18"/>
        <v>Error?</v>
      </c>
    </row>
    <row r="1238" spans="1:4" x14ac:dyDescent="0.2">
      <c r="A1238" s="10">
        <v>1177</v>
      </c>
      <c r="D1238" s="2" t="str">
        <f t="shared" si="18"/>
        <v>OK</v>
      </c>
    </row>
    <row r="1239" spans="1:4" x14ac:dyDescent="0.2">
      <c r="A1239" s="5">
        <v>1178</v>
      </c>
      <c r="B1239" s="138">
        <f>'Expenditures 15-22'!E127</f>
        <v>25514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25514</v>
      </c>
      <c r="C1241" s="2" t="s">
        <v>594</v>
      </c>
      <c r="D1241" s="2" t="str">
        <f t="shared" si="18"/>
        <v>Error?</v>
      </c>
    </row>
    <row r="1242" spans="1:4" x14ac:dyDescent="0.2">
      <c r="A1242" s="5">
        <v>1181</v>
      </c>
      <c r="B1242" s="138">
        <f>'Expenditures 15-22'!E151</f>
        <v>25514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30626</v>
      </c>
      <c r="D1245" s="2" t="str">
        <f t="shared" si="18"/>
        <v>Error?</v>
      </c>
    </row>
    <row r="1246" spans="1:4" x14ac:dyDescent="0.2">
      <c r="A1246" s="10">
        <v>1185</v>
      </c>
      <c r="D1246" s="2" t="str">
        <f t="shared" si="18"/>
        <v>OK</v>
      </c>
    </row>
    <row r="1247" spans="1:4" x14ac:dyDescent="0.2">
      <c r="A1247" s="5">
        <v>1186</v>
      </c>
      <c r="B1247" s="138">
        <f>'Expenditures 15-22'!F127</f>
        <v>30626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30626</v>
      </c>
      <c r="C1249" s="2" t="s">
        <v>594</v>
      </c>
      <c r="D1249" s="2" t="str">
        <f t="shared" si="18"/>
        <v>Error?</v>
      </c>
    </row>
    <row r="1250" spans="1:4" x14ac:dyDescent="0.2">
      <c r="A1250" s="5">
        <v>1189</v>
      </c>
      <c r="B1250" s="138">
        <f>'Expenditures 15-22'!F151</f>
        <v>30626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62069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62069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62069</v>
      </c>
      <c r="C1258" s="2" t="s">
        <v>594</v>
      </c>
      <c r="D1258" s="2" t="str">
        <f t="shared" si="18"/>
        <v>Error?</v>
      </c>
    </row>
    <row r="1259" spans="1:4" x14ac:dyDescent="0.2">
      <c r="A1259" s="5">
        <v>1198</v>
      </c>
      <c r="B1259" s="138">
        <f>'Expenditures 15-22'!G151</f>
        <v>62069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162866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162866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162866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162866</v>
      </c>
      <c r="C1288" s="2" t="s">
        <v>594</v>
      </c>
      <c r="D1288" s="2" t="str">
        <f t="shared" si="19"/>
        <v>Error?</v>
      </c>
    </row>
    <row r="1289" spans="1:4" x14ac:dyDescent="0.2">
      <c r="A1289" s="5">
        <v>1228</v>
      </c>
      <c r="B1289" s="138">
        <f>'Expenditures 15-22'!K152</f>
        <v>-56444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15287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45787</v>
      </c>
      <c r="C1317" s="2" t="s">
        <v>594</v>
      </c>
      <c r="D1317" s="2" t="str">
        <f t="shared" si="19"/>
        <v>Error?</v>
      </c>
    </row>
    <row r="1318" spans="1:4" x14ac:dyDescent="0.2">
      <c r="A1318" s="5">
        <v>1257</v>
      </c>
      <c r="B1318" s="138">
        <f>'Expenditures 15-22'!H174</f>
        <v>45787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15287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45787</v>
      </c>
      <c r="C1331" s="2" t="s">
        <v>594</v>
      </c>
      <c r="D1331" s="2" t="str">
        <f t="shared" si="19"/>
        <v>Error?</v>
      </c>
    </row>
    <row r="1332" spans="1:4" x14ac:dyDescent="0.2">
      <c r="A1332" s="5">
        <v>1271</v>
      </c>
      <c r="B1332" s="138">
        <f>'Expenditures 15-22'!K174</f>
        <v>45787</v>
      </c>
      <c r="C1332" s="2" t="s">
        <v>594</v>
      </c>
      <c r="D1332" s="2" t="str">
        <f t="shared" si="19"/>
        <v>Error?</v>
      </c>
    </row>
    <row r="1333" spans="1:4" x14ac:dyDescent="0.2">
      <c r="A1333" s="5">
        <v>1272</v>
      </c>
      <c r="B1333" s="138">
        <f>'Expenditures 15-22'!K175</f>
        <v>6791</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72727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72727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72727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72727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72727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72727</v>
      </c>
      <c r="C1388" s="2" t="s">
        <v>594</v>
      </c>
      <c r="D1388" s="2" t="str">
        <f t="shared" si="20"/>
        <v>Error?</v>
      </c>
    </row>
    <row r="1389" spans="1:4" x14ac:dyDescent="0.2">
      <c r="A1389" s="5">
        <v>1328</v>
      </c>
      <c r="B1389" s="138">
        <f>'Expenditures 15-22'!K211</f>
        <v>61522</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1012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12272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3825</v>
      </c>
      <c r="D1423" s="2" t="str">
        <f t="shared" si="21"/>
        <v>Error?</v>
      </c>
    </row>
    <row r="1424" spans="1:4" x14ac:dyDescent="0.2">
      <c r="A1424" s="5">
        <v>1363</v>
      </c>
      <c r="B1424" s="138">
        <f>'Expenditures 15-22'!D257</f>
        <v>3825</v>
      </c>
      <c r="C1424" s="2" t="s">
        <v>594</v>
      </c>
      <c r="D1424" s="2" t="str">
        <f t="shared" si="21"/>
        <v>Error?</v>
      </c>
    </row>
    <row r="1425" spans="1:4" x14ac:dyDescent="0.2">
      <c r="A1425" s="5">
        <v>1364</v>
      </c>
      <c r="B1425" s="138">
        <f>'Expenditures 15-22'!D259</f>
        <v>5875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5875</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7900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6035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13935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23635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35907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1012</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12272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3825</v>
      </c>
      <c r="C1487" s="2" t="s">
        <v>594</v>
      </c>
      <c r="D1487" s="2" t="str">
        <f t="shared" si="22"/>
        <v>Error?</v>
      </c>
    </row>
    <row r="1488" spans="1:4" x14ac:dyDescent="0.2">
      <c r="A1488" s="5">
        <v>1427</v>
      </c>
      <c r="B1488" s="138">
        <f>'Expenditures 15-22'!K257</f>
        <v>3825</v>
      </c>
      <c r="C1488" s="2" t="s">
        <v>594</v>
      </c>
      <c r="D1488" s="2" t="str">
        <f t="shared" si="22"/>
        <v>Error?</v>
      </c>
    </row>
    <row r="1489" spans="1:4" x14ac:dyDescent="0.2">
      <c r="A1489" s="5">
        <v>1428</v>
      </c>
      <c r="B1489" s="138">
        <f>'Expenditures 15-22'!K259</f>
        <v>5875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5875</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7900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6035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13935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23635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35907</v>
      </c>
      <c r="C1517" s="2" t="s">
        <v>594</v>
      </c>
      <c r="D1517" s="2" t="str">
        <f t="shared" si="22"/>
        <v>Error?</v>
      </c>
    </row>
    <row r="1518" spans="1:4" x14ac:dyDescent="0.2">
      <c r="A1518" s="5">
        <v>1457</v>
      </c>
      <c r="B1518" s="138">
        <f>'Expenditures 15-22'!K296</f>
        <v>13308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8525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8525</v>
      </c>
      <c r="C1547" s="2" t="s">
        <v>594</v>
      </c>
      <c r="D1547" s="2" t="str">
        <f t="shared" si="23"/>
        <v>Error?</v>
      </c>
    </row>
    <row r="1548" spans="1:4" x14ac:dyDescent="0.2">
      <c r="A1548" s="5">
        <v>1487</v>
      </c>
      <c r="B1548" s="138">
        <f>'Expenditures 15-22'!G312</f>
        <v>8525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8525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8525</v>
      </c>
      <c r="C1559" s="2" t="s">
        <v>594</v>
      </c>
      <c r="D1559" s="2" t="str">
        <f t="shared" si="23"/>
        <v>Error?</v>
      </c>
    </row>
    <row r="1560" spans="1:4" x14ac:dyDescent="0.2">
      <c r="A1560" s="5">
        <v>1499</v>
      </c>
      <c r="B1560" s="138">
        <f>'Expenditures 15-22'!K312</f>
        <v>8525</v>
      </c>
      <c r="C1560" s="2" t="s">
        <v>594</v>
      </c>
      <c r="D1560" s="2" t="str">
        <f t="shared" si="23"/>
        <v>Error?</v>
      </c>
    </row>
    <row r="1561" spans="1:4" x14ac:dyDescent="0.2">
      <c r="A1561" s="5">
        <v>1500</v>
      </c>
      <c r="B1561" s="138">
        <f>'Expenditures 15-22'!K313</f>
        <v>-8525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669334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751611</v>
      </c>
      <c r="C1630" s="2" t="s">
        <v>594</v>
      </c>
      <c r="D1630" s="2" t="str">
        <f t="shared" si="24"/>
        <v>Error?</v>
      </c>
    </row>
    <row r="1631" spans="1:4" x14ac:dyDescent="0.2">
      <c r="A1631" s="5">
        <v>1570</v>
      </c>
      <c r="B1631" s="138">
        <f>'Acct Summary 7-8'!D79</f>
        <v>52079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15635</v>
      </c>
      <c r="C1644" s="2" t="s">
        <v>594</v>
      </c>
      <c r="D1644" s="2" t="str">
        <f t="shared" si="24"/>
        <v>Error?</v>
      </c>
    </row>
    <row r="1645" spans="1:4" x14ac:dyDescent="0.2">
      <c r="A1645" s="5">
        <v>1584</v>
      </c>
      <c r="B1645" s="138">
        <f>'Acct Summary 7-8'!E79</f>
        <v>4515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11306</v>
      </c>
      <c r="C1658" s="2" t="s">
        <v>594</v>
      </c>
      <c r="D1658" s="2" t="str">
        <f t="shared" si="24"/>
        <v>Error?</v>
      </c>
    </row>
    <row r="1659" spans="1:4" x14ac:dyDescent="0.2">
      <c r="A1659" s="5">
        <v>1598</v>
      </c>
      <c r="B1659" s="138">
        <f>'Acct Summary 7-8'!F79</f>
        <v>60196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121718</v>
      </c>
      <c r="C1672" s="2" t="s">
        <v>594</v>
      </c>
      <c r="D1672" s="2" t="str">
        <f t="shared" si="25"/>
        <v>Error?</v>
      </c>
    </row>
    <row r="1673" spans="1:4" x14ac:dyDescent="0.2">
      <c r="A1673" s="5">
        <v>1612</v>
      </c>
      <c r="B1673" s="138">
        <f>'Acct Summary 7-8'!G79</f>
        <v>22322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35630</v>
      </c>
      <c r="C1686" s="2" t="s">
        <v>594</v>
      </c>
      <c r="D1686" s="2" t="str">
        <f t="shared" si="25"/>
        <v>Error?</v>
      </c>
    </row>
    <row r="1687" spans="1:4" x14ac:dyDescent="0.2">
      <c r="A1687" s="5">
        <v>1626</v>
      </c>
      <c r="B1687" s="138">
        <f>'Acct Summary 7-8'!H79</f>
        <v>23109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14584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665783</v>
      </c>
      <c r="C1744" s="2" t="s">
        <v>594</v>
      </c>
      <c r="D1744" s="2" t="str">
        <f t="shared" si="26"/>
        <v>Error?</v>
      </c>
    </row>
    <row r="1745" spans="1:5" x14ac:dyDescent="0.2">
      <c r="A1745" s="5">
        <v>1684</v>
      </c>
      <c r="B1745" s="138">
        <f>'Tax Sched 23'!B5</f>
        <v>104803</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77195</v>
      </c>
      <c r="C1747" s="2" t="s">
        <v>594</v>
      </c>
      <c r="D1747" s="2" t="str">
        <f t="shared" si="26"/>
        <v>Error?</v>
      </c>
    </row>
    <row r="1748" spans="1:5" x14ac:dyDescent="0.2">
      <c r="A1748" s="5">
        <v>1687</v>
      </c>
      <c r="B1748" s="138">
        <f>'Tax Sched 23'!B8</f>
        <v>25091</v>
      </c>
      <c r="C1748" s="2" t="s">
        <v>594</v>
      </c>
      <c r="D1748" s="2" t="str">
        <f t="shared" si="26"/>
        <v>Error?</v>
      </c>
    </row>
    <row r="1749" spans="1:5" x14ac:dyDescent="0.2">
      <c r="A1749" s="5">
        <v>1688</v>
      </c>
      <c r="B1749" s="138">
        <f>'Tax Sched 23'!B10</f>
        <v>3068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27504</v>
      </c>
      <c r="C1752" s="2" t="s">
        <v>594</v>
      </c>
      <c r="D1752" s="2" t="str">
        <f t="shared" si="26"/>
        <v>Error?</v>
      </c>
    </row>
    <row r="1753" spans="1:5" x14ac:dyDescent="0.2">
      <c r="A1753" s="5">
        <v>1692</v>
      </c>
      <c r="B1753" s="138">
        <f>'Tax Sched 23'!B12</f>
        <v>4742</v>
      </c>
      <c r="C1753" s="2" t="s">
        <v>594</v>
      </c>
      <c r="D1753" s="2" t="str">
        <f t="shared" si="26"/>
        <v>Error?</v>
      </c>
    </row>
    <row r="1754" spans="1:5" x14ac:dyDescent="0.2">
      <c r="A1754" s="5">
        <v>1693</v>
      </c>
      <c r="B1754" s="138">
        <f>'Tax Sched 23'!B14</f>
        <v>2845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938948</v>
      </c>
      <c r="C1759" s="2" t="s">
        <v>594</v>
      </c>
      <c r="D1759" s="2" t="str">
        <f t="shared" si="26"/>
        <v>Error?</v>
      </c>
    </row>
    <row r="1760" spans="1:5" x14ac:dyDescent="0.2">
      <c r="A1760" s="5">
        <v>1699</v>
      </c>
      <c r="B1760" s="138">
        <f>'Tax Sched 23'!D4</f>
        <v>665783</v>
      </c>
      <c r="C1760" s="2" t="s">
        <v>594</v>
      </c>
      <c r="D1760" s="2" t="str">
        <f t="shared" si="26"/>
        <v>Error?</v>
      </c>
    </row>
    <row r="1761" spans="1:5" x14ac:dyDescent="0.2">
      <c r="A1761" s="5">
        <v>1700</v>
      </c>
      <c r="B1761" s="138">
        <f>'Tax Sched 23'!D5</f>
        <v>104803</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77195</v>
      </c>
      <c r="C1763" s="2" t="s">
        <v>594</v>
      </c>
      <c r="D1763" s="2" t="str">
        <f t="shared" si="26"/>
        <v>Error?</v>
      </c>
    </row>
    <row r="1764" spans="1:5" x14ac:dyDescent="0.2">
      <c r="A1764" s="5">
        <v>1703</v>
      </c>
      <c r="B1764" s="138">
        <f>'Tax Sched 23'!D8</f>
        <v>25091</v>
      </c>
      <c r="C1764" s="2" t="s">
        <v>594</v>
      </c>
      <c r="D1764" s="2" t="str">
        <f t="shared" si="26"/>
        <v>Error?</v>
      </c>
    </row>
    <row r="1765" spans="1:5" x14ac:dyDescent="0.2">
      <c r="A1765" s="5">
        <v>1704</v>
      </c>
      <c r="B1765" s="138">
        <f>'Tax Sched 23'!D10</f>
        <v>3068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27504</v>
      </c>
      <c r="C1768" s="2" t="s">
        <v>594</v>
      </c>
      <c r="D1768" s="2" t="str">
        <f t="shared" si="26"/>
        <v>Error?</v>
      </c>
    </row>
    <row r="1769" spans="1:5" x14ac:dyDescent="0.2">
      <c r="A1769" s="5">
        <v>1708</v>
      </c>
      <c r="B1769" s="138">
        <f>'Tax Sched 23'!D12</f>
        <v>4742</v>
      </c>
      <c r="C1769" s="2" t="s">
        <v>594</v>
      </c>
      <c r="D1769" s="2" t="str">
        <f t="shared" si="26"/>
        <v>Error?</v>
      </c>
    </row>
    <row r="1770" spans="1:5" x14ac:dyDescent="0.2">
      <c r="A1770" s="5">
        <v>1709</v>
      </c>
      <c r="B1770" s="138">
        <f>'Tax Sched 23'!D14</f>
        <v>2845</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938948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684099</v>
      </c>
      <c r="C1792" s="2" t="s">
        <v>594</v>
      </c>
      <c r="D1792" s="2" t="str">
        <f t="shared" si="27"/>
        <v>Error?</v>
      </c>
    </row>
    <row r="1793" spans="1:4" x14ac:dyDescent="0.2">
      <c r="A1793" s="5">
        <v>1732</v>
      </c>
      <c r="B1793" s="138">
        <f>'Tax Sched 23'!F5</f>
        <v>109774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79390</v>
      </c>
      <c r="C1795" s="2" t="s">
        <v>594</v>
      </c>
      <c r="D1795" s="2" t="str">
        <f t="shared" si="27"/>
        <v>Error?</v>
      </c>
    </row>
    <row r="1796" spans="1:4" x14ac:dyDescent="0.2">
      <c r="A1796" s="5">
        <v>1735</v>
      </c>
      <c r="B1796" s="138">
        <f>'Tax Sched 23'!F8</f>
        <v>26463</v>
      </c>
      <c r="C1796" s="2" t="s">
        <v>594</v>
      </c>
      <c r="D1796" s="2" t="str">
        <f t="shared" si="27"/>
        <v>Error?</v>
      </c>
    </row>
    <row r="1797" spans="1:4" x14ac:dyDescent="0.2">
      <c r="A1797" s="5">
        <v>1736</v>
      </c>
      <c r="B1797" s="138">
        <f>'Tax Sched 23'!F10</f>
        <v>3076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29406</v>
      </c>
      <c r="C1800" s="2" t="s">
        <v>594</v>
      </c>
      <c r="D1800" s="2" t="str">
        <f t="shared" si="27"/>
        <v>Error?</v>
      </c>
    </row>
    <row r="1801" spans="1:4" x14ac:dyDescent="0.2">
      <c r="A1801" s="5">
        <v>1740</v>
      </c>
      <c r="B1801" s="138">
        <f>'Tax Sched 23'!F12</f>
        <v>4754</v>
      </c>
      <c r="C1801" s="2" t="s">
        <v>594</v>
      </c>
      <c r="D1801" s="2" t="str">
        <f t="shared" si="27"/>
        <v>Error?</v>
      </c>
    </row>
    <row r="1802" spans="1:4" x14ac:dyDescent="0.2">
      <c r="A1802" s="5">
        <v>1741</v>
      </c>
      <c r="B1802" s="138">
        <f>'Tax Sched 23'!F14</f>
        <v>2853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967799</v>
      </c>
      <c r="C1807" s="2" t="s">
        <v>594</v>
      </c>
      <c r="D1807" s="2" t="str">
        <f t="shared" si="27"/>
        <v>Error?</v>
      </c>
    </row>
    <row r="1808" spans="1:4" x14ac:dyDescent="0.2">
      <c r="A1808" s="5">
        <v>1747</v>
      </c>
      <c r="B1808" s="138">
        <f>'Tax Sched 23'!E4</f>
        <v>684099</v>
      </c>
      <c r="D1808" s="2" t="str">
        <f t="shared" si="27"/>
        <v>Error?</v>
      </c>
    </row>
    <row r="1809" spans="1:4" x14ac:dyDescent="0.2">
      <c r="A1809" s="5">
        <v>1748</v>
      </c>
      <c r="B1809" s="138">
        <f>'Tax Sched 23'!E5</f>
        <v>109774</v>
      </c>
      <c r="D1809" s="2" t="str">
        <f t="shared" si="27"/>
        <v>Error?</v>
      </c>
    </row>
    <row r="1810" spans="1:4" x14ac:dyDescent="0.2">
      <c r="A1810" s="5">
        <v>1749</v>
      </c>
      <c r="B1810" s="138">
        <f>'Tax Sched 23'!E6</f>
        <v>0</v>
      </c>
      <c r="D1810" s="2" t="str">
        <f t="shared" si="27"/>
        <v>Error?</v>
      </c>
    </row>
    <row r="1811" spans="1:4" x14ac:dyDescent="0.2">
      <c r="A1811" s="5">
        <v>1750</v>
      </c>
      <c r="B1811" s="138">
        <f>'Tax Sched 23'!E7</f>
        <v>79390</v>
      </c>
      <c r="D1811" s="2" t="str">
        <f t="shared" si="27"/>
        <v>Error?</v>
      </c>
    </row>
    <row r="1812" spans="1:4" x14ac:dyDescent="0.2">
      <c r="A1812" s="5">
        <v>1751</v>
      </c>
      <c r="B1812" s="138">
        <f>'Tax Sched 23'!E8</f>
        <v>26463</v>
      </c>
      <c r="D1812" s="2" t="str">
        <f t="shared" si="27"/>
        <v>Error?</v>
      </c>
    </row>
    <row r="1813" spans="1:4" x14ac:dyDescent="0.2">
      <c r="A1813" s="5">
        <v>1752</v>
      </c>
      <c r="B1813" s="138">
        <f>'Tax Sched 23'!E10</f>
        <v>3076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29406</v>
      </c>
      <c r="D1816" s="2" t="str">
        <f t="shared" si="27"/>
        <v>Error?</v>
      </c>
    </row>
    <row r="1817" spans="1:4" x14ac:dyDescent="0.2">
      <c r="A1817" s="5">
        <v>1756</v>
      </c>
      <c r="B1817" s="138">
        <f>'Tax Sched 23'!E12</f>
        <v>4754</v>
      </c>
      <c r="D1817" s="2" t="str">
        <f t="shared" si="27"/>
        <v>Error?</v>
      </c>
    </row>
    <row r="1818" spans="1:4" x14ac:dyDescent="0.2">
      <c r="A1818" s="5">
        <v>1757</v>
      </c>
      <c r="B1818" s="138">
        <f>'Tax Sched 23'!E14</f>
        <v>2853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967799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2845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2845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2845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8000</v>
      </c>
      <c r="D2008" s="2" t="str">
        <f t="shared" si="30"/>
        <v>Error?</v>
      </c>
    </row>
    <row r="2009" spans="1:4" x14ac:dyDescent="0.2">
      <c r="A2009" s="5">
        <v>1948</v>
      </c>
      <c r="B2009" s="138">
        <f>'Cap Outlay Deprec 26'!C8</f>
        <v>1336205</v>
      </c>
      <c r="D2009" s="2" t="str">
        <f t="shared" si="30"/>
        <v>Error?</v>
      </c>
    </row>
    <row r="2010" spans="1:4" x14ac:dyDescent="0.2">
      <c r="A2010" s="5">
        <v>1949</v>
      </c>
      <c r="B2010" s="138">
        <f>'Cap Outlay Deprec 26'!C10</f>
        <v>7104</v>
      </c>
      <c r="D2010" s="2" t="str">
        <f t="shared" si="30"/>
        <v>Error?</v>
      </c>
    </row>
    <row r="2011" spans="1:4" x14ac:dyDescent="0.2">
      <c r="A2011" s="5">
        <v>1950</v>
      </c>
      <c r="B2011" s="138">
        <f>'Cap Outlay Deprec 26'!C12</f>
        <v>350345</v>
      </c>
      <c r="D2011" s="2" t="str">
        <f t="shared" si="30"/>
        <v>Error?</v>
      </c>
    </row>
    <row r="2012" spans="1:4" x14ac:dyDescent="0.2">
      <c r="A2012" s="5">
        <v>1951</v>
      </c>
      <c r="B2012" s="138">
        <f>'Cap Outlay Deprec 26'!C13</f>
        <v>45781</v>
      </c>
      <c r="D2012" s="2" t="str">
        <f t="shared" si="30"/>
        <v>Error?</v>
      </c>
    </row>
    <row r="2013" spans="1:4" x14ac:dyDescent="0.2">
      <c r="A2013" s="5">
        <v>1952</v>
      </c>
      <c r="B2013" s="138">
        <f>'Cap Outlay Deprec 26'!C16</f>
        <v>1747435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62069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675</v>
      </c>
      <c r="D2017" s="2" t="str">
        <f t="shared" si="30"/>
        <v>Error?</v>
      </c>
    </row>
    <row r="2018" spans="1:4" x14ac:dyDescent="0.2">
      <c r="A2018" s="5">
        <v>1957</v>
      </c>
      <c r="B2018" s="138">
        <f>'Cap Outlay Deprec 26'!D13</f>
        <v>1750</v>
      </c>
      <c r="D2018" s="2" t="str">
        <f t="shared" si="30"/>
        <v>Error?</v>
      </c>
    </row>
    <row r="2019" spans="1:4" x14ac:dyDescent="0.2">
      <c r="A2019" s="5">
        <v>1958</v>
      </c>
      <c r="B2019" s="138">
        <f>'Cap Outlay Deprec 26'!D16</f>
        <v>64494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8000</v>
      </c>
      <c r="C2026" s="2" t="s">
        <v>594</v>
      </c>
      <c r="D2026" s="2" t="str">
        <f t="shared" si="30"/>
        <v>Error?</v>
      </c>
    </row>
    <row r="2027" spans="1:4" x14ac:dyDescent="0.2">
      <c r="A2027" s="5">
        <v>1966</v>
      </c>
      <c r="B2027" s="138">
        <f>'Cap Outlay Deprec 26'!F8</f>
        <v>1398274</v>
      </c>
      <c r="C2027" s="2" t="s">
        <v>594</v>
      </c>
      <c r="D2027" s="2" t="str">
        <f t="shared" si="30"/>
        <v>Error?</v>
      </c>
    </row>
    <row r="2028" spans="1:4" x14ac:dyDescent="0.2">
      <c r="A2028" s="5">
        <v>1967</v>
      </c>
      <c r="B2028" s="138">
        <f>'Cap Outlay Deprec 26'!F10</f>
        <v>7104</v>
      </c>
      <c r="C2028" s="2" t="s">
        <v>594</v>
      </c>
      <c r="D2028" s="2" t="str">
        <f t="shared" si="30"/>
        <v>Error?</v>
      </c>
    </row>
    <row r="2029" spans="1:4" x14ac:dyDescent="0.2">
      <c r="A2029" s="5">
        <v>1968</v>
      </c>
      <c r="B2029" s="138">
        <f>'Cap Outlay Deprec 26'!F12</f>
        <v>351020</v>
      </c>
      <c r="C2029" s="2" t="s">
        <v>594</v>
      </c>
      <c r="D2029" s="2" t="str">
        <f t="shared" si="30"/>
        <v>Error?</v>
      </c>
    </row>
    <row r="2030" spans="1:4" x14ac:dyDescent="0.2">
      <c r="A2030" s="5">
        <v>1969</v>
      </c>
      <c r="B2030" s="138">
        <f>'Cap Outlay Deprec 26'!F13</f>
        <v>47531</v>
      </c>
      <c r="C2030" s="2" t="s">
        <v>594</v>
      </c>
      <c r="D2030" s="2" t="str">
        <f t="shared" si="30"/>
        <v>Error?</v>
      </c>
    </row>
    <row r="2031" spans="1:4" x14ac:dyDescent="0.2">
      <c r="A2031" s="5">
        <v>1970</v>
      </c>
      <c r="B2031" s="138">
        <f>'Cap Outlay Deprec 26'!F16</f>
        <v>1811929</v>
      </c>
      <c r="C2031" s="2" t="s">
        <v>594</v>
      </c>
      <c r="D2031" s="2" t="str">
        <f t="shared" si="30"/>
        <v>Error?</v>
      </c>
    </row>
    <row r="2032" spans="1:4" x14ac:dyDescent="0.2">
      <c r="A2032" s="10">
        <v>1971</v>
      </c>
      <c r="D2032" s="2" t="str">
        <f t="shared" si="30"/>
        <v>OK</v>
      </c>
    </row>
    <row r="2033" spans="1:4" x14ac:dyDescent="0.2">
      <c r="A2033" s="5">
        <v>1972</v>
      </c>
      <c r="B2033" s="138">
        <f>'Cap Outlay Deprec 26'!H8</f>
        <v>626934</v>
      </c>
      <c r="D2033" s="2" t="str">
        <f t="shared" si="30"/>
        <v>Error?</v>
      </c>
    </row>
    <row r="2034" spans="1:4" x14ac:dyDescent="0.2">
      <c r="A2034" s="5">
        <v>1973</v>
      </c>
      <c r="B2034" s="138">
        <f>'Cap Outlay Deprec 26'!H10</f>
        <v>7104</v>
      </c>
      <c r="D2034" s="2" t="str">
        <f t="shared" si="30"/>
        <v>Error?</v>
      </c>
    </row>
    <row r="2035" spans="1:4" x14ac:dyDescent="0.2">
      <c r="A2035" s="5">
        <v>1974</v>
      </c>
      <c r="B2035" s="138">
        <f>'Cap Outlay Deprec 26'!H12</f>
        <v>311771</v>
      </c>
      <c r="D2035" s="2" t="str">
        <f t="shared" si="30"/>
        <v>Error?</v>
      </c>
    </row>
    <row r="2036" spans="1:4" x14ac:dyDescent="0.2">
      <c r="A2036" s="5">
        <v>1975</v>
      </c>
      <c r="B2036" s="138">
        <f>'Cap Outlay Deprec 26'!H13</f>
        <v>45781</v>
      </c>
      <c r="D2036" s="2" t="str">
        <f t="shared" si="30"/>
        <v>Error?</v>
      </c>
    </row>
    <row r="2037" spans="1:4" x14ac:dyDescent="0.2">
      <c r="A2037" s="5">
        <v>1976</v>
      </c>
      <c r="B2037" s="138">
        <f>'Cap Outlay Deprec 26'!H16</f>
        <v>991590</v>
      </c>
      <c r="C2037" s="2" t="s">
        <v>594</v>
      </c>
      <c r="D2037" s="2" t="str">
        <f t="shared" si="30"/>
        <v>Error?</v>
      </c>
    </row>
    <row r="2038" spans="1:4" x14ac:dyDescent="0.2">
      <c r="A2038" s="10">
        <v>1977</v>
      </c>
      <c r="D2038" s="2" t="str">
        <f t="shared" si="30"/>
        <v>OK</v>
      </c>
    </row>
    <row r="2039" spans="1:4" x14ac:dyDescent="0.2">
      <c r="A2039" s="5">
        <v>1978</v>
      </c>
      <c r="B2039" s="138">
        <f>'Cap Outlay Deprec 26'!I8</f>
        <v>32672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7243</v>
      </c>
      <c r="D2041" s="2" t="str">
        <f t="shared" si="30"/>
        <v>Error?</v>
      </c>
    </row>
    <row r="2042" spans="1:4" x14ac:dyDescent="0.2">
      <c r="A2042" s="5">
        <v>1981</v>
      </c>
      <c r="B2042" s="138">
        <f>'Cap Outlay Deprec 26'!I13</f>
        <v>2306</v>
      </c>
      <c r="D2042" s="2" t="str">
        <f t="shared" si="30"/>
        <v>Error?</v>
      </c>
    </row>
    <row r="2043" spans="1:4" x14ac:dyDescent="0.2">
      <c r="A2043" s="5">
        <v>1982</v>
      </c>
      <c r="B2043" s="138">
        <f>'Cap Outlay Deprec 26'!I16</f>
        <v>42221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659606</v>
      </c>
      <c r="C2051" s="2" t="s">
        <v>594</v>
      </c>
      <c r="D2051" s="2" t="str">
        <f t="shared" si="31"/>
        <v>Error?</v>
      </c>
    </row>
    <row r="2052" spans="1:4" x14ac:dyDescent="0.2">
      <c r="A2052" s="5">
        <v>1991</v>
      </c>
      <c r="B2052" s="138">
        <f>'Cap Outlay Deprec 26'!K10</f>
        <v>7104</v>
      </c>
      <c r="C2052" s="2" t="s">
        <v>594</v>
      </c>
      <c r="D2052" s="2" t="str">
        <f t="shared" si="31"/>
        <v>Error?</v>
      </c>
    </row>
    <row r="2053" spans="1:4" x14ac:dyDescent="0.2">
      <c r="A2053" s="5">
        <v>1992</v>
      </c>
      <c r="B2053" s="138">
        <f>'Cap Outlay Deprec 26'!K12</f>
        <v>319014</v>
      </c>
      <c r="C2053" s="2" t="s">
        <v>594</v>
      </c>
      <c r="D2053" s="2" t="str">
        <f t="shared" si="31"/>
        <v>Error?</v>
      </c>
    </row>
    <row r="2054" spans="1:4" x14ac:dyDescent="0.2">
      <c r="A2054" s="5">
        <v>1993</v>
      </c>
      <c r="B2054" s="138">
        <f>'Cap Outlay Deprec 26'!K13</f>
        <v>48087</v>
      </c>
      <c r="C2054" s="2" t="s">
        <v>594</v>
      </c>
      <c r="D2054" s="2" t="str">
        <f t="shared" si="31"/>
        <v>Error?</v>
      </c>
    </row>
    <row r="2055" spans="1:4" x14ac:dyDescent="0.2">
      <c r="A2055" s="5">
        <v>1994</v>
      </c>
      <c r="B2055" s="138">
        <f>'Cap Outlay Deprec 26'!K16</f>
        <v>1033811</v>
      </c>
      <c r="C2055" s="2" t="s">
        <v>594</v>
      </c>
      <c r="D2055" s="2" t="str">
        <f t="shared" si="31"/>
        <v>Error?</v>
      </c>
    </row>
    <row r="2056" spans="1:4" x14ac:dyDescent="0.2">
      <c r="A2056" s="5">
        <v>1995</v>
      </c>
      <c r="B2056" s="138">
        <f>'Cap Outlay Deprec 26'!L5</f>
        <v>8000</v>
      </c>
      <c r="C2056" s="2" t="s">
        <v>594</v>
      </c>
      <c r="D2056" s="2" t="str">
        <f t="shared" si="31"/>
        <v>Error?</v>
      </c>
    </row>
    <row r="2057" spans="1:4" x14ac:dyDescent="0.2">
      <c r="A2057" s="5">
        <v>1996</v>
      </c>
      <c r="B2057" s="138">
        <f>'Cap Outlay Deprec 26'!L8</f>
        <v>738668</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32006</v>
      </c>
      <c r="C2059" s="2" t="s">
        <v>594</v>
      </c>
      <c r="D2059" s="2" t="str">
        <f t="shared" si="31"/>
        <v>Error?</v>
      </c>
    </row>
    <row r="2060" spans="1:4" x14ac:dyDescent="0.2">
      <c r="A2060" s="5">
        <v>1999</v>
      </c>
      <c r="B2060" s="138">
        <f>'Cap Outlay Deprec 26'!L13</f>
        <v>-556</v>
      </c>
      <c r="C2060" s="2" t="s">
        <v>594</v>
      </c>
      <c r="D2060" s="2" t="str">
        <f t="shared" si="31"/>
        <v>Error?</v>
      </c>
    </row>
    <row r="2061" spans="1:4" x14ac:dyDescent="0.2">
      <c r="A2061" s="5">
        <v>2000</v>
      </c>
      <c r="B2061" s="138">
        <f>'Cap Outlay Deprec 26'!L16</f>
        <v>778118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38361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3068</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53894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22606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743029</v>
      </c>
      <c r="C2551" s="2" t="s">
        <v>594</v>
      </c>
      <c r="D2551" s="2" t="str">
        <f t="shared" si="38"/>
        <v>Error?</v>
      </c>
    </row>
    <row r="2552" spans="1:4" x14ac:dyDescent="0.2">
      <c r="A2552" s="10">
        <v>2491</v>
      </c>
      <c r="D2552" s="2" t="str">
        <f t="shared" si="38"/>
        <v>OK</v>
      </c>
    </row>
    <row r="2553" spans="1:4" x14ac:dyDescent="0.2">
      <c r="A2553" s="5">
        <v>2492</v>
      </c>
      <c r="B2553" s="138">
        <f>'Acct Summary 7-8'!C6</f>
        <v>263215</v>
      </c>
      <c r="C2553" s="2" t="s">
        <v>594</v>
      </c>
      <c r="D2553" s="2" t="str">
        <f t="shared" si="38"/>
        <v>Error?</v>
      </c>
    </row>
    <row r="2554" spans="1:4" x14ac:dyDescent="0.2">
      <c r="A2554" s="5">
        <v>2493</v>
      </c>
      <c r="B2554" s="138">
        <f>'Acct Summary 7-8'!C7</f>
        <v>68651</v>
      </c>
      <c r="C2554" s="2" t="s">
        <v>594</v>
      </c>
      <c r="D2554" s="2" t="str">
        <f t="shared" si="38"/>
        <v>Error?</v>
      </c>
    </row>
    <row r="2555" spans="1:4" x14ac:dyDescent="0.2">
      <c r="A2555" s="5">
        <v>2494</v>
      </c>
      <c r="B2555" s="138">
        <f>'Acct Summary 7-8'!C8</f>
        <v>1074895</v>
      </c>
      <c r="C2555" s="2" t="s">
        <v>594</v>
      </c>
      <c r="D2555" s="2" t="str">
        <f t="shared" si="38"/>
        <v>Error?</v>
      </c>
    </row>
    <row r="2556" spans="1:4" x14ac:dyDescent="0.2">
      <c r="A2556" s="5">
        <v>2495</v>
      </c>
      <c r="B2556" s="138">
        <f>'Acct Summary 7-8'!C12</f>
        <v>673418</v>
      </c>
      <c r="C2556" s="2" t="s">
        <v>594</v>
      </c>
      <c r="D2556" s="2" t="str">
        <f t="shared" si="38"/>
        <v>Error?</v>
      </c>
    </row>
    <row r="2557" spans="1:4" x14ac:dyDescent="0.2">
      <c r="A2557" s="5">
        <v>2496</v>
      </c>
      <c r="B2557" s="138">
        <f>'Acct Summary 7-8'!C13</f>
        <v>263907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38361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975686</v>
      </c>
      <c r="C2561" s="2" t="s">
        <v>594</v>
      </c>
      <c r="D2561" s="2" t="str">
        <f t="shared" si="39"/>
        <v>Error?</v>
      </c>
    </row>
    <row r="2562" spans="1:4" x14ac:dyDescent="0.2">
      <c r="A2562" s="5">
        <v>2501</v>
      </c>
      <c r="B2562" s="138">
        <f>'Acct Summary 7-8'!C20</f>
        <v>99209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106422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106422</v>
      </c>
      <c r="C2568" s="2" t="s">
        <v>594</v>
      </c>
      <c r="D2568" s="2" t="str">
        <f t="shared" si="39"/>
        <v>Error?</v>
      </c>
    </row>
    <row r="2569" spans="1:4" x14ac:dyDescent="0.2">
      <c r="A2569" s="5">
        <v>2508</v>
      </c>
      <c r="B2569" s="138">
        <f>'Acct Summary 7-8'!D13</f>
        <v>162866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162866</v>
      </c>
      <c r="C2573" s="2" t="s">
        <v>594</v>
      </c>
      <c r="D2573" s="2" t="str">
        <f t="shared" si="39"/>
        <v>Error?</v>
      </c>
    </row>
    <row r="2574" spans="1:4" x14ac:dyDescent="0.2">
      <c r="A2574" s="5">
        <v>2513</v>
      </c>
      <c r="B2574" s="138">
        <f>'Acct Summary 7-8'!D20</f>
        <v>-56444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77195</v>
      </c>
      <c r="C2591" s="2" t="s">
        <v>594</v>
      </c>
      <c r="D2591" s="2" t="str">
        <f t="shared" si="39"/>
        <v>Error?</v>
      </c>
    </row>
    <row r="2592" spans="1:4" x14ac:dyDescent="0.2">
      <c r="A2592" s="10">
        <v>2531</v>
      </c>
      <c r="D2592" s="2" t="str">
        <f t="shared" si="39"/>
        <v>OK</v>
      </c>
    </row>
    <row r="2593" spans="1:4" x14ac:dyDescent="0.2">
      <c r="A2593" s="5">
        <v>2532</v>
      </c>
      <c r="B2593" s="138">
        <f>'Acct Summary 7-8'!F6</f>
        <v>57054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134249</v>
      </c>
      <c r="C2595" s="2" t="s">
        <v>594</v>
      </c>
      <c r="D2595" s="2" t="str">
        <f t="shared" si="39"/>
        <v>Error?</v>
      </c>
    </row>
    <row r="2596" spans="1:4" x14ac:dyDescent="0.2">
      <c r="A2596" s="5">
        <v>2535</v>
      </c>
      <c r="B2596" s="138">
        <f>'Acct Summary 7-8'!F13</f>
        <v>72727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72727</v>
      </c>
      <c r="C2600" s="2" t="s">
        <v>594</v>
      </c>
      <c r="D2600" s="2" t="str">
        <f t="shared" si="39"/>
        <v>Error?</v>
      </c>
    </row>
    <row r="2601" spans="1:4" x14ac:dyDescent="0.2">
      <c r="A2601" s="5">
        <v>2540</v>
      </c>
      <c r="B2601" s="138">
        <f>'Acct Summary 7-8'!F20</f>
        <v>61522</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49215</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49215</v>
      </c>
      <c r="C2606" s="2" t="s">
        <v>594</v>
      </c>
      <c r="D2606" s="2" t="str">
        <f t="shared" si="39"/>
        <v>Error?</v>
      </c>
    </row>
    <row r="2607" spans="1:4" x14ac:dyDescent="0.2">
      <c r="A2607" s="5">
        <v>2546</v>
      </c>
      <c r="B2607" s="138">
        <f>'Acct Summary 7-8'!G12</f>
        <v>12272</v>
      </c>
      <c r="C2607" s="2" t="s">
        <v>594</v>
      </c>
      <c r="D2607" s="2" t="str">
        <f t="shared" si="39"/>
        <v>Error?</v>
      </c>
    </row>
    <row r="2608" spans="1:4" x14ac:dyDescent="0.2">
      <c r="A2608" s="5">
        <v>2547</v>
      </c>
      <c r="B2608" s="138">
        <f>'Acct Summary 7-8'!G13</f>
        <v>23635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35907</v>
      </c>
      <c r="C2612" s="2" t="s">
        <v>594</v>
      </c>
      <c r="D2612" s="2" t="str">
        <f t="shared" si="39"/>
        <v>Error?</v>
      </c>
    </row>
    <row r="2613" spans="1:4" x14ac:dyDescent="0.2">
      <c r="A2613" s="5">
        <v>2552</v>
      </c>
      <c r="B2613" s="138">
        <f>'Acct Summary 7-8'!G20</f>
        <v>13308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52578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52578</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45787</v>
      </c>
      <c r="C2634" s="2" t="s">
        <v>594</v>
      </c>
      <c r="D2634" s="2" t="str">
        <f t="shared" si="40"/>
        <v>Error?</v>
      </c>
    </row>
    <row r="2635" spans="1:4" x14ac:dyDescent="0.2">
      <c r="A2635" s="5">
        <v>2574</v>
      </c>
      <c r="B2635" s="138">
        <f>'Acct Summary 7-8'!E17</f>
        <v>45787</v>
      </c>
      <c r="C2635" s="2" t="s">
        <v>594</v>
      </c>
      <c r="D2635" s="2" t="str">
        <f t="shared" si="40"/>
        <v>Error?</v>
      </c>
    </row>
    <row r="2636" spans="1:4" x14ac:dyDescent="0.2">
      <c r="A2636" s="5">
        <v>2575</v>
      </c>
      <c r="B2636" s="138">
        <f>'Acct Summary 7-8'!E20</f>
        <v>6791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8525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8525</v>
      </c>
      <c r="C2661" s="2" t="s">
        <v>594</v>
      </c>
      <c r="D2661" s="2" t="str">
        <f t="shared" si="40"/>
        <v>Error?</v>
      </c>
    </row>
    <row r="2662" spans="1:4" x14ac:dyDescent="0.2">
      <c r="A2662" s="5">
        <v>2601</v>
      </c>
      <c r="B2662" s="138">
        <f>'Acct Summary 7-8'!H20</f>
        <v>-8525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38361</v>
      </c>
      <c r="C2789" s="2" t="s">
        <v>594</v>
      </c>
      <c r="D2789" s="2" t="str">
        <f t="shared" si="42"/>
        <v>Error?</v>
      </c>
    </row>
    <row r="2790" spans="1:4" x14ac:dyDescent="0.2">
      <c r="A2790" s="5">
        <v>2729</v>
      </c>
      <c r="B2790" s="138">
        <f>'Expenditures 15-22'!E102</f>
        <v>38361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12900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12900</v>
      </c>
      <c r="D2914" s="2" t="str">
        <f t="shared" si="44"/>
        <v>Error?</v>
      </c>
    </row>
    <row r="2915" spans="1:4" x14ac:dyDescent="0.2">
      <c r="A2915" s="10">
        <v>2854</v>
      </c>
      <c r="D2915" s="2" t="str">
        <f t="shared" si="44"/>
        <v>OK</v>
      </c>
    </row>
    <row r="2916" spans="1:4" x14ac:dyDescent="0.2">
      <c r="A2916" s="5">
        <v>2855</v>
      </c>
      <c r="B2916" s="138">
        <f>'Assets-Liab 5-6'!L34</f>
        <v>12900</v>
      </c>
      <c r="C2916" s="2" t="s">
        <v>594</v>
      </c>
      <c r="D2916" s="2" t="str">
        <f t="shared" si="44"/>
        <v>Error?</v>
      </c>
    </row>
    <row r="2917" spans="1:4" x14ac:dyDescent="0.2">
      <c r="A2917" s="5">
        <v>2856</v>
      </c>
      <c r="B2917" s="138">
        <f>'Assets-Liab 5-6'!L41</f>
        <v>12900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38361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38361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2897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2897</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3068</v>
      </c>
      <c r="C3225" s="2" t="s">
        <v>594</v>
      </c>
      <c r="D3225" s="2" t="str">
        <f t="shared" si="49"/>
        <v>Error?</v>
      </c>
    </row>
    <row r="3226" spans="1:4" x14ac:dyDescent="0.2">
      <c r="A3226" s="5">
        <v>3165</v>
      </c>
      <c r="B3226" s="138">
        <f>'Acct Summary 7-8'!I8</f>
        <v>3068</v>
      </c>
      <c r="C3226" s="2" t="s">
        <v>594</v>
      </c>
      <c r="D3226" s="2" t="str">
        <f t="shared" si="49"/>
        <v>Error?</v>
      </c>
    </row>
    <row r="3227" spans="1:4" x14ac:dyDescent="0.2">
      <c r="A3227" s="5">
        <v>3166</v>
      </c>
      <c r="B3227" s="138">
        <f>'Acct Summary 7-8'!I20</f>
        <v>3068</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3068</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v>
      </c>
      <c r="C3231" s="2" t="s">
        <v>594</v>
      </c>
      <c r="D3231" s="2" t="str">
        <f t="shared" si="49"/>
        <v>Error?</v>
      </c>
    </row>
    <row r="3232" spans="1:4" x14ac:dyDescent="0.2">
      <c r="A3232" s="5">
        <v>3171</v>
      </c>
      <c r="B3232" s="138">
        <f>'Acct Summary 7-8'!C77</f>
        <v>-16932</v>
      </c>
      <c r="C3232" s="2" t="s">
        <v>594</v>
      </c>
      <c r="D3232" s="2" t="str">
        <f t="shared" si="49"/>
        <v>Error?</v>
      </c>
    </row>
    <row r="3233" spans="1:4" x14ac:dyDescent="0.2">
      <c r="A3233" s="5">
        <v>3172</v>
      </c>
      <c r="B3233" s="138">
        <f>'Acct Summary 7-8'!C78</f>
        <v>82277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20000</v>
      </c>
      <c r="C3238" s="2" t="s">
        <v>594</v>
      </c>
      <c r="D3238" s="2" t="str">
        <f t="shared" si="49"/>
        <v>Error?</v>
      </c>
    </row>
    <row r="3239" spans="1:4" x14ac:dyDescent="0.2">
      <c r="A3239" s="5">
        <v>3178</v>
      </c>
      <c r="B3239" s="138">
        <f>'Acct Summary 7-8'!D78</f>
        <v>-36444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61522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13308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6791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-8525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3068</v>
      </c>
      <c r="C3318" s="2" t="s">
        <v>594</v>
      </c>
      <c r="D3318" s="2" t="str">
        <f t="shared" si="50"/>
        <v>Error?</v>
      </c>
    </row>
    <row r="3319" spans="1:4" x14ac:dyDescent="0.2">
      <c r="A3319" s="5">
        <v>3258</v>
      </c>
      <c r="B3319" s="138">
        <f>'Acct Summary 7-8'!I77</f>
        <v>-3068</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93982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18527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116221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6098</v>
      </c>
      <c r="D3387" s="2" t="str">
        <f t="shared" si="51"/>
        <v>Error?</v>
      </c>
    </row>
    <row r="3388" spans="1:4" x14ac:dyDescent="0.2">
      <c r="A3388" s="5">
        <v>3327</v>
      </c>
      <c r="B3388" s="138">
        <f>'Expenditures 15-22'!D217</f>
        <v>5162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6098</v>
      </c>
      <c r="C3390" s="2" t="s">
        <v>594</v>
      </c>
      <c r="D3390" s="2" t="str">
        <f t="shared" si="51"/>
        <v>Error?</v>
      </c>
    </row>
    <row r="3391" spans="1:4" x14ac:dyDescent="0.2">
      <c r="A3391" s="5">
        <v>3330</v>
      </c>
      <c r="B3391" s="138">
        <f>'Expenditures 15-22'!K217</f>
        <v>5162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751611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15635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11306</v>
      </c>
      <c r="D3417" s="2" t="str">
        <f t="shared" si="52"/>
        <v>Error?</v>
      </c>
    </row>
    <row r="3418" spans="1:4" x14ac:dyDescent="0.2">
      <c r="A3418" s="10">
        <v>3357</v>
      </c>
      <c r="D3418" s="2" t="str">
        <f t="shared" si="52"/>
        <v>OK</v>
      </c>
    </row>
    <row r="3419" spans="1:4" x14ac:dyDescent="0.2">
      <c r="A3419" s="5">
        <v>3358</v>
      </c>
      <c r="B3419" s="138">
        <f>'Assets-Liab 5-6'!F4</f>
        <v>121718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35630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14584</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12900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24124</v>
      </c>
      <c r="C3446" s="2" t="s">
        <v>594</v>
      </c>
      <c r="D3446" s="2" t="str">
        <f t="shared" si="52"/>
        <v>Error?</v>
      </c>
    </row>
    <row r="3447" spans="1:4" x14ac:dyDescent="0.2">
      <c r="A3447" s="5">
        <v>3386</v>
      </c>
      <c r="B3447" s="138">
        <f>'Tax Sched 23'!D16</f>
        <v>24124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24182</v>
      </c>
      <c r="C3449" s="2" t="s">
        <v>594</v>
      </c>
      <c r="D3449" s="2" t="str">
        <f t="shared" si="52"/>
        <v>Error?</v>
      </c>
    </row>
    <row r="3450" spans="1:4" x14ac:dyDescent="0.2">
      <c r="A3450" s="5">
        <v>3389</v>
      </c>
      <c r="B3450" s="138">
        <f>'Tax Sched 23'!E16</f>
        <v>24182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27138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27138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27138</v>
      </c>
      <c r="D3567" s="2" t="str">
        <f t="shared" si="54"/>
        <v>Error?</v>
      </c>
    </row>
    <row r="3568" spans="1:4" x14ac:dyDescent="0.2">
      <c r="A3568" s="5">
        <v>3507</v>
      </c>
      <c r="B3568" s="138">
        <f>'Assets-Liab 5-6'!K41</f>
        <v>27138</v>
      </c>
      <c r="C3568" s="2" t="s">
        <v>594</v>
      </c>
      <c r="D3568" s="2" t="str">
        <f t="shared" si="54"/>
        <v>Error?</v>
      </c>
    </row>
    <row r="3569" spans="1:4" x14ac:dyDescent="0.2">
      <c r="A3569" s="5">
        <v>3508</v>
      </c>
      <c r="B3569" s="138">
        <f>'Acct Summary 7-8'!K4</f>
        <v>4742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4742</v>
      </c>
      <c r="C3571" s="2" t="s">
        <v>594</v>
      </c>
      <c r="D3571" s="2" t="str">
        <f t="shared" si="54"/>
        <v>Error?</v>
      </c>
    </row>
    <row r="3572" spans="1:4" x14ac:dyDescent="0.2">
      <c r="A3572" s="5">
        <v>3511</v>
      </c>
      <c r="B3572" s="138">
        <f>'Acct Summary 7-8'!K13</f>
        <v>647</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647</v>
      </c>
      <c r="C3575" s="2" t="s">
        <v>594</v>
      </c>
      <c r="D3575" s="2" t="str">
        <f t="shared" si="54"/>
        <v>Error?</v>
      </c>
    </row>
    <row r="3576" spans="1:4" x14ac:dyDescent="0.2">
      <c r="A3576" s="5">
        <v>3515</v>
      </c>
      <c r="B3576" s="138">
        <f>'Acct Summary 7-8'!K20</f>
        <v>4095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4095</v>
      </c>
      <c r="C3588" s="2" t="s">
        <v>594</v>
      </c>
      <c r="D3588" s="2" t="str">
        <f t="shared" si="55"/>
        <v>Error?</v>
      </c>
    </row>
    <row r="3589" spans="1:4" x14ac:dyDescent="0.2">
      <c r="A3589" s="5">
        <v>3528</v>
      </c>
      <c r="B3589" s="138">
        <f>'Acct Summary 7-8'!K79</f>
        <v>23043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27138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647</v>
      </c>
      <c r="D3639" s="2" t="str">
        <f t="shared" si="55"/>
        <v>Error?</v>
      </c>
    </row>
    <row r="3640" spans="1:4" x14ac:dyDescent="0.2">
      <c r="A3640" s="5">
        <v>3579</v>
      </c>
      <c r="B3640" s="138">
        <f>'Expenditures 15-22'!F350</f>
        <v>647</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647</v>
      </c>
      <c r="C3642" s="2" t="s">
        <v>594</v>
      </c>
      <c r="D3642" s="2" t="str">
        <f t="shared" si="55"/>
        <v>Error?</v>
      </c>
    </row>
    <row r="3643" spans="1:4" x14ac:dyDescent="0.2">
      <c r="A3643" s="5">
        <v>3582</v>
      </c>
      <c r="B3643" s="138">
        <f>'Expenditures 15-22'!F367</f>
        <v>647</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647</v>
      </c>
      <c r="C3669" s="2" t="s">
        <v>594</v>
      </c>
      <c r="D3669" s="2" t="str">
        <f t="shared" si="56"/>
        <v>Error?</v>
      </c>
    </row>
    <row r="3670" spans="1:4" x14ac:dyDescent="0.2">
      <c r="A3670" s="5">
        <v>3609</v>
      </c>
      <c r="B3670" s="138">
        <f>'Expenditures 15-22'!K350</f>
        <v>647</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647</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647</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4095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3793</v>
      </c>
      <c r="C3725" s="2" t="s">
        <v>594</v>
      </c>
      <c r="D3725" s="2" t="str">
        <f t="shared" si="57"/>
        <v>Error?</v>
      </c>
    </row>
    <row r="3726" spans="1:4" x14ac:dyDescent="0.2">
      <c r="A3726" s="5">
        <v>3665</v>
      </c>
      <c r="B3726" s="138">
        <f>'Tax Sched 23'!D13</f>
        <v>3793</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3802</v>
      </c>
      <c r="C3728" s="2" t="s">
        <v>594</v>
      </c>
      <c r="D3728" s="2" t="str">
        <f t="shared" si="57"/>
        <v>Error?</v>
      </c>
    </row>
    <row r="3729" spans="1:4" x14ac:dyDescent="0.2">
      <c r="A3729" s="5">
        <v>3668</v>
      </c>
      <c r="B3729" s="138">
        <f>'Tax Sched 23'!E13</f>
        <v>3802</v>
      </c>
      <c r="D3729" s="2" t="str">
        <f t="shared" si="57"/>
        <v>Error?</v>
      </c>
    </row>
    <row r="3730" spans="1:4" x14ac:dyDescent="0.2">
      <c r="A3730" s="5">
        <v>3669</v>
      </c>
      <c r="B3730" s="138">
        <f>'ICR Computation 30'!E10</f>
        <v>30240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64902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1139797</v>
      </c>
      <c r="C4122" s="2" t="s">
        <v>594</v>
      </c>
      <c r="D4122" s="2" t="str">
        <f t="shared" si="63"/>
        <v>Error?</v>
      </c>
    </row>
    <row r="4123" spans="1:4" x14ac:dyDescent="0.2">
      <c r="A4123" s="5">
        <v>4062</v>
      </c>
      <c r="B4123" s="138">
        <f>'Acct Summary 7-8'!D10</f>
        <v>106422</v>
      </c>
      <c r="C4123" s="2" t="s">
        <v>594</v>
      </c>
      <c r="D4123" s="2" t="str">
        <f t="shared" si="63"/>
        <v>Error?</v>
      </c>
    </row>
    <row r="4124" spans="1:4" x14ac:dyDescent="0.2">
      <c r="A4124" s="5">
        <v>4063</v>
      </c>
      <c r="B4124" s="138">
        <f>'Acct Summary 7-8'!E10</f>
        <v>52578</v>
      </c>
      <c r="C4124" s="2" t="s">
        <v>594</v>
      </c>
      <c r="D4124" s="2" t="str">
        <f t="shared" si="63"/>
        <v>Error?</v>
      </c>
    </row>
    <row r="4125" spans="1:4" x14ac:dyDescent="0.2">
      <c r="A4125" s="5">
        <v>4064</v>
      </c>
      <c r="B4125" s="138">
        <f>'Acct Summary 7-8'!F10</f>
        <v>134249</v>
      </c>
      <c r="C4125" s="2" t="s">
        <v>594</v>
      </c>
      <c r="D4125" s="2" t="str">
        <f t="shared" si="63"/>
        <v>Error?</v>
      </c>
    </row>
    <row r="4126" spans="1:4" x14ac:dyDescent="0.2">
      <c r="A4126" s="5">
        <v>4065</v>
      </c>
      <c r="B4126" s="138">
        <f>'Acct Summary 7-8'!G10</f>
        <v>49215</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3068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4742</v>
      </c>
      <c r="C4130" s="2" t="s">
        <v>594</v>
      </c>
      <c r="D4130" s="2" t="str">
        <f t="shared" si="63"/>
        <v>Error?</v>
      </c>
    </row>
    <row r="4131" spans="1:4" x14ac:dyDescent="0.2">
      <c r="A4131" s="5">
        <v>4070</v>
      </c>
      <c r="B4131" s="138">
        <f>'Acct Summary 7-8'!C18</f>
        <v>64902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1040588</v>
      </c>
      <c r="C4136" s="2" t="s">
        <v>594</v>
      </c>
      <c r="D4136" s="2" t="str">
        <f t="shared" si="63"/>
        <v>Error?</v>
      </c>
    </row>
    <row r="4137" spans="1:4" x14ac:dyDescent="0.2">
      <c r="A4137" s="5">
        <v>4076</v>
      </c>
      <c r="B4137" s="138">
        <f>'Acct Summary 7-8'!D19</f>
        <v>162866</v>
      </c>
      <c r="C4137" s="2" t="s">
        <v>594</v>
      </c>
      <c r="D4137" s="2" t="str">
        <f t="shared" si="63"/>
        <v>Error?</v>
      </c>
    </row>
    <row r="4138" spans="1:4" x14ac:dyDescent="0.2">
      <c r="A4138" s="5">
        <v>4077</v>
      </c>
      <c r="B4138" s="138">
        <f>'Acct Summary 7-8'!E19</f>
        <v>45787</v>
      </c>
      <c r="C4138" s="2" t="s">
        <v>594</v>
      </c>
      <c r="D4138" s="2" t="str">
        <f t="shared" si="63"/>
        <v>Error?</v>
      </c>
    </row>
    <row r="4139" spans="1:4" x14ac:dyDescent="0.2">
      <c r="A4139" s="5">
        <v>4078</v>
      </c>
      <c r="B4139" s="138">
        <f>'Acct Summary 7-8'!F19</f>
        <v>72727</v>
      </c>
      <c r="C4139" s="2" t="s">
        <v>594</v>
      </c>
      <c r="D4139" s="2" t="str">
        <f t="shared" si="63"/>
        <v>Error?</v>
      </c>
    </row>
    <row r="4140" spans="1:4" x14ac:dyDescent="0.2">
      <c r="A4140" s="5">
        <v>4079</v>
      </c>
      <c r="B4140" s="138">
        <f>'Acct Summary 7-8'!G19</f>
        <v>35907</v>
      </c>
      <c r="C4140" s="2" t="s">
        <v>594</v>
      </c>
      <c r="D4140" s="2" t="str">
        <f t="shared" si="63"/>
        <v>Error?</v>
      </c>
    </row>
    <row r="4141" spans="1:4" x14ac:dyDescent="0.2">
      <c r="A4141" s="5">
        <v>4080</v>
      </c>
      <c r="B4141" s="138">
        <f>'Acct Summary 7-8'!H19</f>
        <v>8525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647</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290000</v>
      </c>
      <c r="C4171" s="2" t="s">
        <v>594</v>
      </c>
      <c r="D4171" s="2" t="str">
        <f t="shared" si="64"/>
        <v>Error?</v>
      </c>
    </row>
    <row r="4172" spans="1:4" x14ac:dyDescent="0.2">
      <c r="A4172" s="5">
        <v>4111</v>
      </c>
      <c r="B4172" s="138">
        <f>'Short-Term Long-Term Debt 24'!J49</f>
        <v>278694</v>
      </c>
      <c r="C4172" s="2" t="s">
        <v>594</v>
      </c>
      <c r="D4172" s="2" t="str">
        <f t="shared" si="64"/>
        <v>Error?</v>
      </c>
    </row>
    <row r="4173" spans="1:4" x14ac:dyDescent="0.2">
      <c r="A4173" s="5">
        <v>4112</v>
      </c>
      <c r="B4173" s="138">
        <f>'Short-Term Long-Term Debt 24'!H49</f>
        <v>30000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3286.9</v>
      </c>
      <c r="C4265" s="2" t="s">
        <v>594</v>
      </c>
      <c r="D4265" s="2" t="str">
        <f t="shared" si="65"/>
        <v>Error?</v>
      </c>
      <c r="E4265" s="128"/>
    </row>
    <row r="4266" spans="1:5" x14ac:dyDescent="0.2">
      <c r="A4266" s="12">
        <v>4205</v>
      </c>
      <c r="B4266" s="138">
        <f>('FP Info 3'!F10)*100000</f>
        <v>527.4</v>
      </c>
      <c r="C4266" s="2" t="s">
        <v>594</v>
      </c>
      <c r="D4266" s="2" t="str">
        <f t="shared" si="65"/>
        <v>Error?</v>
      </c>
      <c r="E4266" s="128"/>
    </row>
    <row r="4267" spans="1:5" x14ac:dyDescent="0.2">
      <c r="A4267" s="12">
        <v>4206</v>
      </c>
      <c r="B4267" s="138">
        <f>('FP Info 3'!H10)*100000</f>
        <v>381.5</v>
      </c>
      <c r="C4267" s="2" t="s">
        <v>594</v>
      </c>
      <c r="D4267" s="2" t="str">
        <f t="shared" si="65"/>
        <v>Error?</v>
      </c>
      <c r="E4267" s="128"/>
    </row>
    <row r="4268" spans="1:5" x14ac:dyDescent="0.2">
      <c r="A4268" s="12">
        <v>4207</v>
      </c>
      <c r="B4268" s="138">
        <f>('FP Info 3'!J10)*100000</f>
        <v>4196</v>
      </c>
      <c r="C4268" s="2" t="s">
        <v>594</v>
      </c>
      <c r="D4268" s="2" t="str">
        <f t="shared" si="65"/>
        <v>Error?</v>
      </c>
    </row>
    <row r="4269" spans="1:5" x14ac:dyDescent="0.2">
      <c r="A4269" s="12">
        <v>4208</v>
      </c>
      <c r="B4269" s="138">
        <f>'FP Info 3'!J16</f>
        <v>888964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1935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10345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17827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17827</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2000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14.799999999999999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14780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20812628</v>
      </c>
      <c r="D4995" s="2" t="str">
        <f t="shared" si="77"/>
        <v>Error?</v>
      </c>
    </row>
    <row r="4996" spans="1:4" x14ac:dyDescent="0.2">
      <c r="A4996" s="12">
        <v>4935</v>
      </c>
      <c r="B4996" s="138">
        <f>'FP Info 3'!H31</f>
        <v>1436071.3320000002</v>
      </c>
      <c r="D4996" s="2" t="str">
        <f t="shared" si="77"/>
        <v>Error?</v>
      </c>
    </row>
    <row r="4997" spans="1:4" x14ac:dyDescent="0.2">
      <c r="A4997" s="12">
        <v>4936</v>
      </c>
      <c r="B4997" s="138">
        <f>'FP Info 3'!H37</f>
        <v>290000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20000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3793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665783</v>
      </c>
      <c r="D5061" s="2" t="str">
        <f t="shared" si="78"/>
        <v>Error?</v>
      </c>
    </row>
    <row r="5062" spans="1:4" x14ac:dyDescent="0.2">
      <c r="A5062" s="10">
        <v>5001</v>
      </c>
      <c r="D5062" s="2" t="str">
        <f t="shared" si="78"/>
        <v>OK</v>
      </c>
    </row>
    <row r="5063" spans="1:4" x14ac:dyDescent="0.2">
      <c r="A5063" s="5">
        <v>5002</v>
      </c>
      <c r="B5063" s="138">
        <f>'Revenues 9-14'!C7</f>
        <v>2845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672421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22346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22346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5150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5150</v>
      </c>
      <c r="C5087" s="2" t="s">
        <v>594</v>
      </c>
      <c r="D5087" s="2" t="str">
        <f t="shared" si="78"/>
        <v>Error?</v>
      </c>
    </row>
    <row r="5088" spans="1:4" x14ac:dyDescent="0.2">
      <c r="A5088" s="5">
        <v>5027</v>
      </c>
      <c r="B5088" s="138">
        <f>'Revenues 9-14'!C65</f>
        <v>2572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2572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720</v>
      </c>
      <c r="D5094" s="2" t="str">
        <f t="shared" si="78"/>
        <v>Error?</v>
      </c>
    </row>
    <row r="5095" spans="1:4" x14ac:dyDescent="0.2">
      <c r="A5095" s="5">
        <v>5034</v>
      </c>
      <c r="B5095" s="138">
        <f>'Revenues 9-14'!C74</f>
        <v>788</v>
      </c>
      <c r="D5095" s="2" t="str">
        <f t="shared" si="78"/>
        <v>Error?</v>
      </c>
    </row>
    <row r="5096" spans="1:4" x14ac:dyDescent="0.2">
      <c r="A5096" s="5">
        <v>5035</v>
      </c>
      <c r="B5096" s="138">
        <f>'Revenues 9-14'!C75</f>
        <v>23709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1863</v>
      </c>
      <c r="D5119" s="2" t="str">
        <f t="shared" ref="D5119:D5182" si="79">IF(ISBLANK(B5119),"OK",IF(A5119-B5119=0,"OK","Error?"))</f>
        <v>Error?</v>
      </c>
    </row>
    <row r="5120" spans="1:4" x14ac:dyDescent="0.2">
      <c r="A5120" s="5">
        <v>5059</v>
      </c>
      <c r="B5120" s="138">
        <f>'Revenues 9-14'!C108</f>
        <v>16831</v>
      </c>
      <c r="C5120" s="2" t="s">
        <v>594</v>
      </c>
      <c r="D5120" s="2" t="str">
        <f t="shared" si="79"/>
        <v>Error?</v>
      </c>
    </row>
    <row r="5121" spans="1:4" x14ac:dyDescent="0.2">
      <c r="A5121" s="5">
        <v>5060</v>
      </c>
      <c r="B5121" s="138">
        <f>'Revenues 9-14'!C109</f>
        <v>743029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245976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245976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7077</v>
      </c>
      <c r="D5134" s="2" t="str">
        <f t="shared" si="79"/>
        <v>Error?</v>
      </c>
    </row>
    <row r="5135" spans="1:4" x14ac:dyDescent="0.2">
      <c r="A5135" s="5">
        <v>5074</v>
      </c>
      <c r="B5135" s="138">
        <f>'Revenues 9-14'!C126</f>
        <v>9000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16077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412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17239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263215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23972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6268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30240</v>
      </c>
      <c r="C5246" s="2" t="s">
        <v>594</v>
      </c>
      <c r="D5246" s="2" t="str">
        <f t="shared" si="80"/>
        <v>Error?</v>
      </c>
    </row>
    <row r="5247" spans="1:4" x14ac:dyDescent="0.2">
      <c r="A5247" s="5">
        <v>5186</v>
      </c>
      <c r="B5247" s="138">
        <f>'Revenues 9-14'!C203</f>
        <v>6304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6304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68651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68651</v>
      </c>
      <c r="C5326" s="2" t="s">
        <v>594</v>
      </c>
      <c r="D5326" s="2" t="str">
        <f t="shared" si="82"/>
        <v>Error?</v>
      </c>
    </row>
    <row r="5327" spans="1:4" x14ac:dyDescent="0.2">
      <c r="A5327" s="5">
        <v>5266</v>
      </c>
      <c r="B5327" s="138">
        <f>'Revenues 9-14'!C275</f>
        <v>1074895</v>
      </c>
      <c r="C5327" s="2" t="s">
        <v>594</v>
      </c>
      <c r="D5327" s="2" t="str">
        <f t="shared" si="82"/>
        <v>Error?</v>
      </c>
    </row>
    <row r="5328" spans="1:4" x14ac:dyDescent="0.2">
      <c r="A5328" s="5">
        <v>5267</v>
      </c>
      <c r="B5328" s="138">
        <f>'Revenues 9-14'!D5</f>
        <v>104803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104803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198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1421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1421</v>
      </c>
      <c r="C5355" s="2" t="s">
        <v>594</v>
      </c>
      <c r="D5355" s="2" t="str">
        <f t="shared" si="82"/>
        <v>Error?</v>
      </c>
    </row>
    <row r="5356" spans="1:4" x14ac:dyDescent="0.2">
      <c r="A5356" s="5">
        <v>5295</v>
      </c>
      <c r="B5356" s="138">
        <f>'Revenues 9-14'!D109</f>
        <v>106422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106422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52578</v>
      </c>
      <c r="D5517" s="2" t="str">
        <f t="shared" si="85"/>
        <v>Error?</v>
      </c>
    </row>
    <row r="5518" spans="1:4" x14ac:dyDescent="0.2">
      <c r="A5518" s="5">
        <v>5457</v>
      </c>
      <c r="B5518" s="138">
        <f>'Revenues 9-14'!E18</f>
        <v>52578</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52578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52578</v>
      </c>
      <c r="C5552" s="2" t="s">
        <v>594</v>
      </c>
      <c r="D5552" s="2" t="str">
        <f t="shared" si="85"/>
        <v>Error?</v>
      </c>
    </row>
    <row r="5553" spans="1:4" x14ac:dyDescent="0.2">
      <c r="A5553" s="5">
        <v>5492</v>
      </c>
      <c r="B5553" s="138">
        <f>'Revenues 9-14'!F5</f>
        <v>77195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77195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77195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57054</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57054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57054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57054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134249</v>
      </c>
      <c r="C5720" s="2" t="s">
        <v>594</v>
      </c>
      <c r="D5720" s="2" t="str">
        <f t="shared" si="88"/>
        <v>Error?</v>
      </c>
    </row>
    <row r="5721" spans="1:4" x14ac:dyDescent="0.2">
      <c r="A5721" s="5">
        <v>5660</v>
      </c>
      <c r="B5721" s="138">
        <f>'Revenues 9-14'!G5</f>
        <v>25091</v>
      </c>
      <c r="D5721" s="2" t="str">
        <f t="shared" si="88"/>
        <v>Error?</v>
      </c>
    </row>
    <row r="5722" spans="1:4" x14ac:dyDescent="0.2">
      <c r="A5722" s="5">
        <v>5661</v>
      </c>
      <c r="B5722" s="138">
        <f>'Revenues 9-14'!G7</f>
        <v>0</v>
      </c>
      <c r="D5722" s="2" t="str">
        <f t="shared" si="88"/>
        <v>Error?</v>
      </c>
    </row>
    <row r="5723" spans="1:4" x14ac:dyDescent="0.2">
      <c r="A5723" s="5">
        <v>5662</v>
      </c>
      <c r="B5723" s="138">
        <f>'Revenues 9-14'!G8</f>
        <v>24124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49215</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49215</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3068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3068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3068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4742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4742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4742</v>
      </c>
      <c r="C6023" s="2" t="s">
        <v>594</v>
      </c>
      <c r="D6023" s="2" t="str">
        <f t="shared" si="93"/>
        <v>Error?</v>
      </c>
    </row>
    <row r="6024" spans="1:5" x14ac:dyDescent="0.2">
      <c r="A6024" s="5">
        <v>5963</v>
      </c>
      <c r="B6024" s="138">
        <f>'Revenues 9-14'!G109</f>
        <v>49215</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3068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4742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22201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5134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109.43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41292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41292</v>
      </c>
      <c r="D6215" s="2" t="str">
        <f t="shared" si="96"/>
        <v>Error?</v>
      </c>
      <c r="E6215" s="2" t="s">
        <v>199</v>
      </c>
    </row>
    <row r="6216" spans="1:5" x14ac:dyDescent="0.2">
      <c r="A6216">
        <v>6155</v>
      </c>
      <c r="B6216" s="138">
        <f>'Assets-Liab 5-6'!J41</f>
        <v>41292</v>
      </c>
      <c r="D6216" s="2" t="str">
        <f t="shared" si="96"/>
        <v>Error?</v>
      </c>
      <c r="E6216" s="2" t="s">
        <v>199</v>
      </c>
    </row>
    <row r="6217" spans="1:5" x14ac:dyDescent="0.2">
      <c r="A6217">
        <v>6156</v>
      </c>
      <c r="B6217" s="138">
        <f>'Assets-Liab 5-6'!J4</f>
        <v>41292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27504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27504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27504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27004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27004</v>
      </c>
      <c r="D6229" s="2" t="str">
        <f t="shared" si="96"/>
        <v>Error?</v>
      </c>
      <c r="E6229" s="2" t="s">
        <v>199</v>
      </c>
    </row>
    <row r="6230" spans="1:5" x14ac:dyDescent="0.2">
      <c r="A6230">
        <v>6169</v>
      </c>
      <c r="B6230" s="138">
        <f>'Acct Summary 7-8'!J20</f>
        <v>500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500</v>
      </c>
      <c r="D6263" s="2" t="str">
        <f t="shared" si="96"/>
        <v>Error?</v>
      </c>
      <c r="E6263" s="2" t="s">
        <v>199</v>
      </c>
    </row>
    <row r="6264" spans="1:5" x14ac:dyDescent="0.2">
      <c r="A6264">
        <v>6203</v>
      </c>
      <c r="B6264" s="138">
        <f>'Acct Summary 7-8'!J79</f>
        <v>40792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41292</v>
      </c>
      <c r="D6266" s="2" t="str">
        <f t="shared" si="96"/>
        <v>Error?</v>
      </c>
      <c r="E6266" s="2" t="s">
        <v>199</v>
      </c>
    </row>
    <row r="6267" spans="1:5" x14ac:dyDescent="0.2">
      <c r="A6267">
        <v>6206</v>
      </c>
      <c r="B6267" s="138">
        <f>'Acct Summary 7-8'!C82</f>
        <v>82277</v>
      </c>
      <c r="D6267" s="2" t="str">
        <f t="shared" si="96"/>
        <v>Error?</v>
      </c>
      <c r="E6267" s="2" t="s">
        <v>199</v>
      </c>
    </row>
    <row r="6268" spans="1:5" x14ac:dyDescent="0.2">
      <c r="A6268">
        <v>6207</v>
      </c>
      <c r="B6268" s="138">
        <f>'Acct Summary 7-8'!D82</f>
        <v>-36444</v>
      </c>
      <c r="D6268" s="2" t="str">
        <f t="shared" si="96"/>
        <v>Error?</v>
      </c>
      <c r="E6268" s="2" t="s">
        <v>199</v>
      </c>
    </row>
    <row r="6269" spans="1:5" x14ac:dyDescent="0.2">
      <c r="A6269">
        <v>6208</v>
      </c>
      <c r="B6269" s="138">
        <f>'Acct Summary 7-8'!E82</f>
        <v>6791</v>
      </c>
      <c r="D6269" s="2" t="str">
        <f t="shared" si="96"/>
        <v>Error?</v>
      </c>
      <c r="E6269" s="2" t="s">
        <v>199</v>
      </c>
    </row>
    <row r="6270" spans="1:5" x14ac:dyDescent="0.2">
      <c r="A6270">
        <v>6209</v>
      </c>
      <c r="B6270" s="138">
        <f>'Acct Summary 7-8'!F82</f>
        <v>61522</v>
      </c>
      <c r="D6270" s="2" t="str">
        <f t="shared" si="96"/>
        <v>Error?</v>
      </c>
      <c r="E6270" s="2" t="s">
        <v>199</v>
      </c>
    </row>
    <row r="6271" spans="1:5" x14ac:dyDescent="0.2">
      <c r="A6271">
        <v>6210</v>
      </c>
      <c r="B6271" s="138">
        <f>'Acct Summary 7-8'!G82</f>
        <v>13308</v>
      </c>
      <c r="D6271" s="2" t="str">
        <f t="shared" ref="D6271:D6334" si="97">IF(ISBLANK(B6271),"OK",IF(A6271-B6271=0,"OK","Error?"))</f>
        <v>Error?</v>
      </c>
      <c r="E6271" s="2" t="s">
        <v>199</v>
      </c>
    </row>
    <row r="6272" spans="1:5" x14ac:dyDescent="0.2">
      <c r="A6272">
        <v>6211</v>
      </c>
      <c r="B6272" s="138">
        <f>'Acct Summary 7-8'!H82</f>
        <v>-8525</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500</v>
      </c>
      <c r="D6274" s="2" t="str">
        <f t="shared" si="97"/>
        <v>Error?</v>
      </c>
      <c r="E6274" s="2" t="s">
        <v>199</v>
      </c>
    </row>
    <row r="6275" spans="1:5" x14ac:dyDescent="0.2">
      <c r="A6275">
        <v>6214</v>
      </c>
      <c r="B6275" s="138">
        <f>'Acct Summary 7-8'!K82</f>
        <v>4095</v>
      </c>
      <c r="D6275" s="2" t="str">
        <f t="shared" si="97"/>
        <v>Error?</v>
      </c>
      <c r="E6275" s="2" t="s">
        <v>199</v>
      </c>
    </row>
    <row r="6276" spans="1:5" x14ac:dyDescent="0.2">
      <c r="A6276">
        <v>6215</v>
      </c>
      <c r="B6276" s="138">
        <f>'Acct Summary 7-8'!C83</f>
        <v>0.10946753041134311</v>
      </c>
      <c r="D6276" s="2" t="str">
        <f t="shared" si="97"/>
        <v>Error?</v>
      </c>
      <c r="E6276" s="2" t="s">
        <v>199</v>
      </c>
    </row>
    <row r="6277" spans="1:5" x14ac:dyDescent="0.2">
      <c r="A6277">
        <v>6216</v>
      </c>
      <c r="B6277" s="138">
        <f>'Acct Summary 7-8'!D83</f>
        <v>-2.330924208506556</v>
      </c>
      <c r="D6277" s="2" t="str">
        <f t="shared" si="97"/>
        <v>Error?</v>
      </c>
      <c r="E6277" s="2" t="s">
        <v>199</v>
      </c>
    </row>
    <row r="6278" spans="1:5" x14ac:dyDescent="0.2">
      <c r="A6278">
        <v>6217</v>
      </c>
      <c r="B6278" s="138">
        <f>'Acct Summary 7-8'!E83</f>
        <v>0.60065451972404038</v>
      </c>
      <c r="D6278" s="2" t="str">
        <f t="shared" si="97"/>
        <v>Error?</v>
      </c>
      <c r="E6278" s="2" t="s">
        <v>199</v>
      </c>
    </row>
    <row r="6279" spans="1:5" x14ac:dyDescent="0.2">
      <c r="A6279">
        <v>6218</v>
      </c>
      <c r="B6279" s="138">
        <f>'Acct Summary 7-8'!F83</f>
        <v>0.50544701687507188</v>
      </c>
      <c r="D6279" s="2" t="str">
        <f t="shared" si="97"/>
        <v>Error?</v>
      </c>
      <c r="E6279" s="2" t="s">
        <v>199</v>
      </c>
    </row>
    <row r="6280" spans="1:5" x14ac:dyDescent="0.2">
      <c r="A6280">
        <v>6219</v>
      </c>
      <c r="B6280" s="138">
        <f>'Acct Summary 7-8'!G83</f>
        <v>0.37350547291608194</v>
      </c>
      <c r="D6280" s="2" t="str">
        <f t="shared" si="97"/>
        <v>Error?</v>
      </c>
      <c r="E6280" s="2" t="s">
        <v>199</v>
      </c>
    </row>
    <row r="6281" spans="1:5" x14ac:dyDescent="0.2">
      <c r="A6281">
        <v>6220</v>
      </c>
      <c r="B6281" s="138">
        <f>'Acct Summary 7-8'!H83</f>
        <v>-0.58454470652770163</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1.2108883076625013E-2</v>
      </c>
      <c r="D6283" s="2" t="str">
        <f t="shared" si="97"/>
        <v>Error?</v>
      </c>
      <c r="E6283" s="2" t="s">
        <v>199</v>
      </c>
    </row>
    <row r="6284" spans="1:5" x14ac:dyDescent="0.2">
      <c r="A6284">
        <v>6223</v>
      </c>
      <c r="B6284" s="138">
        <f>'Acct Summary 7-8'!K83</f>
        <v>0.15089542339155429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27504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27504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27504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27004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27504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12334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12334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2658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2658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12012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12012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27004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27004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27004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27004</v>
      </c>
      <c r="D7224" s="2" t="str">
        <f t="shared" si="111"/>
        <v>Error?</v>
      </c>
    </row>
    <row r="7225" spans="1:4" x14ac:dyDescent="0.2">
      <c r="A7225">
        <v>7164</v>
      </c>
      <c r="B7225" s="138">
        <f>'Expenditures 15-22'!K343</f>
        <v>500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42221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2845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15305</v>
      </c>
      <c r="D7797" s="2" t="str">
        <f t="shared" si="127"/>
        <v>Error?</v>
      </c>
      <c r="E7797" s="4" t="s">
        <v>2019</v>
      </c>
    </row>
    <row r="7798" spans="1:5" x14ac:dyDescent="0.2">
      <c r="A7798">
        <v>7737</v>
      </c>
      <c r="B7798" s="138">
        <f>'Contracts Paid in CY 29'!F141</f>
        <v>15305</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1253</v>
      </c>
      <c r="B2" s="2401"/>
      <c r="C2" s="2401"/>
      <c r="D2" s="2401"/>
      <c r="E2" s="2401"/>
      <c r="F2" s="2401"/>
      <c r="G2" s="2401"/>
      <c r="H2" s="2401"/>
      <c r="I2" s="2401"/>
      <c r="J2" s="2401"/>
      <c r="K2" s="2401"/>
      <c r="L2" s="2401"/>
    </row>
    <row r="3" spans="1:29" ht="13.5" customHeight="1" x14ac:dyDescent="0.2">
      <c r="A3" s="2432" t="s">
        <v>1252</v>
      </c>
      <c r="B3" s="2432"/>
      <c r="C3" s="2432"/>
      <c r="D3" s="2432"/>
      <c r="E3" s="2432"/>
      <c r="F3" s="2432"/>
      <c r="G3" s="2432"/>
      <c r="H3" s="2432"/>
      <c r="I3" s="2432"/>
      <c r="J3" s="2432"/>
      <c r="K3" s="2432"/>
      <c r="L3" s="2432"/>
    </row>
    <row r="4" spans="1:29" ht="13.5" customHeight="1" x14ac:dyDescent="0.2">
      <c r="A4" s="2401" t="s">
        <v>1799</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3" t="str">
        <f>COVER!A17</f>
        <v>Cornell CCSD 426</v>
      </c>
      <c r="B7" s="2424"/>
      <c r="C7" s="2424"/>
      <c r="D7" s="2425"/>
      <c r="E7" s="2426">
        <f>COVER!A13</f>
        <v>17053426004</v>
      </c>
      <c r="F7" s="2427"/>
      <c r="G7" s="2433" t="str">
        <f>COVER!T23</f>
        <v>066-005100</v>
      </c>
      <c r="H7" s="2434"/>
      <c r="I7" s="2434"/>
      <c r="J7" s="2434"/>
      <c r="K7" s="2434"/>
      <c r="L7" s="243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6"/>
      <c r="B9" s="2437"/>
      <c r="C9" s="2437"/>
      <c r="D9" s="2437"/>
      <c r="E9" s="2437"/>
      <c r="F9" s="2438"/>
      <c r="G9" s="2407" t="str">
        <f>COVER!T13</f>
        <v>MACK &amp; ASSOCIATES, P.C.</v>
      </c>
      <c r="H9" s="2439"/>
      <c r="I9" s="2439"/>
      <c r="J9" s="2439"/>
      <c r="K9" s="2439"/>
      <c r="L9" s="2440"/>
    </row>
    <row r="10" spans="1:29" ht="13.5" customHeight="1" x14ac:dyDescent="0.2">
      <c r="A10" s="2413" t="str">
        <f>COVER!A38</f>
        <v>GEOFF SCHOONOVER</v>
      </c>
      <c r="B10" s="2414"/>
      <c r="C10" s="2414"/>
      <c r="D10" s="2414"/>
      <c r="E10" s="2414"/>
      <c r="F10" s="2415"/>
      <c r="G10" s="2407" t="str">
        <f>COVER!T17</f>
        <v>116 E. WASHINGTON ST., SUITE ONE</v>
      </c>
      <c r="H10" s="2408"/>
      <c r="I10" s="2408"/>
      <c r="J10" s="2408"/>
      <c r="K10" s="2408"/>
      <c r="L10" s="2409"/>
    </row>
    <row r="11" spans="1:29" ht="13.5" customHeight="1" x14ac:dyDescent="0.2">
      <c r="A11" s="1185" t="s">
        <v>1599</v>
      </c>
      <c r="B11" s="1186"/>
      <c r="C11" s="1187"/>
      <c r="D11" s="1192"/>
      <c r="E11" s="1187"/>
      <c r="F11" s="1191"/>
      <c r="G11" s="2407" t="str">
        <f>COVER!T19</f>
        <v>MORRIS</v>
      </c>
      <c r="H11" s="2408"/>
      <c r="I11" s="2408"/>
      <c r="J11" s="2408"/>
      <c r="K11" s="2408"/>
      <c r="L11" s="2409"/>
    </row>
    <row r="12" spans="1:29" ht="13.5" customHeight="1" x14ac:dyDescent="0.2">
      <c r="A12" s="2416" t="s">
        <v>1598</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1600</v>
      </c>
      <c r="H13" s="2403"/>
      <c r="I13" s="2419" t="str">
        <f>COVER!T25</f>
        <v>tmack@mackcpas.com</v>
      </c>
      <c r="J13" s="2420"/>
      <c r="K13" s="2420"/>
      <c r="L13" s="2421"/>
    </row>
    <row r="14" spans="1:29" ht="13.5" customHeight="1" x14ac:dyDescent="0.2">
      <c r="A14" s="2407" t="str">
        <f>COVER!A19</f>
        <v>300 NORTH 7TH STREET</v>
      </c>
      <c r="B14" s="2408"/>
      <c r="C14" s="2408"/>
      <c r="D14" s="2408"/>
      <c r="E14" s="2408"/>
      <c r="F14" s="2409"/>
      <c r="G14" s="1196" t="s">
        <v>1247</v>
      </c>
      <c r="H14" s="1194"/>
      <c r="I14" s="1194"/>
      <c r="J14" s="1194"/>
      <c r="K14" s="1194"/>
      <c r="L14" s="1195"/>
    </row>
    <row r="15" spans="1:29" ht="13.5" customHeight="1" x14ac:dyDescent="0.2">
      <c r="A15" s="2407" t="str">
        <f>COVER!A21</f>
        <v xml:space="preserve">CORNELL  </v>
      </c>
      <c r="B15" s="2408"/>
      <c r="C15" s="2408"/>
      <c r="D15" s="2408"/>
      <c r="E15" s="2408"/>
      <c r="F15" s="2409"/>
      <c r="G15" s="2404" t="str">
        <f>COVER!T15</f>
        <v>TAWNYA MACK, CPA</v>
      </c>
      <c r="H15" s="2405"/>
      <c r="I15" s="2405"/>
      <c r="J15" s="2405"/>
      <c r="K15" s="2405"/>
      <c r="L15" s="2406"/>
    </row>
    <row r="16" spans="1:29" ht="12.2" customHeight="1" x14ac:dyDescent="0.2">
      <c r="A16" s="2429">
        <f>COVER!A25</f>
        <v>61319</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1246</v>
      </c>
      <c r="H17" s="1194"/>
      <c r="I17" s="1194"/>
      <c r="J17" s="1194"/>
      <c r="K17" s="1198" t="s">
        <v>1245</v>
      </c>
      <c r="L17" s="1191"/>
      <c r="M17" s="1184"/>
    </row>
    <row r="18" spans="1:13" ht="12.2" customHeight="1" x14ac:dyDescent="0.2">
      <c r="A18" s="2413"/>
      <c r="B18" s="2414"/>
      <c r="C18" s="2414"/>
      <c r="D18" s="2414"/>
      <c r="E18" s="2414"/>
      <c r="F18" s="2415"/>
      <c r="G18" s="2423" t="str">
        <f>COVER!T21</f>
        <v>815-942-3306</v>
      </c>
      <c r="H18" s="2424"/>
      <c r="I18" s="2424"/>
      <c r="J18" s="2424"/>
      <c r="K18" s="2423" t="str">
        <f>COVER!X21</f>
        <v>815-942-9430</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Cornell CCSD 426</v>
      </c>
      <c r="B1" s="2422"/>
      <c r="C1" s="2422"/>
      <c r="D1" s="2422"/>
    </row>
    <row r="2" spans="1:11" s="1215" customFormat="1" ht="12.75" x14ac:dyDescent="0.2">
      <c r="A2" s="2446">
        <f>'Single Audit Cover'!E7</f>
        <v>17053426004</v>
      </c>
      <c r="B2" s="2447"/>
      <c r="C2" s="2447"/>
      <c r="D2" s="2447"/>
    </row>
    <row r="3" spans="1:11" s="1215" customFormat="1" ht="12.75" x14ac:dyDescent="0.2">
      <c r="A3" s="2445" t="s">
        <v>1593</v>
      </c>
      <c r="B3" s="2422"/>
      <c r="C3" s="2422"/>
      <c r="D3" s="242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Cornell CCSD 426</v>
      </c>
      <c r="B1" s="2449"/>
      <c r="C1" s="2449"/>
      <c r="D1" s="2449"/>
      <c r="E1" s="2449"/>
    </row>
    <row r="2" spans="1:5" x14ac:dyDescent="0.2">
      <c r="A2" s="2450">
        <f>'Single Audit Cover'!E7</f>
        <v>17053426004</v>
      </c>
      <c r="B2" s="2450"/>
      <c r="C2" s="2450"/>
      <c r="D2" s="2450"/>
      <c r="E2" s="2450"/>
    </row>
    <row r="3" spans="1:5" ht="4.5" customHeight="1" x14ac:dyDescent="0.2"/>
    <row r="4" spans="1:5" x14ac:dyDescent="0.2">
      <c r="A4" s="2449" t="s">
        <v>1307</v>
      </c>
      <c r="B4" s="2449"/>
      <c r="C4" s="2449"/>
      <c r="D4" s="2449"/>
      <c r="E4" s="2449"/>
    </row>
    <row r="5" spans="1:5" x14ac:dyDescent="0.2">
      <c r="A5" s="2452" t="str">
        <f>'Single Audit Cover'!A4</f>
        <v>Year Ending June 30, 2018</v>
      </c>
      <c r="B5" s="2452"/>
      <c r="C5" s="2452"/>
      <c r="D5" s="2452"/>
      <c r="E5" s="2452"/>
    </row>
    <row r="6" spans="1:5" x14ac:dyDescent="0.2">
      <c r="A6" s="2449" t="s">
        <v>1306</v>
      </c>
      <c r="B6" s="2449"/>
      <c r="C6" s="2449"/>
      <c r="D6" s="2449"/>
      <c r="E6" s="2449"/>
    </row>
    <row r="8" spans="1:5" x14ac:dyDescent="0.2">
      <c r="A8" s="1260" t="s">
        <v>1305</v>
      </c>
    </row>
    <row r="10" spans="1:5" x14ac:dyDescent="0.2">
      <c r="A10" s="1261" t="s">
        <v>1304</v>
      </c>
      <c r="B10" s="1262" t="s">
        <v>1303</v>
      </c>
      <c r="C10" s="1262"/>
      <c r="D10" s="1263">
        <f>SUM('Acct Summary 7-8'!C7:K7)</f>
        <v>68651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5134</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-10345</v>
      </c>
    </row>
    <row r="19" spans="1:4" ht="13.5" thickBot="1" x14ac:dyDescent="0.25">
      <c r="A19" s="1265" t="s">
        <v>1297</v>
      </c>
      <c r="D19" s="1266">
        <f>SUM(D10:D17)</f>
        <v>63440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1"/>
      <c r="B24" s="2451"/>
      <c r="D24" s="1268"/>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1295</v>
      </c>
      <c r="D32" s="1263">
        <f>SUM(D19:D30)</f>
        <v>63440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8"/>
      <c r="B40" s="2448"/>
      <c r="D40" s="1268"/>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1289</v>
      </c>
      <c r="C47" s="1272"/>
      <c r="D47" s="1273">
        <f>SUM(D35:D45)</f>
        <v>0</v>
      </c>
    </row>
    <row r="49" spans="2:4" x14ac:dyDescent="0.2">
      <c r="B49" s="1272" t="s">
        <v>1288</v>
      </c>
      <c r="C49" s="1272"/>
      <c r="D49" s="1273">
        <f>D32-D47</f>
        <v>63440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Cornell CCSD 426</v>
      </c>
      <c r="B1" s="2462"/>
      <c r="C1" s="2462"/>
      <c r="D1" s="2462"/>
      <c r="E1" s="2462"/>
      <c r="F1" s="2462"/>
    </row>
    <row r="2" spans="1:7" ht="13.5" customHeight="1" x14ac:dyDescent="0.2">
      <c r="A2" s="2463">
        <f>'Single Audit Cover'!E7</f>
        <v>17053426004</v>
      </c>
      <c r="B2" s="2463"/>
      <c r="C2" s="2463"/>
      <c r="D2" s="2463"/>
      <c r="E2" s="2463"/>
      <c r="F2" s="2463"/>
      <c r="G2" s="1275"/>
    </row>
    <row r="3" spans="1:7" ht="15.75" customHeight="1" x14ac:dyDescent="0.2">
      <c r="A3" s="2464" t="s">
        <v>1333</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1831</v>
      </c>
      <c r="C6" s="317"/>
      <c r="D6" s="317"/>
    </row>
    <row r="7" spans="1:7" ht="60.95" customHeight="1" x14ac:dyDescent="0.2">
      <c r="A7" s="2461" t="s">
        <v>1832</v>
      </c>
      <c r="B7" s="2461"/>
      <c r="C7" s="2461"/>
      <c r="D7" s="2461"/>
      <c r="E7" s="2461"/>
      <c r="F7" s="246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6"/>
      <c r="D11" s="1280"/>
      <c r="E11" s="1926"/>
      <c r="F11" s="1280"/>
      <c r="G11" s="1278"/>
    </row>
    <row r="12" spans="1:7" x14ac:dyDescent="0.2">
      <c r="A12" s="1276" t="s">
        <v>1669</v>
      </c>
      <c r="C12" s="1260"/>
      <c r="D12" s="1260"/>
    </row>
    <row r="13" spans="1:7" ht="15" customHeight="1" x14ac:dyDescent="0.2">
      <c r="A13" s="2461" t="s">
        <v>1834</v>
      </c>
      <c r="B13" s="2461"/>
      <c r="C13" s="2461"/>
      <c r="D13" s="2461"/>
      <c r="E13" s="2461"/>
      <c r="F13" s="2461"/>
    </row>
    <row r="14" spans="1:7" ht="9.75" customHeight="1" x14ac:dyDescent="0.2">
      <c r="C14" s="1260"/>
      <c r="D14" s="1260"/>
    </row>
    <row r="15" spans="1:7" ht="13.5" customHeight="1" x14ac:dyDescent="0.2">
      <c r="C15" s="1870" t="s">
        <v>1332</v>
      </c>
      <c r="D15" s="2459" t="s">
        <v>1331</v>
      </c>
      <c r="E15" s="2459"/>
      <c r="F15" s="2459"/>
    </row>
    <row r="16" spans="1:7" ht="13.5" customHeight="1" x14ac:dyDescent="0.2">
      <c r="A16" s="1282"/>
      <c r="B16" s="1276" t="s">
        <v>1330</v>
      </c>
      <c r="C16" s="1870" t="s">
        <v>1329</v>
      </c>
      <c r="D16" s="2460" t="s">
        <v>1670</v>
      </c>
      <c r="E16" s="2460"/>
      <c r="F16" s="2460"/>
    </row>
    <row r="17" spans="1:6" ht="20.45" customHeight="1" x14ac:dyDescent="0.2">
      <c r="A17" s="1283"/>
      <c r="B17" s="1284"/>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8"/>
      <c r="D30" s="1927"/>
      <c r="E30" s="1286"/>
    </row>
    <row r="31" spans="1:6" ht="12" customHeight="1" x14ac:dyDescent="0.2">
      <c r="A31" s="1287" t="s">
        <v>1630</v>
      </c>
      <c r="B31" s="328"/>
      <c r="C31" s="1478"/>
      <c r="D31" s="1927"/>
      <c r="E31" s="1286"/>
    </row>
    <row r="32" spans="1:6" ht="30" customHeight="1" x14ac:dyDescent="0.2">
      <c r="A32" s="2455" t="s">
        <v>1835</v>
      </c>
      <c r="B32" s="2455"/>
      <c r="C32" s="2455"/>
      <c r="D32" s="2455"/>
      <c r="E32" s="2455"/>
      <c r="F32" s="2455"/>
    </row>
    <row r="33" spans="1:6" ht="13.5" customHeight="1" x14ac:dyDescent="0.2">
      <c r="A33" s="328" t="s">
        <v>1509</v>
      </c>
      <c r="B33" s="328"/>
      <c r="C33" s="1288">
        <v>0</v>
      </c>
      <c r="D33" s="1927"/>
      <c r="E33" s="1286"/>
    </row>
    <row r="34" spans="1:6" ht="13.5" customHeight="1" x14ac:dyDescent="0.2">
      <c r="A34" s="328" t="s">
        <v>1948</v>
      </c>
      <c r="B34" s="328"/>
      <c r="C34" s="1289">
        <v>0</v>
      </c>
      <c r="D34" s="1927" t="s">
        <v>1671</v>
      </c>
      <c r="E34" s="2456">
        <f>+C33+C34</f>
        <v>0</v>
      </c>
      <c r="F34" s="2457"/>
    </row>
    <row r="35" spans="1:6" ht="12" customHeight="1" x14ac:dyDescent="0.2">
      <c r="A35" s="328"/>
      <c r="B35" s="328"/>
      <c r="C35" s="1928"/>
      <c r="D35" s="1927"/>
      <c r="E35" s="1290"/>
      <c r="F35" s="1291"/>
    </row>
    <row r="36" spans="1:6" ht="13.5" customHeight="1" x14ac:dyDescent="0.2">
      <c r="A36" s="1287" t="s">
        <v>1631</v>
      </c>
      <c r="B36" s="328"/>
      <c r="C36" s="1478"/>
      <c r="D36" s="1927"/>
      <c r="E36" s="1286"/>
    </row>
    <row r="37" spans="1:6" ht="14.25" customHeight="1" x14ac:dyDescent="0.2">
      <c r="A37" s="328" t="s">
        <v>1563</v>
      </c>
      <c r="B37" s="328"/>
      <c r="C37" s="1929"/>
      <c r="D37" s="1927"/>
      <c r="E37" s="1286"/>
    </row>
    <row r="38" spans="1:6" ht="14.25" customHeight="1" x14ac:dyDescent="0.2">
      <c r="A38" s="328"/>
      <c r="B38" s="328" t="s">
        <v>1510</v>
      </c>
      <c r="C38" s="1292"/>
      <c r="D38" s="1927"/>
      <c r="E38" s="1286"/>
    </row>
    <row r="39" spans="1:6" ht="14.25" customHeight="1" x14ac:dyDescent="0.2">
      <c r="A39" s="328"/>
      <c r="B39" s="328" t="s">
        <v>1511</v>
      </c>
      <c r="C39" s="1292"/>
      <c r="D39" s="1927"/>
      <c r="E39" s="1286"/>
    </row>
    <row r="40" spans="1:6" ht="14.25" customHeight="1" x14ac:dyDescent="0.2">
      <c r="A40" s="328"/>
      <c r="B40" s="328" t="s">
        <v>1512</v>
      </c>
      <c r="C40" s="1292"/>
      <c r="D40" s="1927"/>
      <c r="E40" s="1286"/>
    </row>
    <row r="41" spans="1:6" ht="14.25" customHeight="1" x14ac:dyDescent="0.2">
      <c r="A41" s="328"/>
      <c r="B41" s="328" t="s">
        <v>1513</v>
      </c>
      <c r="C41" s="1292"/>
      <c r="D41" s="1927"/>
      <c r="E41" s="1286"/>
    </row>
    <row r="42" spans="1:6" ht="14.25" customHeight="1" x14ac:dyDescent="0.2">
      <c r="A42" s="328" t="s">
        <v>1514</v>
      </c>
      <c r="B42" s="328"/>
      <c r="C42" s="1925"/>
      <c r="D42" s="1927"/>
      <c r="E42" s="1286"/>
    </row>
    <row r="43" spans="1:6" ht="14.25" customHeight="1" x14ac:dyDescent="0.2">
      <c r="A43" s="328" t="s">
        <v>1515</v>
      </c>
      <c r="B43" s="328"/>
      <c r="C43" s="1293"/>
      <c r="D43" s="1927"/>
      <c r="E43" s="1286"/>
    </row>
    <row r="44" spans="1:6" ht="14.25" customHeight="1" x14ac:dyDescent="0.2">
      <c r="A44" s="328"/>
      <c r="B44" s="328"/>
      <c r="C44" s="1929" t="s">
        <v>1516</v>
      </c>
      <c r="D44" s="1927"/>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8" t="s">
        <v>1672</v>
      </c>
      <c r="C49" s="2458"/>
      <c r="D49" s="2458"/>
      <c r="E49" s="1399"/>
    </row>
    <row r="50" spans="1:5" s="1300" customFormat="1" ht="3.75" customHeight="1" x14ac:dyDescent="0.2">
      <c r="A50" s="1299"/>
      <c r="B50" s="1869"/>
      <c r="C50" s="1869"/>
      <c r="D50" s="1869"/>
      <c r="E50" s="1399"/>
    </row>
    <row r="51" spans="1:5" s="1300" customFormat="1" ht="20.25" customHeight="1" x14ac:dyDescent="0.2">
      <c r="A51" s="1301">
        <v>6</v>
      </c>
      <c r="B51" s="2453" t="s">
        <v>1632</v>
      </c>
      <c r="C51" s="2453"/>
      <c r="D51" s="2453"/>
    </row>
    <row r="52" spans="1:5" ht="14.25" customHeight="1" x14ac:dyDescent="0.2">
      <c r="A52" s="1301"/>
      <c r="B52" s="2453"/>
      <c r="C52" s="2453"/>
      <c r="D52" s="245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Cornell CCSD 426</v>
      </c>
      <c r="C1" s="2466"/>
      <c r="D1" s="2466"/>
      <c r="E1" s="2466"/>
      <c r="F1" s="2466"/>
      <c r="G1" s="2466"/>
      <c r="H1" s="2466"/>
      <c r="I1" s="2466"/>
      <c r="J1" s="2466"/>
      <c r="K1" s="2466"/>
      <c r="L1" s="2466"/>
      <c r="M1" s="2466"/>
    </row>
    <row r="2" spans="2:14" ht="15" x14ac:dyDescent="0.2">
      <c r="B2" s="2463">
        <f>'Single Audit Cover'!E7</f>
        <v>17053426004</v>
      </c>
      <c r="C2" s="2463"/>
      <c r="D2" s="2463"/>
      <c r="E2" s="2463"/>
      <c r="F2" s="2463"/>
      <c r="G2" s="2463"/>
      <c r="H2" s="2463"/>
      <c r="I2" s="2463"/>
      <c r="J2" s="2463"/>
      <c r="K2" s="2463"/>
      <c r="L2" s="2463"/>
      <c r="M2" s="2463"/>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0" t="str">
        <f>'Single Audit Cover'!A7</f>
        <v>Cornell CCSD 426</v>
      </c>
      <c r="C1" s="2481"/>
      <c r="D1" s="2481"/>
      <c r="E1" s="2481"/>
      <c r="F1" s="2481"/>
      <c r="G1" s="2481"/>
      <c r="H1" s="2481"/>
      <c r="I1" s="2481"/>
      <c r="J1" s="1422"/>
    </row>
    <row r="2" spans="2:10" s="317" customFormat="1" ht="12.75" customHeight="1" x14ac:dyDescent="0.2">
      <c r="B2" s="2482">
        <f>'Single Audit Cover'!E7</f>
        <v>17053426004</v>
      </c>
      <c r="C2" s="2483"/>
      <c r="D2" s="2483"/>
      <c r="E2" s="2483"/>
      <c r="F2" s="2483"/>
      <c r="G2" s="2483"/>
      <c r="H2" s="2483"/>
      <c r="I2" s="2483"/>
      <c r="J2" s="1422"/>
    </row>
    <row r="3" spans="2:10" s="317" customFormat="1" ht="12.75" customHeight="1" x14ac:dyDescent="0.2">
      <c r="B3" s="2484" t="s">
        <v>1347</v>
      </c>
      <c r="C3" s="2485"/>
      <c r="D3" s="2485"/>
      <c r="E3" s="2485"/>
      <c r="F3" s="2485"/>
      <c r="G3" s="2485"/>
      <c r="H3" s="2485"/>
      <c r="I3" s="2485"/>
      <c r="J3" s="1423"/>
    </row>
    <row r="4" spans="2:10" s="317" customFormat="1" ht="12.75" customHeight="1" x14ac:dyDescent="0.2">
      <c r="B4" s="2484" t="str">
        <f>'Single Audit Cover'!A4</f>
        <v>Year Ending June 30, 2018</v>
      </c>
      <c r="C4" s="2485"/>
      <c r="D4" s="2485"/>
      <c r="E4" s="2485"/>
      <c r="F4" s="2485"/>
      <c r="G4" s="2485"/>
      <c r="H4" s="2485"/>
      <c r="I4" s="2485"/>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4" t="s">
        <v>1346</v>
      </c>
      <c r="C7" s="2485"/>
      <c r="D7" s="2485"/>
      <c r="E7" s="2485"/>
      <c r="F7" s="2485"/>
      <c r="G7" s="2485"/>
      <c r="H7" s="2485"/>
      <c r="I7" s="2485"/>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6"/>
      <c r="D11" s="2486"/>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7"/>
      <c r="E29" s="2487"/>
      <c r="F29" s="2487"/>
      <c r="G29" s="2487"/>
      <c r="H29" s="2487"/>
      <c r="I29" s="2487"/>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8" t="s">
        <v>1854</v>
      </c>
      <c r="D37" s="2489"/>
      <c r="E37" s="2489"/>
      <c r="F37" s="2490"/>
      <c r="G37" s="2488" t="s">
        <v>1674</v>
      </c>
      <c r="H37" s="2489"/>
      <c r="I37" s="2490"/>
    </row>
    <row r="38" spans="2:9" ht="16.5" customHeight="1" x14ac:dyDescent="0.2">
      <c r="B38" s="1444"/>
      <c r="C38" s="2476"/>
      <c r="D38" s="2477"/>
      <c r="E38" s="2477"/>
      <c r="F38" s="2478"/>
      <c r="G38" s="2491"/>
      <c r="H38" s="2492"/>
      <c r="I38" s="2493"/>
    </row>
    <row r="39" spans="2:9" ht="16.5" customHeight="1" x14ac:dyDescent="0.2">
      <c r="B39" s="1444"/>
      <c r="C39" s="2476"/>
      <c r="D39" s="2477"/>
      <c r="E39" s="2477"/>
      <c r="F39" s="2478"/>
      <c r="G39" s="2479"/>
      <c r="H39" s="2479"/>
      <c r="I39" s="2479"/>
    </row>
    <row r="40" spans="2:9" ht="16.5" customHeight="1" x14ac:dyDescent="0.2">
      <c r="B40" s="1444"/>
      <c r="C40" s="2476"/>
      <c r="D40" s="2477"/>
      <c r="E40" s="2477"/>
      <c r="F40" s="2478"/>
      <c r="G40" s="2479"/>
      <c r="H40" s="2479"/>
      <c r="I40" s="2479"/>
    </row>
    <row r="41" spans="2:9" ht="16.5" customHeight="1" x14ac:dyDescent="0.2">
      <c r="B41" s="1444"/>
      <c r="C41" s="2476"/>
      <c r="D41" s="2477"/>
      <c r="E41" s="2477"/>
      <c r="F41" s="2478"/>
      <c r="G41" s="2479"/>
      <c r="H41" s="2479"/>
      <c r="I41" s="2479"/>
    </row>
    <row r="42" spans="2:9" ht="16.5" customHeight="1" x14ac:dyDescent="0.2">
      <c r="B42" s="1444"/>
      <c r="C42" s="2476"/>
      <c r="D42" s="2477"/>
      <c r="E42" s="2477"/>
      <c r="F42" s="2478"/>
      <c r="G42" s="2479"/>
      <c r="H42" s="2479"/>
      <c r="I42" s="2479"/>
    </row>
    <row r="43" spans="2:9" ht="16.5" customHeight="1" x14ac:dyDescent="0.2">
      <c r="B43" s="1444"/>
      <c r="C43" s="2469" t="s">
        <v>1675</v>
      </c>
      <c r="D43" s="2470"/>
      <c r="E43" s="2470"/>
      <c r="F43" s="2471"/>
      <c r="G43" s="2472">
        <f>SUM(G38:I42)</f>
        <v>0</v>
      </c>
      <c r="H43" s="2472"/>
      <c r="I43" s="2472"/>
    </row>
    <row r="44" spans="2:9" ht="12.75" customHeight="1" x14ac:dyDescent="0.2"/>
    <row r="45" spans="2:9" ht="12.75" customHeight="1" x14ac:dyDescent="0.2">
      <c r="B45" s="1435" t="s">
        <v>1951</v>
      </c>
      <c r="D45" s="2473">
        <v>0</v>
      </c>
      <c r="E45" s="2474"/>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5"/>
      <c r="F49" s="2475"/>
      <c r="G49" s="2475"/>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0" t="str">
        <f>'Single Audit Cover'!A7</f>
        <v>Cornell CCSD 426</v>
      </c>
      <c r="C1" s="2480"/>
      <c r="D1" s="2480"/>
      <c r="E1" s="2480"/>
      <c r="F1" s="2480"/>
      <c r="G1" s="2480"/>
      <c r="H1" s="2480"/>
      <c r="I1" s="2480"/>
      <c r="J1" s="2480"/>
      <c r="K1" s="2480"/>
      <c r="L1" s="1374"/>
      <c r="M1" s="1374"/>
    </row>
    <row r="2" spans="1:13" ht="12" customHeight="1" x14ac:dyDescent="0.2">
      <c r="B2" s="2482">
        <f>'Single Audit Cover'!E7</f>
        <v>17053426004</v>
      </c>
      <c r="C2" s="2482"/>
      <c r="D2" s="2482"/>
      <c r="E2" s="2482"/>
      <c r="F2" s="2482"/>
      <c r="G2" s="2482"/>
      <c r="H2" s="2482"/>
      <c r="I2" s="2482"/>
      <c r="J2" s="2482"/>
      <c r="K2" s="2482"/>
      <c r="L2" s="1375"/>
      <c r="M2" s="1376"/>
    </row>
    <row r="3" spans="1:13" ht="10.35" customHeight="1" x14ac:dyDescent="0.2">
      <c r="B3" s="2496" t="s">
        <v>1347</v>
      </c>
      <c r="C3" s="2496"/>
      <c r="D3" s="2496"/>
      <c r="E3" s="2496"/>
      <c r="F3" s="2496"/>
      <c r="G3" s="2496"/>
      <c r="H3" s="2496"/>
      <c r="I3" s="2496"/>
      <c r="J3" s="2496"/>
      <c r="K3" s="2496"/>
      <c r="L3" s="1377"/>
      <c r="M3" s="1377"/>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7" t="s">
        <v>1363</v>
      </c>
      <c r="C7" s="2497"/>
      <c r="D7" s="2498"/>
      <c r="E7" s="2498"/>
      <c r="F7" s="2498"/>
      <c r="G7" s="2498"/>
      <c r="H7" s="2498"/>
      <c r="I7" s="2498"/>
      <c r="J7" s="2498"/>
      <c r="K7" s="2498"/>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5"/>
      <c r="C14" s="2495"/>
      <c r="D14" s="2495"/>
      <c r="E14" s="2495"/>
      <c r="F14" s="2495"/>
      <c r="G14" s="2495"/>
      <c r="H14" s="2495"/>
      <c r="I14" s="2495"/>
      <c r="J14" s="2495"/>
      <c r="K14" s="2495"/>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5"/>
      <c r="C17" s="2495"/>
      <c r="D17" s="2495"/>
      <c r="E17" s="2495"/>
      <c r="F17" s="2495"/>
      <c r="G17" s="2495"/>
      <c r="H17" s="2495"/>
      <c r="I17" s="2495"/>
      <c r="J17" s="2495"/>
      <c r="K17" s="2495"/>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9"/>
      <c r="C20" s="2499"/>
      <c r="D20" s="2495"/>
      <c r="E20" s="2495"/>
      <c r="F20" s="2495"/>
      <c r="G20" s="2495"/>
      <c r="H20" s="2495"/>
      <c r="I20" s="2495"/>
      <c r="J20" s="2495"/>
      <c r="K20" s="2495"/>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5"/>
      <c r="C23" s="2495"/>
      <c r="D23" s="2495"/>
      <c r="E23" s="2495"/>
      <c r="F23" s="2495"/>
      <c r="G23" s="2495"/>
      <c r="H23" s="2495"/>
      <c r="I23" s="2495"/>
      <c r="J23" s="2495"/>
      <c r="K23" s="2495"/>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5"/>
      <c r="C26" s="2495"/>
      <c r="D26" s="2495"/>
      <c r="E26" s="2495"/>
      <c r="F26" s="2495"/>
      <c r="G26" s="2495"/>
      <c r="H26" s="2495"/>
      <c r="I26" s="2495"/>
      <c r="J26" s="2495"/>
      <c r="K26" s="2495"/>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4"/>
      <c r="C29" s="2494"/>
      <c r="D29" s="2495"/>
      <c r="E29" s="2495"/>
      <c r="F29" s="2495"/>
      <c r="G29" s="2495"/>
      <c r="H29" s="2495"/>
      <c r="I29" s="2495"/>
      <c r="J29" s="2495"/>
      <c r="K29" s="2495"/>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4"/>
      <c r="C32" s="2494"/>
      <c r="D32" s="2495"/>
      <c r="E32" s="2495"/>
      <c r="F32" s="2495"/>
      <c r="G32" s="2495"/>
      <c r="H32" s="2495"/>
      <c r="I32" s="2495"/>
      <c r="J32" s="2495"/>
      <c r="K32" s="2495"/>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3" t="str">
        <f>'Single Audit Cover'!A7</f>
        <v>Cornell CCSD 426</v>
      </c>
      <c r="C1" s="2503"/>
      <c r="D1" s="2503"/>
      <c r="E1" s="2503"/>
      <c r="F1" s="2503"/>
      <c r="G1" s="2503"/>
      <c r="H1" s="2503"/>
      <c r="I1" s="2503"/>
      <c r="J1" s="2503"/>
      <c r="K1" s="2503"/>
      <c r="L1" s="1465"/>
    </row>
    <row r="2" spans="1:12" ht="12.75" customHeight="1" x14ac:dyDescent="0.2">
      <c r="B2" s="2504">
        <f>'Single Audit Cover'!E7</f>
        <v>17053426004</v>
      </c>
      <c r="C2" s="2504"/>
      <c r="D2" s="2504"/>
      <c r="E2" s="2504"/>
      <c r="F2" s="2504"/>
      <c r="G2" s="2504"/>
      <c r="H2" s="2504"/>
      <c r="I2" s="2504"/>
      <c r="J2" s="2504"/>
      <c r="K2" s="2504"/>
      <c r="L2" s="1466"/>
    </row>
    <row r="3" spans="1:12" ht="12.75" customHeight="1" x14ac:dyDescent="0.2">
      <c r="B3" s="2496" t="s">
        <v>1347</v>
      </c>
      <c r="C3" s="2496"/>
      <c r="D3" s="2496"/>
      <c r="E3" s="2496"/>
      <c r="F3" s="2496"/>
      <c r="G3" s="2496"/>
      <c r="H3" s="2496"/>
      <c r="I3" s="2496"/>
      <c r="J3" s="2496"/>
      <c r="K3" s="2496"/>
      <c r="L3" s="1377"/>
    </row>
    <row r="4" spans="1:12" ht="12.75" customHeight="1" x14ac:dyDescent="0.2">
      <c r="B4" s="2496" t="str">
        <f>'Single Audit Cover'!A4</f>
        <v>Year Ending June 30, 2018</v>
      </c>
      <c r="C4" s="2496"/>
      <c r="D4" s="2496"/>
      <c r="E4" s="2496"/>
      <c r="F4" s="2496"/>
      <c r="G4" s="2496"/>
      <c r="H4" s="2496"/>
      <c r="I4" s="2496"/>
      <c r="J4" s="2496"/>
      <c r="K4" s="2496"/>
      <c r="L4" s="1377"/>
    </row>
    <row r="5" spans="1:12" ht="5.25" customHeight="1" x14ac:dyDescent="0.2">
      <c r="B5" s="1260" t="s">
        <v>1231</v>
      </c>
      <c r="C5" s="1260"/>
      <c r="L5" s="322"/>
    </row>
    <row r="6" spans="1:12" ht="30.75" customHeight="1" x14ac:dyDescent="0.2">
      <c r="A6" s="322"/>
      <c r="B6" s="2505" t="s">
        <v>1375</v>
      </c>
      <c r="C6" s="2505"/>
      <c r="D6" s="2505"/>
      <c r="E6" s="2505"/>
      <c r="F6" s="2505"/>
      <c r="G6" s="2505"/>
      <c r="H6" s="2505"/>
      <c r="I6" s="2505"/>
      <c r="J6" s="2505"/>
      <c r="K6" s="250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7"/>
      <c r="G12" s="2487"/>
      <c r="H12" s="2487"/>
      <c r="I12" s="2487"/>
      <c r="J12" s="2487"/>
      <c r="K12" s="2487"/>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0"/>
      <c r="E14" s="2500"/>
      <c r="F14" s="2500"/>
      <c r="H14" s="1475" t="s">
        <v>1370</v>
      </c>
      <c r="I14" s="2501"/>
      <c r="J14" s="2501"/>
      <c r="K14" s="250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1"/>
      <c r="E16" s="2501"/>
      <c r="F16" s="2501"/>
      <c r="G16" s="2501"/>
      <c r="H16" s="2501"/>
      <c r="I16" s="2501"/>
      <c r="J16" s="2501"/>
      <c r="K16" s="2501"/>
      <c r="L16" s="322"/>
    </row>
    <row r="17" spans="2:12" ht="13.5" customHeight="1" x14ac:dyDescent="0.2">
      <c r="B17" s="1387" t="s">
        <v>1368</v>
      </c>
      <c r="C17" s="1387"/>
      <c r="D17" s="2502"/>
      <c r="E17" s="2502"/>
      <c r="F17" s="2502"/>
      <c r="G17" s="2502"/>
      <c r="H17" s="2502"/>
      <c r="I17" s="2502"/>
      <c r="J17" s="2502"/>
      <c r="K17" s="250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5"/>
      <c r="C20" s="2495"/>
      <c r="D20" s="2495"/>
      <c r="E20" s="2495"/>
      <c r="F20" s="2495"/>
      <c r="G20" s="2495"/>
      <c r="H20" s="2495"/>
      <c r="I20" s="2495"/>
      <c r="J20" s="2495"/>
      <c r="K20" s="2495"/>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0" t="str">
        <f>'Single Audit Cover'!A7</f>
        <v>Cornell CCSD 426</v>
      </c>
      <c r="C1" s="2480"/>
      <c r="D1" s="2480"/>
      <c r="E1" s="1491"/>
    </row>
    <row r="2" spans="2:5" s="1282" customFormat="1" ht="12.75" customHeight="1" x14ac:dyDescent="0.2">
      <c r="B2" s="2482">
        <f>'Single Audit Cover'!E7</f>
        <v>17053426004</v>
      </c>
      <c r="C2" s="2482"/>
      <c r="D2" s="2482"/>
      <c r="E2" s="1492"/>
    </row>
    <row r="3" spans="2:5" ht="12.75" customHeight="1" x14ac:dyDescent="0.2">
      <c r="B3" s="2496" t="s">
        <v>1869</v>
      </c>
      <c r="C3" s="2496"/>
      <c r="D3" s="2496"/>
      <c r="E3" s="1274"/>
    </row>
    <row r="4" spans="2:5" s="1282" customFormat="1" ht="12.75" customHeight="1" x14ac:dyDescent="0.2">
      <c r="B4" s="2506" t="str">
        <f>'Single Audit Cover'!A4</f>
        <v>Year Ending June 30, 2018</v>
      </c>
      <c r="C4" s="2506"/>
      <c r="D4" s="250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purl.org/dc/elements/1.1/"/>
    <ds:schemaRef ds:uri="http://purl.org/dc/dcmitype/"/>
    <ds:schemaRef ds:uri="http://schemas.openxmlformats.org/package/2006/metadata/core-properties"/>
    <ds:schemaRef ds:uri="http://schemas.microsoft.com/office/2006/documentManagement/types"/>
    <ds:schemaRef ds:uri="6ce3111e-7420-4802-b50a-75d4e9a0b980"/>
    <ds:schemaRef ds:uri="http://purl.org/dc/terms/"/>
    <ds:schemaRef ds:uri="http://schemas.microsoft.com/office/infopath/2007/PartnerControls"/>
    <ds:schemaRef ds:uri="http://www.w3.org/XML/1998/namespace"/>
    <ds:schemaRef ds:uri="d21dc803-237d-4c68-8692-8d731fd29118"/>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2018-10-11T20:37:39Z</cp:lastPrinted>
  <dcterms:created xsi:type="dcterms:W3CDTF">2003-10-29T19:06:34Z</dcterms:created>
  <dcterms:modified xsi:type="dcterms:W3CDTF">2018-10-12T18:16:11Z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