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0"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27" i="183" l="1"/>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48" i="127"/>
  <c r="B49" i="127"/>
  <c r="D26" i="108"/>
  <c r="E26" i="108"/>
  <c r="F26" i="108"/>
  <c r="G26" i="108"/>
  <c r="D27" i="108"/>
  <c r="E27" i="108"/>
  <c r="F27" i="108"/>
  <c r="G27"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C45" i="34"/>
  <c r="D45" i="34"/>
  <c r="F45" i="34"/>
  <c r="C46" i="34"/>
  <c r="D46" i="34"/>
  <c r="F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K274" i="5" s="1"/>
  <c r="B4951" i="106"/>
  <c r="D4951" i="106" s="1"/>
  <c r="C184" i="5"/>
  <c r="B5232" i="106"/>
  <c r="D5232" i="106" s="1"/>
  <c r="D184" i="5"/>
  <c r="F127" i="34" s="1"/>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c r="B2056" i="106" s="1"/>
  <c r="D2056" i="106" s="1"/>
  <c r="D4" i="7"/>
  <c r="B1760" i="106" s="1"/>
  <c r="D1760" i="106" s="1"/>
  <c r="D5" i="7"/>
  <c r="B1761" i="106" s="1"/>
  <c r="D1761" i="106" s="1"/>
  <c r="D13" i="7"/>
  <c r="B3726" i="106" s="1"/>
  <c r="D3726" i="106" s="1"/>
  <c r="F131" i="34"/>
  <c r="F128" i="34"/>
  <c r="B5752" i="106"/>
  <c r="D5752" i="106" s="1"/>
  <c r="B5599" i="106"/>
  <c r="D5599" i="106" s="1"/>
  <c r="D7" i="7"/>
  <c r="B1763" i="106" s="1"/>
  <c r="D1763" i="106" s="1"/>
  <c r="D12" i="7"/>
  <c r="B1769" i="106" s="1"/>
  <c r="D1769" i="106" s="1"/>
  <c r="D15" i="7"/>
  <c r="B1772" i="106" s="1"/>
  <c r="D1772" i="106" s="1"/>
  <c r="G173" i="5" l="1"/>
  <c r="B5778" i="106" s="1"/>
  <c r="D5778" i="106" s="1"/>
  <c r="B5770" i="106"/>
  <c r="D5770" i="106" s="1"/>
  <c r="F106" i="34"/>
  <c r="H109" i="5"/>
  <c r="B6025" i="106" s="1"/>
  <c r="D6025" i="106" s="1"/>
  <c r="G109" i="5"/>
  <c r="B6024" i="106" s="1"/>
  <c r="D6024" i="106" s="1"/>
  <c r="J352" i="29"/>
  <c r="B5096" i="106"/>
  <c r="D5096" i="106" s="1"/>
  <c r="F34" i="34"/>
  <c r="J210" i="29"/>
  <c r="B7072" i="106" s="1"/>
  <c r="D7072" i="106" s="1"/>
  <c r="D17" i="7"/>
  <c r="B4104" i="106" s="1"/>
  <c r="D4104" i="106" s="1"/>
  <c r="B1746" i="106"/>
  <c r="D1746" i="106" s="1"/>
  <c r="D9" i="7"/>
  <c r="B1767" i="106" s="1"/>
  <c r="D1767" i="106" s="1"/>
  <c r="D5" i="4"/>
  <c r="B3406" i="106" s="1"/>
  <c r="D3406" i="106" s="1"/>
  <c r="F50" i="34"/>
  <c r="F44" i="34"/>
  <c r="C342" i="29"/>
  <c r="B7216" i="106" s="1"/>
  <c r="D7216" i="106" s="1"/>
  <c r="G352" i="29"/>
  <c r="F21" i="8"/>
  <c r="F77" i="4"/>
  <c r="B3255" i="106" s="1"/>
  <c r="D3255" i="106" s="1"/>
  <c r="I24" i="12"/>
  <c r="L15" i="11"/>
  <c r="B3459" i="106" s="1"/>
  <c r="D3459" i="106" s="1"/>
  <c r="H173" i="5"/>
  <c r="F111" i="34"/>
  <c r="D109" i="5"/>
  <c r="B5356" i="106" s="1"/>
  <c r="D5356" i="106" s="1"/>
  <c r="F136" i="34"/>
  <c r="F172" i="5"/>
  <c r="B5644" i="106" s="1"/>
  <c r="D5644" i="106" s="1"/>
  <c r="B6191" i="106"/>
  <c r="D6191" i="106" s="1"/>
  <c r="J41" i="3"/>
  <c r="F130" i="34"/>
  <c r="I173" i="5"/>
  <c r="B4216" i="106" s="1"/>
  <c r="D4216" i="106" s="1"/>
  <c r="L367" i="29"/>
  <c r="B3621" i="106"/>
  <c r="D3621" i="106" s="1"/>
  <c r="C367" i="29"/>
  <c r="B1223" i="106"/>
  <c r="D1223" i="106" s="1"/>
  <c r="K24" i="12"/>
  <c r="B7733" i="106" s="1"/>
  <c r="D7733" i="106" s="1"/>
  <c r="H365" i="29"/>
  <c r="K76" i="4"/>
  <c r="B3586" i="106" s="1"/>
  <c r="D3586" i="106" s="1"/>
  <c r="B3649" i="106"/>
  <c r="D3649" i="106" s="1"/>
  <c r="G367" i="29"/>
  <c r="B3650" i="106" s="1"/>
  <c r="D3650" i="106" s="1"/>
  <c r="K285" i="29"/>
  <c r="E174" i="29"/>
  <c r="B1309" i="106" s="1"/>
  <c r="D1309" i="106" s="1"/>
  <c r="D6103" i="106"/>
  <c r="K350" i="29"/>
  <c r="B3670" i="106" s="1"/>
  <c r="D3670" i="106" s="1"/>
  <c r="F19" i="7"/>
  <c r="B1807" i="106" s="1"/>
  <c r="D1807" i="106" s="1"/>
  <c r="D31" i="36"/>
  <c r="H29" i="118"/>
  <c r="K28" i="118" s="1"/>
  <c r="O27" i="118" s="1"/>
  <c r="O29" i="118" s="1"/>
  <c r="D11" i="37"/>
  <c r="L13" i="11"/>
  <c r="B2060" i="106" s="1"/>
  <c r="D2060" i="106" s="1"/>
  <c r="N22" i="3"/>
  <c r="B283" i="106" s="1"/>
  <c r="D283" i="106" s="1"/>
  <c r="E28" i="108"/>
  <c r="F38" i="34"/>
  <c r="C172" i="5"/>
  <c r="C109" i="5"/>
  <c r="B5121" i="106" s="1"/>
  <c r="D5121" i="106" s="1"/>
  <c r="L312" i="29"/>
  <c r="E109" i="5"/>
  <c r="E4" i="4" s="1"/>
  <c r="B2630" i="106" s="1"/>
  <c r="D2630" i="106" s="1"/>
  <c r="D4" i="4"/>
  <c r="B2564" i="106" s="1"/>
  <c r="D2564" i="106" s="1"/>
  <c r="B1329" i="106"/>
  <c r="D1329" i="106" s="1"/>
  <c r="F61" i="34"/>
  <c r="I210" i="29"/>
  <c r="K184" i="29"/>
  <c r="F13" i="4" s="1"/>
  <c r="B2596" i="106" s="1"/>
  <c r="D2596" i="106" s="1"/>
  <c r="G210" i="29"/>
  <c r="B1410" i="106"/>
  <c r="D1410" i="106" s="1"/>
  <c r="G4" i="4"/>
  <c r="B2603" i="106" s="1"/>
  <c r="D2603" i="106" s="1"/>
  <c r="H4" i="4"/>
  <c r="B2655" i="106" s="1"/>
  <c r="D2655" i="106" s="1"/>
  <c r="D11" i="7"/>
  <c r="B1768" i="106" s="1"/>
  <c r="D17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7270" i="106"/>
  <c r="D7254" i="106" l="1"/>
  <c r="B1879" i="106"/>
  <c r="D1879" i="106" s="1"/>
  <c r="H22" i="37"/>
  <c r="J367" i="29"/>
  <c r="B7245" i="106" s="1"/>
  <c r="D7245" i="106" s="1"/>
  <c r="B7235" i="106"/>
  <c r="D7235" i="106" s="1"/>
  <c r="D274" i="5"/>
  <c r="D7" i="4" s="1"/>
  <c r="D7255" i="106"/>
  <c r="B3628" i="106"/>
  <c r="D3628" i="106" s="1"/>
  <c r="D7256" i="106"/>
  <c r="D7251" i="106"/>
  <c r="D7250" i="106"/>
  <c r="F274" i="5"/>
  <c r="I6" i="4"/>
  <c r="B5011" i="106" s="1"/>
  <c r="D5011" i="106" s="1"/>
  <c r="F173" i="5"/>
  <c r="F275" i="5" s="1"/>
  <c r="B5720" i="106" s="1"/>
  <c r="D5720" i="106" s="1"/>
  <c r="K26" i="12"/>
  <c r="B7743" i="106" s="1"/>
  <c r="D7743" i="106" s="1"/>
  <c r="B1996" i="106"/>
  <c r="D1996" i="106" s="1"/>
  <c r="I26" i="12"/>
  <c r="B7741" i="106" s="1"/>
  <c r="D7741" i="106" s="1"/>
  <c r="K352" i="29"/>
  <c r="N23" i="3"/>
  <c r="B284" i="106" s="1"/>
  <c r="D284" i="106" s="1"/>
  <c r="K365" i="29"/>
  <c r="D7253" i="106"/>
  <c r="F73" i="34"/>
  <c r="G15" i="4"/>
  <c r="B6032" i="106" s="1"/>
  <c r="D6032" i="106" s="1"/>
  <c r="H367" i="29"/>
  <c r="B3660" i="106" s="1"/>
  <c r="D3660" i="106" s="1"/>
  <c r="B7242" i="106"/>
  <c r="D7242" i="106" s="1"/>
  <c r="H275" i="5"/>
  <c r="B5915" i="106" s="1"/>
  <c r="D5915" i="106" s="1"/>
  <c r="B5906" i="106"/>
  <c r="D5906" i="106" s="1"/>
  <c r="H6" i="4"/>
  <c r="L16" i="11"/>
  <c r="B2061" i="106" s="1"/>
  <c r="D2061" i="106" s="1"/>
  <c r="C114" i="29"/>
  <c r="B757" i="106" s="1"/>
  <c r="D757" i="106" s="1"/>
  <c r="B5214" i="106"/>
  <c r="D5214" i="106" s="1"/>
  <c r="C173" i="5"/>
  <c r="D19" i="7"/>
  <c r="B1775" i="106" s="1"/>
  <c r="D1775" i="106" s="1"/>
  <c r="C4" i="4"/>
  <c r="B2551" i="106" s="1"/>
  <c r="D2551" i="106" s="1"/>
  <c r="L114" i="29"/>
  <c r="B1317" i="106"/>
  <c r="D1317" i="106" s="1"/>
  <c r="B7071" i="106"/>
  <c r="D7071" i="106" s="1"/>
  <c r="F66" i="34"/>
  <c r="B1365" i="106"/>
  <c r="D1365" i="106" s="1"/>
  <c r="F65" i="34"/>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J8" i="4"/>
  <c r="B5507" i="106"/>
  <c r="D5507" i="106" s="1"/>
  <c r="B7298" i="106"/>
  <c r="B7299" i="106"/>
  <c r="B7224" i="106" l="1"/>
  <c r="D7224" i="106" s="1"/>
  <c r="K13" i="4"/>
  <c r="B3572" i="106" s="1"/>
  <c r="D3572" i="106" s="1"/>
  <c r="B3672" i="106"/>
  <c r="D3672" i="106" s="1"/>
  <c r="F6" i="4"/>
  <c r="B5653" i="106"/>
  <c r="D5653" i="106" s="1"/>
  <c r="K367" i="29"/>
  <c r="B2656" i="106"/>
  <c r="D2656" i="106" s="1"/>
  <c r="H8" i="4"/>
  <c r="B1145" i="106"/>
  <c r="D1145" i="106" s="1"/>
  <c r="B5223" i="106"/>
  <c r="D5223" i="106" s="1"/>
  <c r="C6" i="4"/>
  <c r="B2553" i="106" s="1"/>
  <c r="D2553" i="106" s="1"/>
  <c r="E41" i="108"/>
  <c r="E44" i="108" s="1"/>
  <c r="E45" i="108" s="1"/>
  <c r="G41" i="108"/>
  <c r="G44" i="108" s="1"/>
  <c r="G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593" i="106" l="1"/>
  <c r="D2593" i="106" s="1"/>
  <c r="F8" i="4"/>
  <c r="D8" i="4"/>
  <c r="D10" i="4" s="1"/>
  <c r="B4123" i="106" s="1"/>
  <c r="D4123" i="106" s="1"/>
  <c r="B2658" i="106"/>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D8" i="146" l="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<sst xmlns="http://schemas.openxmlformats.org/spreadsheetml/2006/main" count="5171" uniqueCount="2152">
  <si>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</si>
  <si>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</si>
  <si>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</si>
  <si>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</si>
  <si>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</si>
  <si>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</si>
  <si>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</si>
  <si>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</si>
  <si>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</si>
  <si>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</si>
  <si>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</si>
  <si>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</si>
  <si>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</si>
  <si>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</si>
  <si>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</si>
  <si>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</si>
  <si>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</si>
  <si>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</si>
  <si>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</si>
  <si>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</si>
  <si>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</si>
  <si>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</si>
  <si>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</si>
  <si>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</si>
  <si>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</si>
  <si>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</si>
  <si>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</si>
  <si>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</si>
  <si>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</si>
  <si>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</si>
  <si>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</si>
  <si>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</si>
  <si>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</si>
  <si>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</si>
  <si>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</si>
  <si>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</si>
  <si>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</si>
  <si>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</si>
  <si>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</si>
  <si>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</si>
  <si>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</si>
  <si>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</si>
  <si>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</si>
  <si>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</si>
  <si>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</si>
  <si>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</si>
  <si>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</si>
  <si>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</si>
  <si>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</si>
  <si>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</si>
  <si>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</si>
  <si>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</si>
  <si>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</si>
  <si>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</si>
  <si>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</si>
  <si>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</si>
  <si>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</si>
  <si>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</si>
  <si>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</si>
  <si>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</si>
  <si>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</si>
  <si>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</si>
  <si>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</si>
  <si>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</si>
  <si>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</si>
  <si>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</si>
  <si>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</si>
  <si>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</si>
  <si>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</si>
  <si>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</si>
  <si>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</si>
  <si>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</si>
  <si>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</si>
  <si>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</si>
  <si>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</si>
  <si>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</si>
  <si>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</si>
  <si>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</si>
  <si>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</si>
  <si>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</si>
  <si>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</si>
  <si>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</si>
  <si>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</si>
  <si>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</si>
  <si>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</si>
  <si>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</si>
  <si>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</si>
  <si>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</si>
  <si>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</si>
  <si>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</si>
  <si>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</si>
  <si>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</si>
  <si>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</si>
  <si>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</si>
  <si>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</si>
  <si>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</si>
  <si>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</si>
  <si>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</si>
  <si>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</si>
  <si>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</si>
  <si>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</si>
  <si>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</si>
  <si>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</si>
  <si>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</si>
  <si>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</si>
  <si>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</si>
  <si>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</si>
  <si>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</si>
  <si>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</si>
  <si>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</si>
  <si>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</si>
  <si>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</si>
  <si>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</si>
  <si>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</si>
  <si>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</si>
  <si>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</si>
  <si>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</si>
  <si>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</si>
  <si>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</si>
  <si>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</si>
  <si>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</si>
  <si>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</si>
  <si>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</si>
  <si>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</si>
  <si>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</si>
  <si>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</si>
  <si>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</si>
  <si>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</si>
  <si>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</si>
  <si>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</si>
  <si>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</si>
  <si>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</si>
  <si>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</si>
  <si>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</si>
  <si>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</si>
  <si>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</si>
  <si>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</si>
  <si>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</si>
  <si>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</si>
  <si>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</si>
  <si>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</si>
  <si>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</si>
  <si>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</si>
  <si>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</si>
  <si>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</si>
  <si>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</si>
  <si>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</si>
  <si>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</si>
  <si>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</si>
  <si>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</si>
  <si>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</si>
  <si>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</si>
  <si>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</si>
  <si>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</si>
  <si>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</si>
  <si>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</si>
  <si>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</si>
  <si>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</si>
  <si>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</si>
  <si>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</si>
  <si>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</si>
  <si>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</si>
  <si>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</si>
  <si>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</si>
  <si>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</si>
  <si>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</si>
  <si>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</si>
  <si>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</si>
  <si>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</si>
  <si>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</si>
  <si>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</si>
  <si>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</si>
  <si>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</si>
  <si>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</si>
  <si>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</si>
  <si>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</si>
  <si>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</si>
  <si>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</si>
  <si>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</si>
  <si>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</si>
  <si>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</si>
  <si>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</si>
  <si>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</si>
  <si>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</si>
  <si>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</si>
  <si>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</si>
  <si>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</si>
  <si>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</si>
  <si>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</si>
  <si>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</si>
  <si>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</si>
  <si>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</si>
  <si>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</si>
  <si>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</si>
  <si>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</si>
  <si>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</si>
  <si>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</si>
  <si>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</si>
  <si>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</si>
  <si>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</si>
  <si>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</si>
  <si>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</si>
  <si>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</si>
  <si>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</si>
  <si>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</si>
  <si>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</si>
  <si>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</si>
  <si>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</si>
  <si>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</si>
  <si>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</si>
  <si>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</si>
  <si>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</si>
  <si>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</si>
  <si>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</si>
  <si>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</si>
  <si>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</si>
  <si>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</si>
  <si>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</si>
  <si>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</si>
  <si>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</si>
  <si>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</si>
  <si>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</si>
  <si>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</si>
  <si>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</si>
  <si>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</si>
  <si>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</si>
  <si>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</si>
  <si>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</si>
  <si>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</si>
  <si>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</si>
  <si>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</si>
  <si>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</si>
  <si>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</si>
  <si>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</si>
  <si>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</si>
  <si>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</si>
  <si>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</si>
  <si>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</si>
  <si>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</si>
  <si>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</si>
  <si>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</si>
  <si>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</si>
  <si>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</si>
  <si>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</si>
  <si>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</si>
  <si>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</si>
  <si>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</si>
  <si>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</si>
  <si>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</si>
  <si>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</si>
  <si>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</si>
  <si>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</si>
  <si>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</si>
  <si>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</si>
  <si>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</si>
  <si>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</si>
  <si>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</si>
  <si>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</si>
  <si>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</si>
  <si>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</si>
  <si>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</si>
  <si>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</si>
  <si>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</si>
  <si>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</si>
  <si>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</si>
  <si>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</si>
  <si>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</si>
  <si>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</si>
  <si>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</si>
  <si>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</si>
  <si>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</si>
  <si>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</si>
  <si>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</si>
  <si>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</si>
  <si>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</si>
  <si>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</si>
  <si>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</si>
  <si>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</si>
  <si>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</si>
  <si>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</si>
  <si>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</si>
  <si>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</si>
  <si>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</si>
  <si>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</si>
  <si>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</si>
  <si>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</si>
  <si>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</si>
  <si>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</si>
  <si>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</si>
  <si>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</si>
  <si>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</si>
  <si>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</si>
  <si>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</si>
  <si>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</si>
  <si>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</si>
  <si>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</si>
  <si>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</si>
  <si>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</si>
  <si>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</si>
  <si>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</si>
  <si>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</si>
  <si>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</si>
  <si>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</si>
  <si>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</si>
  <si>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</si>
  <si>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</si>
  <si>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</si>
  <si>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</si>
  <si>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</si>
  <si>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</si>
  <si>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</si>
  <si>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</si>
  <si>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</si>
  <si>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</si>
  <si>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</si>
  <si>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</si>
  <si>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</si>
  <si>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</si>
  <si>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</si>
  <si>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</si>
  <si>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</si>
  <si>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</si>
  <si>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</si>
  <si>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</si>
  <si>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</si>
  <si>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</si>
  <si>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</si>
  <si>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</si>
  <si>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</si>
  <si>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</si>
  <si>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</si>
  <si>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</si>
  <si>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</si>
  <si>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</si>
  <si>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</si>
  <si>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</si>
  <si>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</si>
  <si>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</si>
  <si>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</si>
  <si>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</si>
  <si>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</si>
  <si>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</si>
  <si>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</si>
  <si>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</si>
  <si>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</si>
  <si>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</si>
  <si>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</si>
  <si>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</si>
  <si>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</si>
  <si>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</si>
  <si>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</si>
  <si>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</si>
  <si>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</si>
  <si>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</si>
  <si>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</si>
  <si>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</si>
  <si>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</si>
  <si>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</si>
  <si>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</si>
  <si>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</si>
  <si>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</si>
  <si>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</si>
  <si>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</si>
  <si>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</si>
  <si>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</si>
  <si>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</si>
  <si>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</si>
  <si>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</si>
  <si>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</si>
  <si>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</si>
  <si>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</si>
  <si>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</si>
  <si>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</si>
  <si>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</si>
  <si>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</si>
  <si>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</si>
  <si>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</si>
  <si>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</si>
  <si>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</si>
  <si>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</si>
  <si>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</si>
  <si>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</si>
  <si>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</si>
  <si>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</si>
  <si>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</si>
  <si>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</si>
  <si>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</si>
  <si>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</si>
  <si>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</si>
  <si>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</si>
  <si>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</si>
  <si>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</si>
  <si>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</si>
  <si>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</si>
  <si>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</si>
  <si>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</si>
  <si>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</si>
  <si>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</si>
  <si>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</si>
  <si>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</si>
  <si>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</si>
  <si>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</si>
  <si>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</si>
  <si>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</si>
  <si>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</si>
  <si>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</si>
  <si>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</si>
  <si>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</si>
  <si>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</si>
  <si>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</si>
  <si>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</si>
  <si>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</si>
  <si>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</si>
  <si>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</si>
  <si>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</si>
  <si>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</si>
  <si>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</si>
  <si>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</si>
  <si>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</si>
  <si>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</si>
  <si>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</si>
  <si>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</si>
  <si>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</si>
  <si>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</si>
  <si>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</si>
  <si>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</si>
  <si>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</si>
  <si>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</si>
  <si>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</si>
  <si>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</si>
  <si>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</si>
  <si>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</si>
  <si>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</si>
  <si>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</si>
  <si>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</si>
  <si>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</si>
  <si>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</si>
  <si>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</si>
  <si>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</si>
  <si>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</si>
  <si>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</si>
  <si>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</si>
  <si>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</si>
  <si>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</si>
  <si>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</si>
  <si>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</si>
  <si>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</si>
  <si>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</si>
  <si>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</si>
  <si>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</si>
  <si>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</si>
  <si>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</si>
  <si>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</si>
  <si>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</si>
  <si>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</si>
  <si>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</si>
  <si>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</si>
  <si>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</si>
  <si>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</si>
  <si>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</si>
  <si>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</si>
  <si>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</si>
  <si>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</si>
  <si>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</si>
  <si>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</si>
  <si>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</si>
  <si>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</si>
  <si>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</si>
  <si>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</si>
  <si>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</si>
  <si>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</si>
  <si>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</si>
  <si>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</si>
  <si>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</si>
  <si>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</si>
  <si>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</si>
  <si>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</si>
  <si>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</si>
  <si>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</si>
  <si>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</si>
  <si>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</si>
  <si>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</si>
  <si>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</si>
  <si>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</si>
  <si>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</si>
  <si>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</si>
  <si>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</si>
  <si>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</si>
  <si>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</si>
  <si>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</si>
  <si>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</si>
  <si>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</si>
  <si>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</si>
  <si>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</si>
  <si>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</si>
  <si>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</si>
  <si>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</si>
  <si>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</si>
  <si>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</si>
  <si>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</si>
  <si>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</si>
  <si>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</si>
  <si>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</si>
  <si>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</si>
  <si>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</si>
  <si>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</si>
  <si>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</si>
  <si>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</si>
  <si>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</si>
  <si>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</si>
  <si>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</si>
  <si>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</si>
  <si>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</si>
  <si>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</si>
  <si>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</si>
  <si>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</si>
  <si>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</si>
  <si>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</si>
  <si>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</si>
  <si>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</si>
  <si>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</si>
  <si>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</si>
  <si>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</si>
  <si>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</si>
  <si>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</si>
  <si>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</si>
  <si>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</si>
  <si>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</si>
  <si>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</si>
  <si>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</si>
  <si>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</si>
  <si>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</si>
  <si>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</si>
  <si>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</si>
  <si>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</si>
  <si>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</si>
  <si>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</si>
  <si>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</si>
  <si>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</si>
  <si>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</si>
  <si>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</si>
  <si>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</si>
  <si>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</si>
  <si>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</si>
  <si>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</si>
  <si>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</si>
  <si>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</si>
  <si>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</si>
  <si>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</si>
  <si>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</si>
  <si>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</si>
  <si>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</si>
  <si>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</si>
  <si>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</si>
  <si>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</si>
  <si>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</si>
  <si>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</si>
  <si>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</si>
  <si>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</si>
  <si>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</si>
  <si>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</si>
  <si>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</si>
  <si>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</si>
  <si>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</si>
  <si>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</si>
  <si>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</si>
  <si>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</si>
  <si>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</si>
  <si>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</si>
  <si>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</si>
  <si>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</si>
  <si>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</si>
  <si>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</si>
  <si>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</si>
  <si>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</si>
  <si>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</si>
  <si>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</si>
  <si>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</si>
  <si>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</si>
  <si>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</si>
  <si>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</si>
  <si>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</si>
  <si>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</si>
  <si>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</si>
  <si>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</si>
  <si>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</si>
  <si>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</si>
  <si>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</si>
  <si>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</si>
  <si>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</si>
  <si>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</si>
  <si>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</si>
  <si>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</si>
  <si>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</si>
  <si>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</si>
  <si>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</si>
  <si>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</si>
  <si>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</si>
  <si>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</si>
  <si>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</si>
  <si>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</si>
  <si>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</si>
  <si>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</si>
  <si>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</si>
  <si>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</si>
  <si>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</si>
  <si>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</si>
  <si>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</si>
  <si>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</si>
  <si>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</si>
  <si>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</si>
  <si>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</si>
  <si>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</si>
  <si>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</si>
  <si>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</si>
  <si>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</si>
  <si>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</si>
  <si>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</si>
  <si>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</si>
  <si>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</si>
  <si>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</si>
  <si>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</si>
  <si>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</si>
  <si>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</si>
  <si>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</si>
  <si>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</si>
  <si>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</si>
  <si>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</si>
  <si>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</si>
  <si>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</si>
  <si>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</si>
  <si>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</si>
  <si>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</si>
  <si>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</si>
  <si>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</si>
  <si>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</si>
  <si>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</si>
  <si>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</si>
  <si>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</si>
  <si>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</si>
  <si>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</si>
  <si>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</si>
  <si>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</si>
  <si>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</si>
  <si>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</si>
  <si>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</si>
  <si>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</si>
  <si>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</si>
  <si>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</si>
  <si>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</si>
  <si>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</si>
  <si>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</si>
  <si>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</si>
  <si>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</si>
  <si>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</si>
  <si>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</si>
  <si>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</si>
  <si>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</si>
  <si>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</si>
  <si>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</si>
  <si>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</si>
  <si>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</si>
  <si>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</si>
  <si>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</si>
  <si>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</si>
  <si>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</si>
  <si>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</si>
  <si>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</si>
  <si>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</si>
  <si>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</si>
  <si>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</si>
  <si>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</si>
  <si>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</si>
  <si>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</si>
  <si>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</si>
  <si>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</si>
  <si>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</si>
  <si>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</si>
  <si>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</si>
  <si>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</si>
  <si>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</si>
  <si>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</si>
  <si>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</si>
  <si>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</si>
  <si>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</si>
  <si>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</si>
  <si>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</si>
  <si>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</si>
  <si>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</si>
  <si>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</si>
  <si>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</si>
  <si>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</si>
  <si>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</si>
  <si>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</si>
  <si>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</si>
  <si>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</si>
  <si>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</si>
  <si>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</si>
  <si>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</si>
  <si>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</si>
  <si>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</si>
  <si>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</si>
  <si>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</si>
  <si>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</si>
  <si>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</si>
  <si>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</si>
  <si>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</si>
  <si>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</si>
  <si>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</si>
  <si>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</si>
  <si>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</si>
  <si>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</si>
  <si>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</si>
  <si>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</si>
  <si>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</si>
  <si>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</si>
  <si>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</si>
  <si>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</si>
  <si>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</si>
  <si>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</si>
  <si>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</si>
  <si>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</si>
  <si>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</si>
  <si>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</si>
  <si>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</si>
  <si>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</si>
  <si>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</si>
  <si>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</si>
  <si>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</si>
  <si>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</si>
  <si>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</si>
  <si>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</si>
  <si>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</si>
  <si>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</si>
  <si>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</si>
  <si>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</si>
  <si>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</si>
  <si>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</si>
  <si>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</si>
  <si>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</si>
  <si>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</si>
  <si>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</si>
  <si>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</si>
  <si>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</si>
  <si>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</si>
  <si>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</si>
  <si>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</si>
  <si>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</si>
  <si>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</si>
  <si>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</si>
  <si>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</si>
  <si>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</si>
  <si>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</si>
  <si>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</si>
  <si>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</si>
  <si>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</si>
  <si>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</si>
  <si>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</si>
  <si>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</si>
  <si>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</si>
  <si>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</si>
  <si>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</si>
  <si>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</si>
  <si>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</si>
  <si>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</si>
  <si>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</si>
  <si>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</si>
  <si>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</si>
  <si>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</si>
  <si>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</si>
  <si>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</si>
  <si>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</si>
  <si>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</si>
  <si>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</si>
  <si>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</si>
  <si>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</si>
  <si>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</si>
  <si>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</si>
  <si>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</si>
  <si>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</si>
  <si>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</si>
  <si>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</si>
  <si>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</si>
  <si>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</si>
  <si>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</si>
  <si>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</si>
  <si>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</si>
  <si>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</si>
  <si>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</si>
  <si>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</si>
  <si>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</si>
  <si>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</si>
  <si>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</si>
  <si>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</si>
  <si>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</si>
  <si>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</si>
  <si>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</si>
  <si>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</si>
  <si>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</si>
  <si>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</si>
  <si>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</si>
  <si>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</si>
  <si>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</si>
  <si>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</si>
  <si>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</si>
  <si>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</si>
  <si>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</si>
  <si>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</si>
  <si>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</si>
  <si>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</si>
  <si>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</si>
  <si>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</si>
  <si>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</si>
  <si>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</si>
  <si>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</si>
  <si>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</si>
  <si>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</si>
  <si>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</si>
  <si>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</si>
  <si>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</si>
  <si>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</si>
  <si>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</si>
  <si>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</si>
  <si>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</si>
  <si>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</si>
  <si>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</si>
  <si>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</si>
  <si>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</si>
  <si>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</si>
  <si>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</si>
  <si>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</si>
  <si>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</si>
  <si>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</si>
  <si>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</si>
  <si>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</si>
  <si>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</si>
  <si>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</si>
  <si>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</si>
  <si>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</si>
  <si>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</si>
  <si>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</si>
  <si>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</si>
  <si>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</si>
  <si>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</si>
  <si>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</si>
  <si>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</si>
  <si>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</si>
  <si>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</si>
  <si>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</si>
  <si>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</si>
  <si>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</si>
  <si>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</si>
  <si>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</si>
  <si>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</si>
  <si>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</si>
  <si>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</si>
  <si>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</si>
  <si>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</si>
  <si>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</si>
  <si>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</si>
  <si>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</si>
  <si>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</si>
  <si>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</si>
  <si>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</si>
  <si>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</si>
  <si>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</si>
  <si>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</si>
  <si>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</si>
  <si>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</si>
  <si>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</si>
  <si>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</si>
  <si>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</si>
  <si>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</si>
  <si>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</si>
  <si>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</si>
  <si>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</si>
  <si>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</si>
  <si>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</si>
  <si>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</si>
  <si>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</si>
  <si>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</si>
  <si>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</si>
  <si>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</si>
  <si>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</si>
  <si>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</si>
  <si>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</si>
  <si>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</si>
  <si>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</si>
  <si>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</si>
  <si>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</si>
  <si>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</si>
  <si>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</si>
  <si>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</si>
  <si>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</si>
  <si>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</si>
  <si>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</si>
  <si>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</si>
  <si>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</si>
  <si>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</si>
  <si>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</si>
  <si>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</si>
  <si>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</si>
  <si>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</si>
  <si>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</si>
  <si>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</si>
  <si>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</si>
  <si>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</si>
  <si>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</si>
  <si>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</si>
  <si>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</si>
  <si>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</si>
  <si>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</si>
  <si>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</si>
  <si>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</si>
  <si>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</si>
  <si>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</si>
  <si>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</si>
  <si>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</si>
  <si>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</si>
  <si>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</si>
  <si>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</si>
  <si>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</si>
  <si>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</si>
  <si>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</si>
  <si>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</si>
  <si>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</si>
  <si>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</si>
  <si>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</si>
  <si>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</si>
  <si>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</si>
  <si>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</si>
  <si>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</si>
  <si>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</si>
  <si>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</si>
  <si>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</si>
  <si>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</si>
  <si>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</si>
  <si>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</si>
  <si>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</si>
  <si>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</si>
  <si>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</si>
  <si>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</si>
  <si>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</si>
  <si>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</si>
  <si>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</si>
  <si>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</si>
  <si>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</si>
  <si>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</si>
  <si>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</si>
  <si>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</si>
  <si>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</si>
  <si>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</si>
  <si>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</si>
  <si>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</si>
  <si>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</si>
  <si>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</si>
  <si>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</si>
  <si>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</si>
  <si>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</si>
  <si>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</si>
  <si>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</si>
  <si>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</si>
  <si>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</si>
  <si>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</si>
  <si>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</si>
  <si>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</si>
  <si>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</si>
  <si>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</si>
  <si>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</si>
  <si>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</si>
  <si>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</si>
  <si>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</si>
  <si>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</si>
  <si>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</si>
  <si>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</si>
  <si>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</si>
  <si>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</si>
  <si>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</si>
  <si>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</si>
  <si>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</si>
  <si>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</si>
  <si>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</si>
  <si>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</si>
  <si>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</si>
  <si>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</si>
  <si>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</si>
  <si>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</si>
  <si>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</si>
  <si>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</si>
  <si>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</si>
  <si>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</si>
  <si>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</si>
  <si>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</si>
  <si>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</si>
  <si>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</si>
  <si>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</si>
  <si>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</si>
  <si>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</si>
  <si>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</si>
  <si>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</si>
  <si>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</si>
  <si>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</si>
  <si>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</si>
  <si>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</si>
  <si>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</si>
  <si>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</si>
  <si>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</si>
  <si>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</si>
  <si>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</si>
  <si>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</si>
  <si>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</si>
  <si>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</si>
  <si>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</si>
  <si>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</si>
  <si>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</si>
  <si>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</si>
  <si>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</si>
  <si>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</si>
  <si>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</si>
  <si>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</si>
  <si>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</si>
  <si>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</si>
  <si>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</si>
  <si>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</si>
  <si>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</si>
  <si>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</si>
  <si>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</si>
  <si>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</si>
  <si>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</si>
  <si>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</si>
  <si>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</si>
  <si>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</si>
  <si>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</si>
  <si>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</si>
  <si>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</si>
  <si>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</si>
  <si>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</si>
  <si>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</si>
  <si>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</si>
  <si>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</si>
  <si>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</si>
  <si>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</si>
  <si>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</si>
  <si>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</si>
  <si>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</si>
  <si>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</si>
  <si>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</si>
  <si>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</si>
  <si>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</si>
  <si>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</si>
  <si>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</si>
  <si>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</si>
  <si>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</si>
  <si>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</si>
  <si>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</si>
  <si>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</si>
  <si>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</si>
  <si>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</si>
  <si>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</si>
  <si>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</si>
  <si>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</si>
  <si>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</si>
  <si>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</si>
  <si>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</si>
  <si>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</si>
  <si>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</si>
  <si>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</si>
  <si>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</si>
  <si>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</si>
  <si>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</si>
  <si>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</si>
  <si>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</si>
  <si>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</si>
  <si>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</si>
  <si>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</si>
  <si>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</si>
  <si>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</si>
  <si>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</si>
  <si>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</si>
  <si>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</si>
  <si>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</si>
  <si>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</si>
  <si>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</si>
  <si>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</si>
  <si>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</si>
  <si>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</si>
  <si>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</si>
  <si>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</si>
  <si>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</si>
  <si>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</si>
  <si>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</si>
  <si>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</si>
  <si>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</si>
  <si>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</si>
  <si>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</si>
  <si>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</si>
  <si>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</si>
  <si>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</si>
  <si>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</si>
  <si>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</si>
  <si>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</si>
  <si>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</si>
  <si>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</si>
  <si>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</si>
  <si>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</si>
  <si>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</si>
  <si>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</si>
  <si>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</si>
  <si>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</si>
  <si>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</si>
  <si>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</si>
  <si>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</si>
  <si>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</si>
  <si>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</si>
  <si>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</si>
  <si>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</si>
  <si>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</si>
  <si>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</si>
  <si>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</si>
  <si>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</si>
  <si>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</si>
  <si>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</si>
  <si>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</si>
  <si>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</si>
  <si>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</si>
  <si>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</si>
  <si>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</si>
  <si>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</si>
  <si>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</si>
  <si>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</si>
  <si>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</si>
  <si>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</si>
  <si>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</si>
  <si>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</si>
  <si>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</si>
  <si>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</si>
  <si>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</si>
  <si>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</si>
  <si>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</si>
  <si>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</si>
  <si>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</si>
  <si>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</si>
  <si>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</si>
  <si>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</si>
  <si>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</si>
  <si>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</si>
  <si>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</si>
  <si>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</si>
  <si>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</si>
  <si>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</si>
  <si>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</si>
  <si>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</si>
  <si>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</si>
  <si>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</si>
  <si>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</si>
  <si>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</si>
  <si>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</si>
  <si>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</si>
  <si>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</si>
  <si>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</si>
  <si>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</si>
  <si>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</si>
  <si>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</si>
  <si>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</si>
  <si>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</si>
  <si>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</si>
  <si>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</si>
  <si>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</si>
  <si>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</si>
  <si>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</si>
  <si>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</si>
  <si>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</si>
  <si>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</si>
  <si>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</si>
  <si>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</si>
  <si>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</si>
  <si>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</si>
  <si>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</si>
  <si>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</si>
  <si>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</si>
  <si>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</si>
  <si>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</si>
  <si>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</si>
  <si>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</si>
  <si>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</si>
  <si>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</si>
  <si>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</si>
  <si>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</si>
  <si>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</si>
  <si>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</si>
  <si>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</si>
  <si>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</si>
  <si>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</si>
  <si>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</si>
  <si>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</si>
  <si>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</si>
  <si>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</si>
  <si>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</si>
  <si>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</si>
  <si>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</si>
  <si>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</si>
  <si>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</si>
  <si>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</si>
  <si>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</si>
  <si>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</si>
  <si>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</si>
  <si>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</si>
  <si>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</si>
  <si>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</si>
  <si>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</si>
  <si>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</si>
  <si>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</si>
  <si>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</si>
  <si>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</si>
  <si>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</si>
  <si>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</si>
  <si>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</si>
  <si>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</si>
  <si>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</si>
  <si>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</si>
  <si>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</si>
  <si>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</si>
  <si>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</si>
  <si>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</si>
  <si>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</si>
  <si>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</si>
  <si>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</si>
  <si>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</si>
  <si>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</si>
  <si>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</si>
  <si>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</si>
  <si>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</si>
  <si>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</si>
  <si>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</si>
  <si>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</si>
  <si>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</si>
  <si>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</si>
  <si>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</si>
  <si>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</si>
  <si>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</si>
  <si>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</si>
  <si>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</si>
  <si>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</si>
  <si>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</si>
  <si>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</si>
  <si>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</si>
  <si>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</si>
  <si>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</si>
  <si>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</si>
  <si>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</si>
  <si>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</si>
  <si>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</si>
  <si>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</si>
  <si>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</si>
  <si>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</si>
  <si>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</si>
  <si>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</si>
  <si>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</si>
  <si>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</si>
  <si>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</si>
  <si>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</si>
  <si>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</si>
  <si>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</si>
  <si>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</si>
  <si>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</si>
  <si>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</si>
  <si>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</si>
  <si>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</si>
  <si>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</si>
  <si>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</si>
  <si>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</si>
  <si>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</si>
  <si>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</si>
  <si>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</si>
  <si>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</si>
  <si>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</si>
  <si>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</si>
  <si>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</si>
  <si>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</si>
  <si>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</si>
  <si>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</si>
  <si>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</si>
  <si>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</si>
  <si>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</si>
  <si>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</si>
  <si>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</si>
  <si>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</si>
  <si>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</si>
  <si>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</si>
  <si>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</si>
  <si>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</si>
  <si>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</si>
  <si>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</si>
  <si>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</si>
  <si>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</si>
  <si>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</si>
  <si>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</si>
  <si>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</si>
  <si>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</si>
  <si>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</si>
  <si>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</si>
  <si>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</si>
  <si>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</si>
  <si>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</si>
  <si>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</si>
  <si>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</si>
  <si>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</si>
  <si>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</si>
  <si>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</si>
  <si>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</si>
  <si>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</si>
  <si>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</si>
  <si>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</si>
  <si>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</si>
  <si>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</si>
  <si>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</si>
  <si>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</si>
  <si>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</si>
  <si>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</si>
  <si>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</si>
  <si>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</si>
  <si>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</si>
  <si>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</si>
  <si>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</si>
  <si>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</si>
  <si>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</si>
  <si>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</si>
  <si>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</si>
  <si>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</si>
  <si>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</si>
  <si>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</si>
  <si>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</si>
  <si>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</si>
  <si>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</si>
  <si>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</si>
  <si>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</si>
  <si>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</si>
  <si>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</si>
  <si>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</si>
  <si>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</si>
  <si>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</si>
  <si>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</si>
  <si>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</si>
  <si>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</si>
  <si>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</si>
  <si>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</si>
  <si>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</si>
  <si>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</si>
  <si>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</si>
  <si>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</si>
  <si>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</si>
  <si>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</si>
  <si>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</si>
  <si>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</si>
  <si>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</si>
  <si>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</si>
  <si>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</si>
  <si>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</si>
  <si>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</si>
  <si>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</si>
  <si>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</si>
  <si>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</si>
  <si>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</si>
  <si>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</si>
  <si>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</si>
  <si>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</si>
  <si>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</si>
  <si>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</si>
  <si>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</si>
  <si>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</si>
  <si>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</si>
  <si>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</si>
  <si>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</si>
  <si>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</si>
  <si>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</si>
  <si>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</si>
  <si>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</si>
  <si>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</si>
  <si>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</si>
  <si>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</si>
  <si>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</si>
  <si>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</si>
  <si>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</si>
  <si>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</si>
  <si>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</si>
  <si>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</si>
  <si>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</si>
  <si>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</si>
  <si>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</si>
  <si>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</si>
  <si>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</si>
  <si>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</si>
  <si>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</si>
  <si>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</si>
  <si>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</si>
  <si>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</si>
  <si>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</si>
  <si>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</si>
  <si>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</si>
  <si>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</si>
  <si>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</si>
  <si>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</si>
  <si>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</si>
  <si>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</si>
  <si>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</si>
  <si>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</si>
  <si>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</si>
  <si>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</si>
  <si>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</si>
  <si>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</si>
  <si>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</si>
  <si>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</si>
  <si>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</si>
  <si>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</si>
  <si>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</si>
  <si>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</si>
  <si>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</si>
  <si>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</si>
  <si>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</si>
  <si>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</si>
  <si>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</si>
  <si>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</si>
  <si>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</si>
  <si>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</si>
  <si>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</si>
  <si>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</si>
  <si>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</si>
  <si>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</si>
  <si>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</si>
  <si>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</si>
  <si>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</si>
  <si>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</si>
  <si>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</si>
  <si>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</si>
  <si>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</si>
  <si>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</si>
  <si>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</si>
  <si>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</si>
  <si>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</si>
  <si>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</si>
  <si>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</si>
  <si>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</si>
  <si>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</si>
  <si>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</si>
  <si>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</si>
  <si>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</si>
  <si>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</si>
  <si>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</si>
  <si>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</si>
  <si>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</si>
  <si>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</si>
  <si>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</si>
  <si>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</si>
  <si>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</si>
  <si>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</si>
  <si>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</si>
  <si>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</si>
  <si>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</si>
  <si>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</si>
  <si>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</si>
  <si>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</si>
  <si>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</si>
  <si>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</si>
  <si>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</si>
  <si>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</si>
  <si>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</si>
  <si>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</si>
  <si>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</si>
  <si>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</si>
  <si>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</si>
  <si>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</si>
  <si>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</si>
  <si>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</si>
  <si>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</si>
  <si>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</si>
  <si>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</si>
  <si>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</si>
  <si>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</si>
  <si>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</si>
  <si>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</si>
  <si>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</si>
  <si>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</si>
  <si>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</si>
  <si>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</si>
  <si>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</si>
  <si>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</si>
  <si>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</si>
  <si>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</si>
  <si>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</si>
  <si>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</si>
  <si>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</si>
  <si>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</si>
  <si>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</si>
  <si>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</si>
  <si>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</si>
  <si>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</si>
  <si>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</si>
  <si>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</si>
  <si>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</si>
  <si>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</si>
  <si>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</si>
  <si>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</si>
  <si>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</si>
  <si>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</si>
  <si>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</si>
  <si>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</si>
  <si>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</si>
  <si>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</si>
  <si>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</si>
  <si>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</si>
  <si>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</si>
  <si>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</si>
  <si>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</si>
  <si>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</si>
  <si>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</si>
  <si>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</si>
  <si>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</si>
  <si>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</si>
  <si>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</si>
  <si>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</si>
  <si>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</si>
  <si>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</si>
  <si>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</si>
  <si>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</si>
  <si>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</si>
  <si>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</si>
  <si>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</si>
  <si>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</si>
  <si>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</si>
  <si>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</si>
  <si>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</si>
  <si>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</si>
  <si>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</si>
  <si>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</si>
  <si>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</si>
  <si>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</si>
  <si>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</si>
  <si>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</si>
  <si>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</si>
  <si>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</si>
  <si>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</si>
  <si>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</si>
  <si>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</si>
  <si>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</si>
  <si>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</si>
  <si>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</si>
  <si>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</si>
  <si>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</si>
  <si>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</si>
  <si>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</si>
  <si>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</si>
  <si>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</si>
  <si>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</si>
  <si>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</si>
  <si>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</si>
  <si>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</si>
  <si>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</si>
  <si>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</si>
  <si>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</si>
  <si>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</si>
  <si>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</si>
  <si>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</si>
  <si>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</si>
  <si>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</si>
  <si>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</si>
  <si>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</si>
  <si>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</si>
  <si>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</si>
  <si>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</si>
  <si>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</si>
  <si>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</si>
  <si>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</si>
  <si>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</si>
  <si>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</si>
  <si>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</si>
  <si>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</si>
  <si>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</si>
  <si>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</si>
  <si>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</si>
  <si>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</si>
  <si>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</si>
  <si>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</si>
  <si>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</si>
  <si>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</si>
  <si>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</si>
  <si>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</si>
  <si>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</si>
  <si>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</si>
  <si>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</si>
  <si>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</si>
  <si>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</si>
  <si>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</si>
  <si>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</si>
  <si>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</si>
  <si>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</si>
  <si>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</si>
  <si>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</si>
  <si>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</si>
  <si>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</si>
  <si>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</si>
  <si>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</si>
  <si>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</si>
  <si>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</si>
  <si>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</si>
  <si>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</si>
  <si>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</si>
  <si>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</si>
  <si>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</si>
  <si>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</si>
  <si>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</si>
  <si>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</si>
  <si>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</si>
  <si>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</si>
  <si>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</si>
  <si>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</si>
  <si>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</si>
  <si>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</si>
  <si>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</si>
  <si>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</si>
  <si>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</si>
  <si>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</si>
  <si>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</si>
  <si>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</si>
  <si>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</si>
  <si>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</si>
  <si>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</si>
  <si>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</si>
  <si>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</si>
  <si>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</si>
  <si>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</si>
  <si>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</si>
  <si>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</si>
  <si>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</si>
  <si>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</si>
  <si>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</si>
  <si>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</si>
  <si>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</si>
  <si>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</si>
  <si>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</si>
  <si>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</si>
  <si>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</si>
  <si>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</si>
  <si>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</si>
  <si>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</si>
  <si>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</si>
  <si>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</si>
  <si>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</si>
  <si>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</si>
  <si>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</si>
  <si>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</si>
  <si>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</si>
  <si>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</si>
  <si>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</si>
  <si>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</si>
  <si>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</si>
  <si>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</si>
  <si>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</si>
  <si>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</si>
  <si>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</si>
  <si>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</si>
  <si>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</si>
  <si>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</si>
  <si>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</si>
  <si>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</si>
  <si>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</si>
  <si>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</si>
  <si>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</si>
  <si>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</si>
  <si>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</si>
  <si>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</si>
  <si>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</si>
  <si>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</si>
  <si>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</si>
  <si>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</si>
  <si>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</si>
  <si>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</si>
  <si>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</si>
  <si>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</si>
  <si>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</si>
  <si>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</si>
  <si>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</si>
  <si>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</si>
  <si>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</si>
  <si>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</si>
  <si>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</si>
  <si>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</si>
  <si>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</si>
  <si>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</si>
  <si>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</si>
  <si>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</si>
  <si>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</si>
  <si>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</si>
  <si>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</si>
  <si>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</si>
  <si>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</si>
  <si>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</si>
  <si>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</si>
  <si>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</si>
  <si>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</si>
  <si>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</si>
  <si>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</si>
  <si>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</si>
  <si>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</si>
  <si>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</si>
  <si>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</si>
  <si>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</si>
  <si>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</si>
  <si>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</si>
  <si>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</si>
  <si>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</si>
  <si>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</si>
  <si>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</si>
  <si>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</si>
  <si>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</si>
  <si>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</si>
  <si>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</si>
  <si>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</si>
  <si>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</si>
  <si>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</si>
  <si>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</si>
  <si>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</si>
  <si>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</si>
  <si>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</si>
  <si>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</si>
  <si>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</si>
  <si>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</si>
  <si>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</si>
  <si>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</si>
  <si>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</si>
  <si>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</si>
  <si>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</si>
  <si>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</si>
  <si>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</si>
  <si>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</si>
  <si>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</si>
  <si>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</si>
  <si>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</si>
  <si>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</si>
  <si>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</si>
  <si>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</si>
  <si>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</si>
  <si>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</si>
  <si>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</si>
  <si>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</si>
  <si>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</si>
  <si>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</si>
  <si>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</si>
  <si>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</si>
  <si>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</si>
  <si>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</si>
  <si>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</si>
  <si>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</si>
  <si>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</si>
  <si>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</si>
  <si>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</si>
  <si>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</si>
  <si>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</si>
  <si>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</si>
  <si>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</si>
  <si>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</si>
  <si>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</si>
  <si>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</si>
  <si>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</si>
  <si>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</si>
  <si>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</si>
  <si>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</si>
  <si>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</si>
  <si>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</si>
  <si>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</si>
  <si>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</si>
  <si>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</si>
  <si>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</si>
  <si>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</si>
  <si>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</si>
  <si>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</si>
  <si>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</si>
  <si>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</si>
  <si>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</si>
  <si>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</si>
  <si>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</si>
  <si>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</si>
  <si>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</si>
  <si>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</si>
  <si>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</si>
  <si>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</si>
  <si>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</si>
  <si>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</si>
  <si>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</si>
  <si>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</si>
  <si>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</si>
  <si>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</si>
  <si>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</si>
  <si>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</si>
  <si>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</si>
  <si>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</si>
  <si>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</si>
  <si>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</si>
  <si>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</si>
  <si>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</si>
  <si>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</si>
  <si>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</si>
  <si>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</si>
  <si>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</si>
  <si>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</si>
  <si>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</si>
  <si>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</si>
  <si>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</si>
  <si>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</si>
  <si>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</si>
  <si>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</si>
  <si>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</si>
  <si>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</si>
  <si>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</si>
  <si>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</si>
  <si>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</si>
  <si>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</si>
  <si>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</si>
  <si>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</si>
  <si>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</si>
  <si>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</si>
  <si>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</si>
  <si>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</si>
  <si>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</si>
  <si>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</si>
  <si>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</si>
  <si>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</si>
  <si>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</si>
  <si>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</si>
  <si>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</si>
  <si>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</si>
  <si>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</si>
  <si>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</si>
  <si>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</si>
  <si>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</si>
  <si>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</si>
  <si>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</si>
  <si>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</si>
  <si>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</si>
  <si>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</si>
  <si>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</si>
  <si>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</si>
  <si>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</si>
  <si>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</si>
  <si>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</si>
  <si>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</si>
  <si>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</si>
  <si>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</si>
  <si>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</si>
  <si>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</si>
  <si>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</si>
  <si>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</si>
  <si>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</si>
  <si>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</si>
  <si>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</si>
  <si>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</si>
  <si>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</si>
  <si>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</si>
  <si>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</si>
  <si>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</si>
  <si>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</si>
  <si>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</si>
  <si>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</si>
  <si>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</si>
  <si>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</si>
  <si>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</si>
  <si>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</si>
  <si>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</si>
  <si>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</si>
  <si>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</si>
  <si>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</si>
  <si>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</si>
  <si>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</si>
  <si>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</si>
  <si>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</si>
  <si>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</si>
  <si>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</si>
  <si>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</si>
  <si>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</si>
  <si>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</si>
  <si>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</si>
  <si>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</si>
  <si>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</si>
  <si>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</si>
  <si>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</si>
  <si>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</si>
  <si>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</si>
  <si>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</si>
  <si>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</si>
  <si>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</si>
  <si>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</si>
  <si>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</si>
  <si>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</si>
  <si>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</si>
  <si>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</si>
  <si>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</si>
  <si>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</si>
  <si>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</si>
  <si>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</si>
  <si>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</si>
  <si>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</si>
  <si>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</si>
  <si>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</si>
  <si>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</si>
  <si>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</si>
  <si>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</si>
  <si>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</si>
  <si>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</si>
  <si>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</si>
  <si>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</si>
  <si>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</si>
  <si>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</si>
  <si>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</si>
  <si>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</si>
  <si>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</si>
  <si>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</si>
  <si>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</si>
  <si>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</si>
  <si>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</si>
  <si>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</si>
  <si>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</si>
  <si>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</si>
  <si>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</si>
  <si>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</si>
  <si>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</si>
  <si>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</si>
  <si>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</si>
  <si>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</si>
  <si>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</si>
  <si>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</si>
  <si>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</si>
  <si>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</si>
  <si>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</si>
  <si>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</si>
  <si>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</si>
  <si>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</si>
  <si>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</si>
  <si>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</si>
  <si>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</si>
  <si>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</si>
  <si>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</si>
  <si>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</si>
  <si>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</si>
  <si>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</si>
  <si>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</si>
  <si>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</si>
  <si>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</si>
  <si>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</si>
  <si>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</si>
  <si>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</si>
  <si>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</si>
  <si>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</si>
  <si>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</si>
  <si>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</si>
  <si>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</si>
  <si>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</si>
  <si>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</si>
  <si>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</si>
  <si>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</si>
  <si>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</si>
  <si>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</si>
  <si>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</si>
  <si>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</si>
  <si>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</si>
  <si>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</si>
  <si>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</si>
  <si>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</si>
  <si>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</si>
  <si>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</si>
  <si>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</si>
  <si>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</si>
  <si>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</si>
  <si>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</si>
  <si>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</si>
  <si>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</si>
  <si>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</si>
  <si>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</si>
  <si>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</si>
  <si>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</si>
  <si>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</si>
  <si>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</si>
  <si>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</si>
  <si>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</si>
  <si>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</si>
  <si>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</si>
  <si>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</si>
  <si>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</si>
  <si>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</si>
  <si>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</si>
  <si>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</si>
  <si>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</si>
  <si>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</si>
  <si>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</si>
  <si>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</si>
  <si>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</si>
  <si>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</si>
  <si>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</si>
  <si>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</si>
  <si>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</si>
  <si>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</si>
  <si>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</si>
  <si>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</si>
  <si>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</si>
  <si>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</si>
  <si>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</si>
  <si>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</si>
  <si>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</si>
  <si>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</si>
  <si>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</si>
  <si>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</si>
  <si>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</si>
  <si>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</si>
  <si>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</si>
  <si>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</si>
  <si>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</si>
  <si>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</si>
  <si>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</si>
  <si>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</si>
  <si>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</si>
  <si>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</si>
  <si>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</si>
  <si>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</si>
  <si>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</si>
  <si>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</si>
  <si>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</si>
  <si>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</si>
  <si>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</si>
  <si>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</si>
  <si>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</si>
  <si>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</si>
  <si>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</si>
  <si>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</si>
  <si>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</si>
  <si>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</si>
  <si>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</si>
  <si>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</si>
  <si>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</si>
  <si>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</si>
  <si>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</si>
  <si>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</si>
  <si>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</si>
  <si>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</si>
  <si>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</si>
  <si>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</si>
  <si>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</si>
  <si>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</si>
  <si>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</si>
  <si>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</si>
  <si>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</si>
  <si>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</si>
  <si>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</si>
  <si>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</si>
  <si>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</si>
  <si>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</si>
  <si>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</si>
  <si>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</si>
  <si>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</si>
  <si>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</si>
  <si>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</si>
  <si>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</si>
  <si>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</si>
  <si>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</si>
  <si>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</si>
  <si>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</si>
  <si>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</si>
  <si>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</si>
  <si>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</si>
  <si>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</si>
  <si>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</si>
  <si>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</si>
  <si>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</si>
  <si>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</si>
  <si>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</si>
  <si>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</si>
  <si>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</si>
  <si>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FLOYD &amp; ASSOCIATES, CPAs</t>
  </si>
  <si>
    <t>X</t>
  </si>
  <si>
    <t>LIVINGSTON</t>
  </si>
  <si>
    <t>JULIE M. FLOYD, CPA</t>
  </si>
  <si>
    <t>910 STATE HIGHWAY 54 EAST</t>
  </si>
  <si>
    <t>605 NORTH SEVENTH STREET</t>
  </si>
  <si>
    <t>CLINTON</t>
  </si>
  <si>
    <t>IL</t>
  </si>
  <si>
    <t>FAIRBURY</t>
  </si>
  <si>
    <t>217-935-8871</t>
  </si>
  <si>
    <t>217-935-5711</t>
  </si>
  <si>
    <t>julie.floyd@frontier.com</t>
  </si>
  <si>
    <t>PAULA CRANE</t>
  </si>
  <si>
    <t>pcrane@prairiecentral.org</t>
  </si>
  <si>
    <t>815-692-2504</t>
  </si>
  <si>
    <t>815-692-3195</t>
  </si>
  <si>
    <t>General Obligation School Bonds</t>
  </si>
  <si>
    <t>Illinois Energy Consortium</t>
  </si>
  <si>
    <t>LaSalle County Regional Office of Education</t>
  </si>
  <si>
    <t>Livingston County Special Services Unit</t>
  </si>
  <si>
    <t xml:space="preserve">Passed through the Illinoi State Board of Education </t>
  </si>
  <si>
    <t>National School Lunch</t>
  </si>
  <si>
    <t>Commodity Credit</t>
  </si>
  <si>
    <t>TOTAL U.S. DEPARTMENT OF AGRICULTURE</t>
  </si>
  <si>
    <t>U.S. DEPARTMENT OF DEFENSE:</t>
  </si>
  <si>
    <t>U.S. DEPARTMENT OF AGRICULTURE:</t>
  </si>
  <si>
    <t>U.S. DEPARTMENT OF EDUCATION</t>
  </si>
  <si>
    <t>Passed through the Illinois State Board of Education</t>
  </si>
  <si>
    <t>Title I - Low Income (M)</t>
  </si>
  <si>
    <t>Federal - Special Education - IDEA</t>
  </si>
  <si>
    <t>84.010A</t>
  </si>
  <si>
    <t>84.367A</t>
  </si>
  <si>
    <t>2017-4210</t>
  </si>
  <si>
    <t>2018--4210</t>
  </si>
  <si>
    <t>2017-4215</t>
  </si>
  <si>
    <t>2018-4215</t>
  </si>
  <si>
    <t>2017-4220</t>
  </si>
  <si>
    <t>2018-4220</t>
  </si>
  <si>
    <t>N/A</t>
  </si>
  <si>
    <t>2017-4300</t>
  </si>
  <si>
    <t>2018-4300</t>
  </si>
  <si>
    <t>2018-4620</t>
  </si>
  <si>
    <t>2017-4932</t>
  </si>
  <si>
    <t>2018-4932</t>
  </si>
  <si>
    <t>ED-Health Service-Purchased Services</t>
  </si>
  <si>
    <t>Gibson Area Hospital</t>
  </si>
  <si>
    <t>ED-Guidance-Purchased Services</t>
  </si>
  <si>
    <t>Institute for Human Resources</t>
  </si>
  <si>
    <t>ED-Special Education-Purchased Services</t>
  </si>
  <si>
    <t>Floyd &amp; Associates, CPAs</t>
  </si>
  <si>
    <t>Turning Point Therapies, Inc</t>
  </si>
  <si>
    <t>ED-Board of Education-Purchased Services</t>
  </si>
  <si>
    <t>Page 10, Line 74</t>
  </si>
  <si>
    <t xml:space="preserve">   Education Fund</t>
  </si>
  <si>
    <t xml:space="preserve">      Vendor Booth Rental</t>
  </si>
  <si>
    <t xml:space="preserve">      Outside Vendor Café Sales</t>
  </si>
  <si>
    <t xml:space="preserve">      Other Food Service Revenue</t>
  </si>
  <si>
    <t>Page 10, Line 107</t>
  </si>
  <si>
    <t xml:space="preserve">      Private Contributions</t>
  </si>
  <si>
    <t xml:space="preserve">      E-Rate Rebate</t>
  </si>
  <si>
    <t xml:space="preserve">      Miscellaneous Income</t>
  </si>
  <si>
    <t xml:space="preserve">   Transportation Fund</t>
  </si>
  <si>
    <t xml:space="preserve">      Other Revenue</t>
  </si>
  <si>
    <t>Page 12, Line 171</t>
  </si>
  <si>
    <t xml:space="preserve">      Library Grant</t>
  </si>
  <si>
    <t>Fresh Fruits and Vegetables (Non-Cash)</t>
  </si>
  <si>
    <r>
      <t>The accompanying Schedule of Expenditures of Federal Awards includes the federal grant activity of Prairie Central CUSD #8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</si>
  <si>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Of the federal expenditures presented in the schedule, Prairie Central CUSD #8 provided federal awards to subrecipients as follows:</t>
  </si>
  <si>
    <t>None</t>
  </si>
  <si>
    <r>
      <t>The following amounts were expended in the form of non-cash assistance by Prairie Central CUSD #8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</si>
  <si>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</si>
  <si>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Title I-Low Income</t>
  </si>
  <si>
    <t>TOTAL FEDERAL AWARDS</t>
  </si>
  <si>
    <t>TOTAL U.S. DEPARTMENT OF EDUCATON</t>
  </si>
  <si>
    <t>Prairie Central CUSD 8</t>
  </si>
  <si>
    <t>10-2100-300</t>
  </si>
  <si>
    <t>10-1200-300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</si>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</sst>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3" fontId="56"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2598</xdr:colOff>
          <xdr:row>3</xdr:row>
          <xdr:rowOff>7793</xdr:rowOff>
        </xdr:from>
        <xdr:to>
          <xdr:col>3</xdr:col>
          <xdr:colOff>302202</xdr:colOff>
          <xdr:row>7</xdr:row>
          <xdr:rowOff>56284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90" zoomScaleNormal="90" workbookViewId="0">
      <selection activeCell="A14" sqref="A14"/>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2075</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4"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2075</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17053008026</v>
      </c>
      <c r="B13" s="2005"/>
      <c r="C13" s="2005"/>
      <c r="D13" s="2005"/>
      <c r="E13" s="2005"/>
      <c r="F13" s="2005"/>
      <c r="G13" s="2005"/>
      <c r="H13" s="2006"/>
      <c r="I13" s="31"/>
      <c r="J13" s="30"/>
      <c r="K13" s="28"/>
      <c r="L13" s="30"/>
      <c r="M13" s="30"/>
      <c r="N13" s="30"/>
      <c r="O13" s="30"/>
      <c r="P13" s="30"/>
      <c r="Q13" s="30"/>
      <c r="R13" s="30"/>
      <c r="S13" s="30"/>
      <c r="T13" s="2009" t="s">
        <v>2074</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2076</v>
      </c>
      <c r="B15" s="2007"/>
      <c r="C15" s="2007"/>
      <c r="D15" s="2007"/>
      <c r="E15" s="2007"/>
      <c r="F15" s="2007"/>
      <c r="G15" s="2007"/>
      <c r="H15" s="2008"/>
      <c r="T15" s="1970" t="s">
        <v>2077</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2148</v>
      </c>
      <c r="B17" s="2032"/>
      <c r="C17" s="2032"/>
      <c r="D17" s="2032"/>
      <c r="E17" s="2032"/>
      <c r="F17" s="2032"/>
      <c r="G17" s="2032"/>
      <c r="H17" s="2033"/>
      <c r="T17" s="2019" t="s">
        <v>2078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2079</v>
      </c>
      <c r="B19" s="2003"/>
      <c r="C19" s="2003"/>
      <c r="D19" s="2003"/>
      <c r="E19" s="2003"/>
      <c r="F19" s="2003"/>
      <c r="G19" s="2003"/>
      <c r="H19" s="2001"/>
      <c r="I19" s="30"/>
      <c r="J19" s="99"/>
      <c r="K19" s="40"/>
      <c r="L19" s="38"/>
      <c r="M19" s="112" t="s">
        <v>333</v>
      </c>
      <c r="P19" s="27"/>
      <c r="Q19" s="27"/>
      <c r="R19" s="27"/>
      <c r="S19" s="31"/>
      <c r="T19" s="2002" t="s">
        <v>2080</v>
      </c>
      <c r="U19" s="2000"/>
      <c r="V19" s="2000"/>
      <c r="W19" s="2001"/>
      <c r="X19" s="2017" t="s">
        <v>2081</v>
      </c>
      <c r="Y19" s="2018"/>
      <c r="Z19" s="2015">
        <v>61727</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2082</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v>66.004384999999999</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61739</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2075</v>
      </c>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2086</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2087</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6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2088</v>
      </c>
      <c r="B42" s="2049"/>
      <c r="C42" s="2050"/>
      <c r="D42" s="2063" t="s">
        <v>2089</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2" sqref="L32"/>
    </sheetView>
  </sheetViews>
  <sheetFormatPr defaultColWidth="9.28515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908" t="s">
        <v>106</v>
      </c>
    </row>
    <row r="2" spans="1:6" ht="39.75" customHeight="1" x14ac:dyDescent="0.2">
      <c r="A2" s="2201" t="s">
        <v>1902</v>
      </c>
      <c r="B2" s="1550" t="s">
        <v>2034</v>
      </c>
      <c r="C2" s="715" t="s">
        <v>1907</v>
      </c>
      <c r="D2" s="715" t="s">
        <v>1908</v>
      </c>
      <c r="E2" s="715" t="s">
        <v>1909</v>
      </c>
      <c r="F2" s="715" t="s">
        <v>1910</v>
      </c>
    </row>
    <row r="3" spans="1:6" ht="12" customHeight="1" x14ac:dyDescent="0.2">
      <c r="A3" s="2202"/>
      <c r="B3" s="1547"/>
      <c r="C3" s="1548"/>
      <c r="D3" s="1549" t="s">
        <v>274</v>
      </c>
      <c r="E3" s="1548"/>
      <c r="F3" s="1549" t="s">
        <v>275</v>
      </c>
    </row>
    <row r="4" spans="1:6" ht="13.9" customHeight="1" x14ac:dyDescent="0.2">
      <c r="A4" s="716" t="s">
        <v>1217</v>
      </c>
      <c r="B4" s="1771">
        <f>'Revenues 9-14'!C5</f>
        <v>7242051</v>
      </c>
      <c r="C4" s="1546">
        <v>865314</v>
      </c>
      <c r="D4" s="1774">
        <f>B4-C4</f>
        <v>6376737</v>
      </c>
      <c r="E4" s="1546">
        <v>7376194</v>
      </c>
      <c r="F4" s="1774">
        <f>E4-C4</f>
        <v>6510880</v>
      </c>
    </row>
    <row r="5" spans="1:6" ht="13.9" customHeight="1" x14ac:dyDescent="0.2">
      <c r="A5" s="716" t="s">
        <v>925</v>
      </c>
      <c r="B5" s="1772">
        <f>'Revenues 9-14'!D5</f>
        <v>1089148</v>
      </c>
      <c r="C5" s="585">
        <v>131108</v>
      </c>
      <c r="D5" s="1775">
        <f t="shared" ref="D5:D18" si="0">B5-C5</f>
        <v>958040</v>
      </c>
      <c r="E5" s="585">
        <v>1117605</v>
      </c>
      <c r="F5" s="1775">
        <f>E5-C5</f>
        <v>986497</v>
      </c>
    </row>
    <row r="6" spans="1:6" ht="13.9" customHeight="1" x14ac:dyDescent="0.2">
      <c r="A6" s="716" t="s">
        <v>431</v>
      </c>
      <c r="B6" s="1772">
        <f>'Revenues 9-14'!E5</f>
        <v>1520070</v>
      </c>
      <c r="C6" s="585">
        <v>188425</v>
      </c>
      <c r="D6" s="1775">
        <f t="shared" si="0"/>
        <v>1331645</v>
      </c>
      <c r="E6" s="585">
        <v>1605328</v>
      </c>
      <c r="F6" s="1775">
        <f t="shared" ref="F6:F18" si="1">E6-C6</f>
        <v>1416903</v>
      </c>
    </row>
    <row r="7" spans="1:6" ht="13.9" customHeight="1" x14ac:dyDescent="0.2">
      <c r="A7" s="716" t="s">
        <v>157</v>
      </c>
      <c r="B7" s="1772">
        <f>'Revenues 9-14'!F5</f>
        <v>435661</v>
      </c>
      <c r="C7" s="585">
        <v>52442</v>
      </c>
      <c r="D7" s="1775">
        <f t="shared" si="0"/>
        <v>383219</v>
      </c>
      <c r="E7" s="585">
        <v>447042</v>
      </c>
      <c r="F7" s="1775">
        <f t="shared" si="1"/>
        <v>394600</v>
      </c>
    </row>
    <row r="8" spans="1:6" ht="13.9" customHeight="1" x14ac:dyDescent="0.2">
      <c r="A8" s="716" t="s">
        <v>1241</v>
      </c>
      <c r="B8" s="1772">
        <f>'Revenues 9-14'!G5</f>
        <v>401743</v>
      </c>
      <c r="C8" s="585">
        <v>36985</v>
      </c>
      <c r="D8" s="1775">
        <f t="shared" si="0"/>
        <v>364758</v>
      </c>
      <c r="E8" s="585">
        <v>315120</v>
      </c>
      <c r="F8" s="1775">
        <f t="shared" si="1"/>
        <v>278135</v>
      </c>
    </row>
    <row r="9" spans="1:6" ht="13.9" customHeight="1" x14ac:dyDescent="0.2">
      <c r="A9" s="716" t="s">
        <v>428</v>
      </c>
      <c r="B9" s="1772">
        <f>'Revenues 9-14'!H5</f>
        <v>0</v>
      </c>
      <c r="C9" s="585"/>
      <c r="D9" s="1775">
        <f t="shared" si="0"/>
        <v>0</v>
      </c>
      <c r="E9" s="585"/>
      <c r="F9" s="1775">
        <f t="shared" si="1"/>
        <v>0</v>
      </c>
    </row>
    <row r="10" spans="1:6" ht="13.9" customHeight="1" x14ac:dyDescent="0.2">
      <c r="A10" s="716" t="s">
        <v>427</v>
      </c>
      <c r="B10" s="1772">
        <f>'Revenues 9-14'!I5</f>
        <v>108918</v>
      </c>
      <c r="C10" s="585">
        <v>13111</v>
      </c>
      <c r="D10" s="1775">
        <f t="shared" si="0"/>
        <v>95807</v>
      </c>
      <c r="E10" s="585">
        <v>111761</v>
      </c>
      <c r="F10" s="1775">
        <f t="shared" si="1"/>
        <v>98650</v>
      </c>
    </row>
    <row r="11" spans="1:6" x14ac:dyDescent="0.2">
      <c r="A11" s="716" t="s">
        <v>429</v>
      </c>
      <c r="B11" s="1772">
        <f>'Revenues 9-14'!J5</f>
        <v>726858</v>
      </c>
      <c r="C11" s="585">
        <v>93901</v>
      </c>
      <c r="D11" s="1775">
        <f t="shared" si="0"/>
        <v>632957</v>
      </c>
      <c r="E11" s="585">
        <v>800004</v>
      </c>
      <c r="F11" s="1775">
        <f t="shared" si="1"/>
        <v>706103</v>
      </c>
    </row>
    <row r="12" spans="1:6" ht="13.9" customHeight="1" x14ac:dyDescent="0.2">
      <c r="A12" s="716" t="s">
        <v>159</v>
      </c>
      <c r="B12" s="1772">
        <f>'Revenues 9-14'!K5</f>
        <v>108903</v>
      </c>
      <c r="C12" s="585">
        <v>13111</v>
      </c>
      <c r="D12" s="1775">
        <f t="shared" si="0"/>
        <v>95792</v>
      </c>
      <c r="E12" s="585">
        <v>111761</v>
      </c>
      <c r="F12" s="1775">
        <f t="shared" si="1"/>
        <v>98650</v>
      </c>
    </row>
    <row r="13" spans="1:6" ht="13.9" customHeight="1" x14ac:dyDescent="0.2">
      <c r="A13" s="716" t="s">
        <v>993</v>
      </c>
      <c r="B13" s="1772">
        <f>SUM('Revenues 9-14'!C6:D6)</f>
        <v>108918</v>
      </c>
      <c r="C13" s="585">
        <v>13111</v>
      </c>
      <c r="D13" s="1775">
        <f t="shared" si="0"/>
        <v>95807</v>
      </c>
      <c r="E13" s="585">
        <v>111761</v>
      </c>
      <c r="F13" s="1775">
        <f t="shared" si="1"/>
        <v>98650</v>
      </c>
    </row>
    <row r="14" spans="1:6" ht="13.9" customHeight="1" x14ac:dyDescent="0.2">
      <c r="A14" s="716" t="s">
        <v>430</v>
      </c>
      <c r="B14" s="1772">
        <f>SUM('Revenues 9-14'!C7:D7,'Revenues 9-14'!F7:H7)</f>
        <v>87130</v>
      </c>
      <c r="C14" s="585">
        <v>10488</v>
      </c>
      <c r="D14" s="1775">
        <f t="shared" si="0"/>
        <v>76642</v>
      </c>
      <c r="E14" s="585">
        <v>89408</v>
      </c>
      <c r="F14" s="1775">
        <f t="shared" si="1"/>
        <v>78920</v>
      </c>
    </row>
    <row r="15" spans="1:6" ht="13.9" customHeight="1" x14ac:dyDescent="0.2">
      <c r="A15" s="716" t="s">
        <v>1220</v>
      </c>
      <c r="B15" s="1772">
        <f>'Revenues 9-14'!E9</f>
        <v>0</v>
      </c>
      <c r="C15" s="585"/>
      <c r="D15" s="1775">
        <f t="shared" si="0"/>
        <v>0</v>
      </c>
      <c r="E15" s="585"/>
      <c r="F15" s="1775">
        <f t="shared" si="1"/>
        <v>0</v>
      </c>
    </row>
    <row r="16" spans="1:6" ht="13.9" customHeight="1" x14ac:dyDescent="0.2">
      <c r="A16" s="716" t="s">
        <v>1221</v>
      </c>
      <c r="B16" s="1772">
        <f>'Revenues 9-14'!G8</f>
        <v>425220</v>
      </c>
      <c r="C16" s="585">
        <v>60462</v>
      </c>
      <c r="D16" s="1775">
        <f t="shared" si="0"/>
        <v>364758</v>
      </c>
      <c r="E16" s="585">
        <v>515104</v>
      </c>
      <c r="F16" s="1775">
        <f t="shared" si="1"/>
        <v>454642</v>
      </c>
    </row>
    <row r="17" spans="1:6" ht="13.9" customHeight="1" x14ac:dyDescent="0.2">
      <c r="A17" s="716" t="s">
        <v>1222</v>
      </c>
      <c r="B17" s="1772">
        <f>'Revenues 9-14'!C10</f>
        <v>0</v>
      </c>
      <c r="C17" s="585"/>
      <c r="D17" s="1775">
        <f t="shared" si="0"/>
        <v>0</v>
      </c>
      <c r="E17" s="585"/>
      <c r="F17" s="1775">
        <f t="shared" si="1"/>
        <v>0</v>
      </c>
    </row>
    <row r="18" spans="1:6" ht="13.9" customHeight="1" x14ac:dyDescent="0.2">
      <c r="A18" s="716" t="s">
        <v>786</v>
      </c>
      <c r="B18" s="1772">
        <f>SUM('Revenues 9-14'!C11:K11)</f>
        <v>0</v>
      </c>
      <c r="C18" s="585"/>
      <c r="D18" s="1775">
        <f t="shared" si="0"/>
        <v>0</v>
      </c>
      <c r="E18" s="585"/>
      <c r="F18" s="1775">
        <f t="shared" si="1"/>
        <v>0</v>
      </c>
    </row>
    <row r="19" spans="1:6" ht="13.9" customHeight="1" thickBot="1" x14ac:dyDescent="0.25">
      <c r="A19" s="1776" t="s">
        <v>1223</v>
      </c>
      <c r="B19" s="1773">
        <f>SUM(B4:B18)</f>
        <v>12254620</v>
      </c>
      <c r="C19" s="1773">
        <f>SUM(C4:C18)</f>
        <v>1478458</v>
      </c>
      <c r="D19" s="1773">
        <f>SUM(D4:D18)</f>
        <v>10776162</v>
      </c>
      <c r="E19" s="1773">
        <f>SUM(E4:E18)</f>
        <v>12601088</v>
      </c>
      <c r="F19" s="1773">
        <f>SUM(F4:F18)</f>
        <v>11122630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L32" sqref="L32"/>
    </sheetView>
  </sheetViews>
  <sheetFormatPr defaultColWidth="9.28515625" defaultRowHeight="12.75" x14ac:dyDescent="0.2"/>
  <cols>
    <col min="1" max="1" width="44" style="401" customWidth="1"/>
    <col min="2" max="2" width="12.28515625" style="723" customWidth="1"/>
    <col min="3" max="5" width="16.7109375" style="723"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207" t="s">
        <v>650</v>
      </c>
      <c r="B1" s="2208"/>
      <c r="C1" s="722"/>
    </row>
    <row r="2" spans="1:7" ht="33.75" x14ac:dyDescent="0.2">
      <c r="A2" s="2216" t="s">
        <v>1902</v>
      </c>
      <c r="B2" s="2217"/>
      <c r="C2" s="1909" t="s">
        <v>2035</v>
      </c>
      <c r="D2" s="724" t="s">
        <v>2042</v>
      </c>
      <c r="E2" s="724" t="s">
        <v>2043</v>
      </c>
      <c r="F2" s="1909" t="s">
        <v>2036</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2090</v>
      </c>
      <c r="B31" s="734">
        <v>42102</v>
      </c>
      <c r="C31" s="735">
        <v>4330000</v>
      </c>
      <c r="D31" s="736">
        <v>1</v>
      </c>
      <c r="E31" s="735">
        <v>3050000</v>
      </c>
      <c r="F31" s="735"/>
      <c r="G31" s="735"/>
      <c r="H31" s="735">
        <v>1480000</v>
      </c>
      <c r="I31" s="1778">
        <f>((E31+F31)-H31)+G31</f>
        <v>1570000</v>
      </c>
      <c r="J31" s="735">
        <v>1507935</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4330000</v>
      </c>
      <c r="D49" s="746"/>
      <c r="E49" s="1778">
        <f t="shared" ref="E49:J49" si="2">SUM(E31:E48)</f>
        <v>3050000</v>
      </c>
      <c r="F49" s="1778">
        <f t="shared" si="2"/>
        <v>0</v>
      </c>
      <c r="G49" s="1778">
        <f t="shared" si="2"/>
        <v>0</v>
      </c>
      <c r="H49" s="1778">
        <f t="shared" si="2"/>
        <v>1480000</v>
      </c>
      <c r="I49" s="1778">
        <f t="shared" si="2"/>
        <v>1570000</v>
      </c>
      <c r="J49" s="1778">
        <f t="shared" si="2"/>
        <v>1507935</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L32" sqref="L32"/>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c r="I3" s="765"/>
      <c r="J3" s="766">
        <v>491864</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87130</v>
      </c>
      <c r="I5" s="773"/>
      <c r="J5" s="774"/>
      <c r="K5" s="774"/>
    </row>
    <row r="6" spans="1:11" x14ac:dyDescent="0.2">
      <c r="A6" s="775" t="s">
        <v>744</v>
      </c>
      <c r="B6" s="776"/>
      <c r="C6" s="776"/>
      <c r="D6" s="776"/>
      <c r="E6" s="777"/>
      <c r="F6" s="778" t="s">
        <v>904</v>
      </c>
      <c r="G6" s="765"/>
      <c r="H6" s="765"/>
      <c r="I6" s="765"/>
      <c r="J6" s="766">
        <v>4524</v>
      </c>
      <c r="K6" s="766"/>
    </row>
    <row r="7" spans="1:11" x14ac:dyDescent="0.2">
      <c r="A7" s="779" t="s">
        <v>264</v>
      </c>
      <c r="B7" s="780"/>
      <c r="C7" s="780"/>
      <c r="D7" s="780"/>
      <c r="E7" s="781"/>
      <c r="F7" s="771" t="s">
        <v>905</v>
      </c>
      <c r="G7" s="768"/>
      <c r="H7" s="768"/>
      <c r="I7" s="768"/>
      <c r="J7" s="782"/>
      <c r="K7" s="766">
        <v>17151</v>
      </c>
    </row>
    <row r="8" spans="1:11" x14ac:dyDescent="0.2">
      <c r="A8" s="779" t="s">
        <v>363</v>
      </c>
      <c r="B8" s="780"/>
      <c r="C8" s="780"/>
      <c r="D8" s="780"/>
      <c r="E8" s="781"/>
      <c r="F8" s="771" t="s">
        <v>906</v>
      </c>
      <c r="G8" s="783"/>
      <c r="H8" s="783"/>
      <c r="I8" s="783"/>
      <c r="J8" s="766">
        <v>741647</v>
      </c>
      <c r="K8" s="770"/>
    </row>
    <row r="9" spans="1:11" x14ac:dyDescent="0.2">
      <c r="A9" s="779" t="s">
        <v>140</v>
      </c>
      <c r="B9" s="780"/>
      <c r="C9" s="780"/>
      <c r="D9" s="780"/>
      <c r="E9" s="781"/>
      <c r="F9" s="778" t="s">
        <v>908</v>
      </c>
      <c r="G9" s="783"/>
      <c r="H9" s="772"/>
      <c r="I9" s="772"/>
      <c r="J9" s="782"/>
      <c r="K9" s="766">
        <v>28029</v>
      </c>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87130</v>
      </c>
      <c r="I12" s="1780">
        <f>SUM(I5:I11)</f>
        <v>0</v>
      </c>
      <c r="J12" s="1780">
        <f>SUM(J5:J11)</f>
        <v>746171</v>
      </c>
      <c r="K12" s="1780">
        <f>SUM(K5:K11)</f>
        <v>45180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87130</v>
      </c>
      <c r="I14" s="772"/>
      <c r="J14" s="774"/>
      <c r="K14" s="766">
        <v>45180</v>
      </c>
    </row>
    <row r="15" spans="1:11" x14ac:dyDescent="0.2">
      <c r="A15" s="2232" t="s">
        <v>4</v>
      </c>
      <c r="B15" s="2232"/>
      <c r="C15" s="2232"/>
      <c r="D15" s="2232"/>
      <c r="E15" s="2260"/>
      <c r="F15" s="790" t="s">
        <v>910</v>
      </c>
      <c r="G15" s="772"/>
      <c r="H15" s="765"/>
      <c r="I15" s="765"/>
      <c r="J15" s="766">
        <v>416227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87130</v>
      </c>
      <c r="I23" s="1780">
        <f>SUM(I14:I16,I21,I22)</f>
        <v>0</v>
      </c>
      <c r="J23" s="1780">
        <f>SUM(J14:J16,J21,J22)</f>
        <v>416227</v>
      </c>
      <c r="K23" s="1780">
        <f>SUM(K14:K16,K21,K22)</f>
        <v>45180</v>
      </c>
    </row>
    <row r="24" spans="1:11" ht="14.25" thickTop="1" thickBot="1" x14ac:dyDescent="0.25">
      <c r="A24" s="2253" t="s">
        <v>2023</v>
      </c>
      <c r="B24" s="2252"/>
      <c r="C24" s="2252"/>
      <c r="D24" s="2252"/>
      <c r="E24" s="2252"/>
      <c r="F24" s="1784"/>
      <c r="G24" s="1785">
        <f>SUM(G3,G12)-G23</f>
        <v>0</v>
      </c>
      <c r="H24" s="1785">
        <f>SUM(H3,H12)-H23</f>
        <v>0</v>
      </c>
      <c r="I24" s="1785">
        <f>SUM(I3,I12)-I23</f>
        <v>0</v>
      </c>
      <c r="J24" s="1785">
        <f>SUM(J3,J12)-J23</f>
        <v>821808</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821808</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32" sqref="L32"/>
    </sheetView>
  </sheetViews>
  <sheetFormatPr defaultColWidth="9.28515625" defaultRowHeight="12.75" x14ac:dyDescent="0.2"/>
  <cols>
    <col min="1" max="1" width="28.7109375" style="809"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441852</v>
      </c>
      <c r="D5" s="842"/>
      <c r="E5" s="842"/>
      <c r="F5" s="1782">
        <f>(C5+D5)-E5</f>
        <v>441852</v>
      </c>
      <c r="G5" s="838"/>
      <c r="H5" s="843"/>
      <c r="I5" s="843"/>
      <c r="J5" s="843"/>
      <c r="K5" s="794"/>
      <c r="L5" s="1791">
        <f>F5-K5</f>
        <v>441852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26182284</v>
      </c>
      <c r="D8" s="845"/>
      <c r="E8" s="845"/>
      <c r="F8" s="1782">
        <f>(C8+D8)-E8</f>
        <v>26182284</v>
      </c>
      <c r="G8" s="844">
        <v>50</v>
      </c>
      <c r="H8" s="766">
        <v>14070044</v>
      </c>
      <c r="I8" s="766">
        <v>523645</v>
      </c>
      <c r="J8" s="766"/>
      <c r="K8" s="1791">
        <f>(H8+I8)-J8</f>
        <v>14593689</v>
      </c>
      <c r="L8" s="1791">
        <f>F8-K8</f>
        <v>11588595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896412</v>
      </c>
      <c r="D10" s="847"/>
      <c r="E10" s="847"/>
      <c r="F10" s="1786">
        <f>(C10+D10)-E10</f>
        <v>896412</v>
      </c>
      <c r="G10" s="844">
        <v>20</v>
      </c>
      <c r="H10" s="848">
        <v>554655</v>
      </c>
      <c r="I10" s="848">
        <v>19847</v>
      </c>
      <c r="J10" s="848"/>
      <c r="K10" s="1791">
        <f>(H10+I10)-J10</f>
        <v>574502</v>
      </c>
      <c r="L10" s="1791">
        <f>F10-K10</f>
        <v>321910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4827279</v>
      </c>
      <c r="D12" s="845">
        <v>147119</v>
      </c>
      <c r="E12" s="845"/>
      <c r="F12" s="1782">
        <f>(C12+D12)-E12</f>
        <v>4974398</v>
      </c>
      <c r="G12" s="844">
        <v>10</v>
      </c>
      <c r="H12" s="766">
        <v>4084265</v>
      </c>
      <c r="I12" s="766">
        <v>116662</v>
      </c>
      <c r="J12" s="766"/>
      <c r="K12" s="1791">
        <f>(H12+I12)-J12</f>
        <v>4200927</v>
      </c>
      <c r="L12" s="1791">
        <f>F12-K12</f>
        <v>773471</v>
      </c>
    </row>
    <row r="13" spans="1:14" ht="14.25" thickTop="1" thickBot="1" x14ac:dyDescent="0.25">
      <c r="A13" s="849" t="s">
        <v>1184</v>
      </c>
      <c r="B13" s="841">
        <v>252</v>
      </c>
      <c r="C13" s="845">
        <v>2343714</v>
      </c>
      <c r="D13" s="845">
        <v>351607</v>
      </c>
      <c r="E13" s="845">
        <v>74974</v>
      </c>
      <c r="F13" s="1782">
        <f>(C13+D13)-E13</f>
        <v>2620347</v>
      </c>
      <c r="G13" s="844">
        <v>5</v>
      </c>
      <c r="H13" s="766">
        <v>2128017</v>
      </c>
      <c r="I13" s="766">
        <v>123978</v>
      </c>
      <c r="J13" s="766">
        <v>74974</v>
      </c>
      <c r="K13" s="1791">
        <f>(H13+I13)-J13</f>
        <v>2177021</v>
      </c>
      <c r="L13" s="1791">
        <f>F13-K13</f>
        <v>443326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34691541</v>
      </c>
      <c r="D16" s="1782">
        <f>SUM(D3,D5:D6,D8:D10,D12:D15)</f>
        <v>498726</v>
      </c>
      <c r="E16" s="1782">
        <f>SUM(E3,E5:E6,E8:E10,E12:E15)</f>
        <v>74974</v>
      </c>
      <c r="F16" s="1782">
        <f>SUM(F3,F5:F6,F8:F10,F12:F15)</f>
        <v>35115293</v>
      </c>
      <c r="G16" s="844"/>
      <c r="H16" s="1782">
        <f>SUM(H3,H6,H8:H10,H12:H14,)</f>
        <v>20836981</v>
      </c>
      <c r="I16" s="1782">
        <f>SUM(I3,I6,I8:I10,I12:I14,)</f>
        <v>784132</v>
      </c>
      <c r="J16" s="1782">
        <f>SUM(J3,J6,J8:J10,J12:J14,)</f>
        <v>74974</v>
      </c>
      <c r="K16" s="1782">
        <f>(H16+I16)-J16</f>
        <v>21546139</v>
      </c>
      <c r="L16" s="1782">
        <f>F16-K16</f>
        <v>13569154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129942</v>
      </c>
      <c r="G17" s="838">
        <v>10</v>
      </c>
      <c r="H17" s="770"/>
      <c r="I17" s="1791">
        <f>F17/G17</f>
        <v>12994.2</v>
      </c>
      <c r="J17" s="770"/>
      <c r="K17" s="796"/>
      <c r="L17" s="796"/>
    </row>
    <row r="18" spans="1:12" ht="14.25" thickTop="1" thickBot="1" x14ac:dyDescent="0.25">
      <c r="A18" s="1789" t="s">
        <v>706</v>
      </c>
      <c r="B18" s="1790"/>
      <c r="C18" s="772"/>
      <c r="D18" s="772"/>
      <c r="E18" s="772"/>
      <c r="F18" s="851"/>
      <c r="G18" s="852"/>
      <c r="H18" s="774"/>
      <c r="I18" s="1782">
        <f>SUM(I16,I17)</f>
        <v>797126.2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L32" sqref="L32"/>
      <selection pane="bottomLeft" activeCell="L32" sqref="L32"/>
    </sheetView>
  </sheetViews>
  <sheetFormatPr defaultColWidth="8.7109375" defaultRowHeight="11.25" x14ac:dyDescent="0.2"/>
  <cols>
    <col min="1" max="1" width="22.28515625" style="857" customWidth="1"/>
    <col min="2" max="2" width="31.7109375" style="857" customWidth="1"/>
    <col min="3" max="3" width="6.7109375" style="864" customWidth="1"/>
    <col min="4" max="4" width="55.7109375" style="857" customWidth="1"/>
    <col min="5" max="5" width="3.28515625" style="864" customWidth="1"/>
    <col min="6" max="6" width="17.42578125" style="857" customWidth="1"/>
    <col min="7" max="7" width="0.71093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4"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16676678</v>
      </c>
      <c r="G8" s="866"/>
    </row>
    <row r="9" spans="1:7" x14ac:dyDescent="0.2">
      <c r="A9" s="870" t="s">
        <v>480</v>
      </c>
      <c r="B9" s="871" t="s">
        <v>1986</v>
      </c>
      <c r="C9" s="872"/>
      <c r="D9" s="870" t="s">
        <v>522</v>
      </c>
      <c r="E9" s="869"/>
      <c r="F9" s="1935">
        <f>'Expenditures 15-22'!K151</f>
        <v>1252236</v>
      </c>
      <c r="G9" s="873"/>
    </row>
    <row r="10" spans="1:7" x14ac:dyDescent="0.2">
      <c r="A10" s="870" t="s">
        <v>520</v>
      </c>
      <c r="B10" s="871" t="s">
        <v>1987</v>
      </c>
      <c r="C10" s="872"/>
      <c r="D10" s="870" t="s">
        <v>522</v>
      </c>
      <c r="E10" s="869"/>
      <c r="F10" s="1935">
        <f>'Expenditures 15-22'!K174</f>
        <v>1580750</v>
      </c>
      <c r="G10" s="873"/>
    </row>
    <row r="11" spans="1:7" x14ac:dyDescent="0.2">
      <c r="A11" s="870" t="s">
        <v>481</v>
      </c>
      <c r="B11" s="871" t="s">
        <v>1988</v>
      </c>
      <c r="C11" s="872"/>
      <c r="D11" s="870" t="s">
        <v>522</v>
      </c>
      <c r="E11" s="869"/>
      <c r="F11" s="1935">
        <f>'Expenditures 15-22'!K210</f>
        <v>1522982</v>
      </c>
      <c r="G11" s="873"/>
    </row>
    <row r="12" spans="1:7" x14ac:dyDescent="0.2">
      <c r="A12" s="870" t="s">
        <v>482</v>
      </c>
      <c r="B12" s="871" t="s">
        <v>1989</v>
      </c>
      <c r="C12" s="872"/>
      <c r="D12" s="870" t="s">
        <v>522</v>
      </c>
      <c r="E12" s="869"/>
      <c r="F12" s="1935">
        <f>'Expenditures 15-22'!K295</f>
        <v>712849</v>
      </c>
      <c r="G12" s="873"/>
    </row>
    <row r="13" spans="1:7" x14ac:dyDescent="0.2">
      <c r="A13" s="870" t="s">
        <v>108</v>
      </c>
      <c r="B13" s="871" t="s">
        <v>1990</v>
      </c>
      <c r="C13" s="872"/>
      <c r="D13" s="870" t="s">
        <v>522</v>
      </c>
      <c r="E13" s="869"/>
      <c r="F13" s="1935">
        <f>'Expenditures 15-22'!K342</f>
        <v>483161</v>
      </c>
      <c r="G13" s="874"/>
    </row>
    <row r="14" spans="1:7" ht="12" customHeight="1" thickBot="1" x14ac:dyDescent="0.25">
      <c r="A14" s="1792"/>
      <c r="B14" s="1793"/>
      <c r="C14" s="1794"/>
      <c r="D14" s="1795" t="s">
        <v>522</v>
      </c>
      <c r="E14" s="1796" t="s">
        <v>1015</v>
      </c>
      <c r="F14" s="1797">
        <f>SUM(F8:F13)</f>
        <v>22228656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247220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4568</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1025233</v>
      </c>
      <c r="G53" s="866"/>
    </row>
    <row r="54" spans="1:7" x14ac:dyDescent="0.2">
      <c r="A54" s="870" t="s">
        <v>479</v>
      </c>
      <c r="B54" s="870" t="s">
        <v>1552</v>
      </c>
      <c r="C54" s="890" t="s">
        <v>1039</v>
      </c>
      <c r="D54" s="886" t="s">
        <v>1157</v>
      </c>
      <c r="E54" s="869"/>
      <c r="F54" s="1939">
        <f>'Expenditures 15-22'!G114</f>
        <v>210450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24979</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1480000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146509</v>
      </c>
      <c r="G65" s="866"/>
    </row>
    <row r="66" spans="1:8" x14ac:dyDescent="0.2">
      <c r="A66" s="870" t="s">
        <v>481</v>
      </c>
      <c r="B66" s="870" t="s">
        <v>2000</v>
      </c>
      <c r="C66" s="887" t="s">
        <v>1039</v>
      </c>
      <c r="D66" s="886" t="s">
        <v>309</v>
      </c>
      <c r="E66" s="869"/>
      <c r="F66" s="1939">
        <f>'Expenditures 15-22'!I210</f>
        <v>129942</v>
      </c>
      <c r="G66" s="866"/>
    </row>
    <row r="67" spans="1:8" x14ac:dyDescent="0.2">
      <c r="A67" s="870" t="s">
        <v>482</v>
      </c>
      <c r="B67" s="870" t="s">
        <v>2001</v>
      </c>
      <c r="C67" s="887" t="str">
        <f>'Expenditures 15-22'!B216</f>
        <v>1125</v>
      </c>
      <c r="D67" s="893" t="str">
        <f>'Expenditures 15-22'!A216</f>
        <v>Pre-K Programs</v>
      </c>
      <c r="E67" s="869"/>
      <c r="F67" s="1939">
        <f>'Expenditures 15-22'!K216</f>
        <v>14650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193</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3283744</v>
      </c>
      <c r="G76" s="866"/>
    </row>
    <row r="77" spans="1:8" s="894" customFormat="1" ht="12" customHeight="1" thickTop="1" thickBot="1" x14ac:dyDescent="0.25">
      <c r="A77" s="1801"/>
      <c r="B77" s="1798"/>
      <c r="C77" s="1794"/>
      <c r="D77" s="1799" t="s">
        <v>2009</v>
      </c>
      <c r="E77" s="1796"/>
      <c r="F77" s="1802">
        <f>(F14-F76)</f>
        <v>18944912</v>
      </c>
      <c r="G77" s="870"/>
    </row>
    <row r="78" spans="1:8" s="894" customFormat="1" ht="12" customHeight="1" thickTop="1" x14ac:dyDescent="0.2">
      <c r="A78" s="1803"/>
      <c r="B78" s="1798"/>
      <c r="C78" s="1794"/>
      <c r="D78" s="1799" t="s">
        <v>2056</v>
      </c>
      <c r="E78" s="1796"/>
      <c r="F78" s="899">
        <v>1709.61</v>
      </c>
      <c r="G78" s="900"/>
      <c r="H78" s="870"/>
    </row>
    <row r="79" spans="1:8" s="894" customFormat="1" ht="12" customHeight="1" thickBot="1" x14ac:dyDescent="0.25">
      <c r="A79" s="1804"/>
      <c r="B79" s="1798"/>
      <c r="C79" s="1794"/>
      <c r="D79" s="1799" t="s">
        <v>2010</v>
      </c>
      <c r="E79" s="1796" t="s">
        <v>1015</v>
      </c>
      <c r="F79" s="1805">
        <f>IF(F78&gt;0,F77/F78," Complete Line 78")</f>
        <v>11081.423248577161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80568</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333706</v>
      </c>
      <c r="G94" s="913"/>
    </row>
    <row r="95" spans="1:7" x14ac:dyDescent="0.2">
      <c r="A95" s="909" t="s">
        <v>142</v>
      </c>
      <c r="B95" s="909" t="s">
        <v>177</v>
      </c>
      <c r="C95" s="911">
        <v>1700</v>
      </c>
      <c r="D95" s="919" t="str">
        <f>'Revenues 9-14'!A82</f>
        <v>Total District/School Activity Income</v>
      </c>
      <c r="E95" s="907"/>
      <c r="F95" s="1811">
        <f>SUM('Revenues 9-14'!C82,'Revenues 9-14'!D82)</f>
        <v>88822</v>
      </c>
      <c r="G95" s="913"/>
    </row>
    <row r="96" spans="1:7" x14ac:dyDescent="0.2">
      <c r="A96" s="909" t="s">
        <v>479</v>
      </c>
      <c r="B96" s="909" t="s">
        <v>178</v>
      </c>
      <c r="C96" s="911">
        <f>'Revenues 9-14'!B84</f>
        <v>1811</v>
      </c>
      <c r="D96" s="912" t="str">
        <f>'Revenues 9-14'!A84</f>
        <v>Rentals - Regular Textbooks</v>
      </c>
      <c r="E96" s="907"/>
      <c r="F96" s="1811">
        <f>'Revenues 9-14'!C84</f>
        <v>145274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482</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569533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21686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6430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28029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914097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6048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433241</v>
      </c>
      <c r="G129" s="931"/>
    </row>
    <row r="130" spans="1:7" x14ac:dyDescent="0.2">
      <c r="A130" s="928" t="s">
        <v>689</v>
      </c>
      <c r="B130" s="928" t="s">
        <v>804</v>
      </c>
      <c r="C130" s="933">
        <v>4300</v>
      </c>
      <c r="D130" s="934" t="str">
        <f>'Revenues 9-14'!A211</f>
        <v>Total Title I</v>
      </c>
      <c r="E130" s="907"/>
      <c r="F130" s="1811">
        <f>SUM('Revenues 9-14'!C211,'Revenues 9-14'!D211,'Revenues 9-14'!F211,'Revenues 9-14'!G211)</f>
        <v>404628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125000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63421</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45796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3266761</v>
      </c>
    </row>
    <row r="179" spans="1:7" ht="12" customHeight="1" x14ac:dyDescent="0.2">
      <c r="A179" s="1792"/>
      <c r="B179" s="1806"/>
      <c r="C179" s="1807"/>
      <c r="D179" s="1808" t="s">
        <v>2012</v>
      </c>
      <c r="E179" s="1809"/>
      <c r="F179" s="1811">
        <f>'PCTC-OEPP 27-28'!F77-F178</f>
        <v>15678151</v>
      </c>
    </row>
    <row r="180" spans="1:7" ht="12" customHeight="1" x14ac:dyDescent="0.2">
      <c r="A180" s="1792"/>
      <c r="B180" s="1806"/>
      <c r="C180" s="1807"/>
      <c r="D180" s="1808" t="s">
        <v>1921</v>
      </c>
      <c r="E180" s="1809"/>
      <c r="F180" s="1811">
        <f>'Cap Outlay Deprec 26'!I18</f>
        <v>797126.2</v>
      </c>
    </row>
    <row r="181" spans="1:7" ht="12" customHeight="1" x14ac:dyDescent="0.2">
      <c r="A181" s="1792"/>
      <c r="B181" s="1806"/>
      <c r="C181" s="1807"/>
      <c r="D181" s="1808" t="s">
        <v>2013</v>
      </c>
      <c r="E181" s="1809"/>
      <c r="F181" s="1811">
        <f>F179+F180</f>
        <v>16475277.199999999</v>
      </c>
    </row>
    <row r="182" spans="1:7" ht="12" customHeight="1" x14ac:dyDescent="0.2">
      <c r="A182" s="1792"/>
      <c r="B182" s="1812"/>
      <c r="C182" s="1807"/>
      <c r="D182" s="1808" t="str">
        <f>D78</f>
        <v>9 Month ADA from District Average Daily Attendance/Prior General State Aid Inquiry 2017-2018</v>
      </c>
      <c r="E182" s="1809"/>
      <c r="F182" s="1813">
        <f>'PCTC-OEPP 27-28'!F78</f>
        <v>1709.61</v>
      </c>
      <c r="G182" s="931"/>
    </row>
    <row r="183" spans="1:7" ht="12" customHeight="1" thickBot="1" x14ac:dyDescent="0.25">
      <c r="A183" s="1792"/>
      <c r="B183" s="1812"/>
      <c r="C183" s="1807"/>
      <c r="D183" s="1808" t="s">
        <v>2014</v>
      </c>
      <c r="E183" s="1809" t="s">
        <v>1626</v>
      </c>
      <c r="F183" s="1814">
        <f>F181/F182</f>
        <v>9636.8629102543855</v>
      </c>
      <c r="G183" s="857">
        <v>6323</v>
      </c>
    </row>
    <row r="184" spans="1:7" ht="12" thickTop="1" x14ac:dyDescent="0.2">
      <c r="B184" s="931"/>
      <c r="C184" s="950"/>
      <c r="D184" s="931"/>
      <c r="E184" s="950"/>
      <c r="F184" s="931"/>
      <c r="G184" s="952">
        <v>6326</v>
      </c>
    </row>
    <row r="185" spans="1:7" ht="12.4" customHeight="1" x14ac:dyDescent="0.2">
      <c r="A185" s="931" t="s">
        <v>2057</v>
      </c>
      <c r="B185" s="931"/>
      <c r="C185" s="950"/>
      <c r="D185" s="931"/>
      <c r="E185" s="950"/>
      <c r="F185" s="931"/>
      <c r="G185" s="931"/>
    </row>
    <row r="186" spans="1:7" s="1948" customFormat="1" ht="12.4" customHeight="1" x14ac:dyDescent="0.2">
      <c r="A186" s="1948" t="s">
        <v>2062</v>
      </c>
      <c r="B186" s="1949"/>
      <c r="C186" s="1950"/>
      <c r="D186" s="1949"/>
      <c r="E186" s="1950"/>
      <c r="F186" s="1949"/>
      <c r="G186" s="1949"/>
    </row>
    <row r="187" spans="1:7" s="1948" customFormat="1" ht="12.4"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20" activePane="bottomLeft" state="frozen"/>
      <selection activeCell="L32" sqref="L32"/>
      <selection pane="bottomLeft" activeCell="B24" sqref="B24"/>
    </sheetView>
  </sheetViews>
  <sheetFormatPr defaultColWidth="9.28515625" defaultRowHeight="15" x14ac:dyDescent="0.25"/>
  <cols>
    <col min="1" max="1" width="52" style="1564" customWidth="1"/>
    <col min="2" max="2" width="16.42578125" style="1565" bestFit="1" customWidth="1"/>
    <col min="3" max="3" width="33.7109375" style="1565" customWidth="1"/>
    <col min="4" max="4" width="16.28515625" style="1566" customWidth="1"/>
    <col min="5" max="5" width="0.28515625" style="1566" hidden="1" customWidth="1"/>
    <col min="6" max="6" width="23.5703125" style="1566" customWidth="1"/>
    <col min="7" max="7" width="23.28515625" style="1565" customWidth="1"/>
    <col min="8" max="16384" width="9.28515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1938</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956" t="s">
        <v>2118</v>
      </c>
      <c r="B20" s="2505" t="s">
        <v>2149</v>
      </c>
      <c r="C20" s="1957" t="s">
        <v>2119</v>
      </c>
      <c r="D20" s="1867">
        <v>45000</v>
      </c>
      <c r="E20" s="1562">
        <f t="shared" si="2"/>
        <v>25000</v>
      </c>
      <c r="F20" s="1815">
        <f t="shared" si="3"/>
        <v>25000</v>
      </c>
      <c r="G20" s="1816">
        <f t="shared" si="4"/>
        <v>20000</v>
      </c>
    </row>
    <row r="21" spans="1:8" x14ac:dyDescent="0.25">
      <c r="A21" s="1956" t="s">
        <v>2120</v>
      </c>
      <c r="B21" s="2505" t="s">
        <v>2149</v>
      </c>
      <c r="C21" s="1957" t="s">
        <v>2121</v>
      </c>
      <c r="D21" s="1867">
        <v>22560</v>
      </c>
      <c r="E21" s="1562">
        <f t="shared" si="2"/>
        <v>22560</v>
      </c>
      <c r="F21" s="1815">
        <f t="shared" si="3"/>
        <v>22560</v>
      </c>
      <c r="G21" s="1816">
        <f t="shared" si="4"/>
        <v>0</v>
      </c>
    </row>
    <row r="22" spans="1:8" x14ac:dyDescent="0.25">
      <c r="A22" s="1956" t="s">
        <v>2122</v>
      </c>
      <c r="B22" s="2505" t="s">
        <v>2150</v>
      </c>
      <c r="C22" s="1957" t="s">
        <v>2124</v>
      </c>
      <c r="D22" s="1867">
        <v>80010</v>
      </c>
      <c r="E22" s="1562">
        <f t="shared" si="2"/>
        <v>25000</v>
      </c>
      <c r="F22" s="1815">
        <f t="shared" si="3"/>
        <v>0</v>
      </c>
      <c r="G22" s="1816">
        <f t="shared" si="4"/>
        <v>0</v>
      </c>
    </row>
    <row r="23" spans="1:8" x14ac:dyDescent="0.25">
      <c r="A23" s="1956" t="s">
        <v>2125</v>
      </c>
      <c r="B23" s="2505" t="s">
        <v>2151</v>
      </c>
      <c r="C23" s="1957" t="s">
        <v>2123</v>
      </c>
      <c r="D23" s="1867">
        <v>11500</v>
      </c>
      <c r="E23" s="1562">
        <f t="shared" si="2"/>
        <v>11500</v>
      </c>
      <c r="F23" s="1815">
        <f t="shared" si="3"/>
        <v>11500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159070</v>
      </c>
      <c r="E141" s="1563">
        <f t="shared" si="1"/>
        <v>25000</v>
      </c>
      <c r="F141" s="1817">
        <f>SUM(F17:F140)</f>
        <v>59060</v>
      </c>
      <c r="G141" s="1818">
        <f>SUM(G17:G140)</f>
        <v>20000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L32" sqref="L32"/>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5" t="s">
        <v>1942</v>
      </c>
      <c r="B11" s="2306"/>
      <c r="C11" s="2306"/>
      <c r="D11" s="2307"/>
      <c r="E11" s="978">
        <v>88910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12075979</v>
      </c>
      <c r="F19" s="1822"/>
      <c r="G19" s="1824">
        <f>'Expenditures 15-22'!K33-SUM('Expenditures 15-22'!G33,'Expenditures 15-22'!I33)+'Expenditures 15-22'!D229</f>
        <v>12075979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445737</v>
      </c>
      <c r="F21" s="1825"/>
      <c r="G21" s="1828">
        <f>'Expenditures 15-22'!K42-SUM('Expenditures 15-22'!G42,'Expenditures 15-22'!I42)+'Expenditures 15-22'!K120-SUM('Expenditures 15-22'!G120,'Expenditures 15-22'!I120)+'Expenditures 15-22'!K180-SUM('Expenditures 15-22'!G180,'Expenditures 15-22'!I180)+'Expenditures 15-22'!D238</f>
        <v>445737</v>
      </c>
      <c r="H21" s="988"/>
      <c r="I21" s="162"/>
    </row>
    <row r="22" spans="1:9" s="669" customFormat="1" ht="12" customHeight="1" x14ac:dyDescent="0.2">
      <c r="A22" s="995" t="s">
        <v>585</v>
      </c>
      <c r="B22" s="996"/>
      <c r="C22" s="994">
        <v>2200</v>
      </c>
      <c r="D22" s="1825"/>
      <c r="E22" s="1827">
        <f>'Expenditures 15-22'!K47-SUM('Expenditures 15-22'!G47,'Expenditures 15-22'!I47)+'Expenditures 15-22'!D243</f>
        <v>838326</v>
      </c>
      <c r="F22" s="1825"/>
      <c r="G22" s="1828">
        <f>'Expenditures 15-22'!K47-SUM('Expenditures 15-22'!G47,'Expenditures 15-22'!I47)+'Expenditures 15-22'!D243</f>
        <v>838326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684184</v>
      </c>
      <c r="F23" s="1825"/>
      <c r="G23" s="1827">
        <f>'Expenditures 15-22'!K53-SUM('Expenditures 15-22'!G53,'Expenditures 15-22'!I53)+'Expenditures 15-22'!D257+'Expenditures 15-22'!K330-SUM('Expenditures 15-22'!G330,'Expenditures 15-22'!I330)</f>
        <v>684184</v>
      </c>
      <c r="H23" s="988"/>
      <c r="I23" s="162"/>
    </row>
    <row r="24" spans="1:9" s="669" customFormat="1" ht="12" customHeight="1" x14ac:dyDescent="0.2">
      <c r="A24" s="995" t="s">
        <v>587</v>
      </c>
      <c r="B24" s="996"/>
      <c r="C24" s="994">
        <v>2400</v>
      </c>
      <c r="D24" s="1825"/>
      <c r="E24" s="1827">
        <f>'Expenditures 15-22'!K57-SUM('Expenditures 15-22'!G57,'Expenditures 15-22'!I57)+'Expenditures 15-22'!D261</f>
        <v>1341067</v>
      </c>
      <c r="F24" s="1825"/>
      <c r="G24" s="1828">
        <f>'Expenditures 15-22'!K57-SUM('Expenditures 15-22'!G57,'Expenditures 15-22'!I57)+'Expenditures 15-22'!D261</f>
        <v>1341067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231877</v>
      </c>
      <c r="E27" s="1827">
        <f>E8</f>
        <v>0</v>
      </c>
      <c r="F27" s="1827">
        <f>'Expenditures 15-22'!K60-SUM('Expenditures 15-22'!G60,'Expenditures 15-22'!I60)+'Expenditures 15-22'!D264-E8</f>
        <v>231877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1353013</v>
      </c>
      <c r="F28" s="1829">
        <f>'Expenditures 15-22'!K61-SUM('Expenditures 15-22'!G61,'Expenditures 15-22'!I61)+'Expenditures 15-22'!K124-SUM('Expenditures 15-22'!G124,'Expenditures 15-22'!I124)+'Expenditures 15-22'!D266-E9</f>
        <v>1353013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1371514</v>
      </c>
      <c r="F29" s="1825"/>
      <c r="G29" s="1828">
        <f>'Expenditures 15-22'!K62-SUM('Expenditures 15-22'!G62,'Expenditures 15-22'!I62)+'Expenditures 15-22'!K125-SUM('Expenditures 15-22'!G125,'Expenditures 15-22'!I125)+'Expenditures 15-22'!K182-SUM('Expenditures 15-22'!G182,'Expenditures 15-22'!I182)+'Expenditures 15-22'!D267</f>
        <v>1371514</v>
      </c>
      <c r="H29" s="986"/>
    </row>
    <row r="30" spans="1:9" ht="12" customHeight="1" x14ac:dyDescent="0.2">
      <c r="A30" s="995" t="s">
        <v>102</v>
      </c>
      <c r="B30" s="998"/>
      <c r="C30" s="994">
        <v>2560</v>
      </c>
      <c r="D30" s="1825"/>
      <c r="E30" s="1827">
        <f>'Expenditures 15-22'!K63-SUM('Expenditures 15-22'!G63,'Expenditures 15-22'!I63)+'Expenditures 15-22'!D268-E10</f>
        <v>769096</v>
      </c>
      <c r="F30" s="1825"/>
      <c r="G30" s="1827">
        <f>'Expenditures 15-22'!K63-SUM('Expenditures 15-22'!G63,'Expenditures 15-22'!I63)+'Expenditures 15-22'!D268-E10</f>
        <v>769096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-20000</v>
      </c>
      <c r="F40" s="1825"/>
      <c r="G40" s="1829">
        <f>-'Contracts Paid in CY 29'!G141</f>
        <v>-20000</v>
      </c>
    </row>
    <row r="41" spans="1:7" ht="12" customHeight="1" x14ac:dyDescent="0.2">
      <c r="A41" s="999" t="s">
        <v>158</v>
      </c>
      <c r="B41" s="1000"/>
      <c r="C41" s="1001"/>
      <c r="D41" s="1829">
        <f>SUM(D19:D39)</f>
        <v>231877</v>
      </c>
      <c r="E41" s="1829">
        <f>SUM(E19:E40)</f>
        <v>18858916</v>
      </c>
      <c r="F41" s="1829">
        <f>SUM(F19:F39)</f>
        <v>1584890</v>
      </c>
      <c r="G41" s="1829">
        <f>SUM(G19:G40)</f>
        <v>17505903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231877</v>
      </c>
      <c r="F43" s="1830" t="s">
        <v>495</v>
      </c>
      <c r="G43" s="1831">
        <f>F41</f>
        <v>1584890</v>
      </c>
    </row>
    <row r="44" spans="1:7" ht="12" customHeight="1" x14ac:dyDescent="0.2">
      <c r="A44" s="988"/>
      <c r="B44" s="162"/>
      <c r="C44" s="1002"/>
      <c r="D44" s="1830" t="s">
        <v>494</v>
      </c>
      <c r="E44" s="1831">
        <f>E41</f>
        <v>18858916</v>
      </c>
      <c r="F44" s="1830" t="s">
        <v>494</v>
      </c>
      <c r="G44" s="1831">
        <f>G41</f>
        <v>17505903</v>
      </c>
    </row>
    <row r="45" spans="1:7" ht="12" customHeight="1" x14ac:dyDescent="0.2">
      <c r="A45" s="988"/>
      <c r="B45" s="162"/>
      <c r="C45" s="162"/>
      <c r="D45" s="1832" t="s">
        <v>1063</v>
      </c>
      <c r="E45" s="1833">
        <f>(E43/E44)</f>
        <v>1.2295351440135795E-2</v>
      </c>
      <c r="F45" s="1832" t="s">
        <v>1063</v>
      </c>
      <c r="G45" s="1833">
        <f>(G43/G44)</f>
        <v>9.0534604241780614E-2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0" activePane="bottomLeft" state="frozen"/>
      <selection activeCell="L32" sqref="L32"/>
      <selection pane="bottomLeft" activeCell="L32" sqref="L32"/>
    </sheetView>
  </sheetViews>
  <sheetFormatPr defaultColWidth="9.28515625" defaultRowHeight="12.75" x14ac:dyDescent="0.2"/>
  <cols>
    <col min="1" max="1" width="54.5703125" style="1901" customWidth="1"/>
    <col min="2" max="2" width="4.28515625" style="1901" customWidth="1"/>
    <col min="3" max="4" width="9.7109375" style="1872" customWidth="1"/>
    <col min="5" max="5" width="12.5703125" style="1902" customWidth="1"/>
    <col min="6" max="6" width="67.5703125" style="1872" customWidth="1"/>
    <col min="7" max="7" width="9.28515625" style="1872" customWidth="1"/>
    <col min="8" max="8" width="5.5703125" style="1903" bestFit="1" customWidth="1"/>
    <col min="9" max="10" width="2" style="1903" bestFit="1" customWidth="1"/>
    <col min="11" max="11" width="9" style="1903" customWidth="1"/>
    <col min="12" max="16384" width="9.28515625" style="1872"/>
  </cols>
  <sheetData>
    <row r="1" spans="1:10" x14ac:dyDescent="0.2">
      <c r="A1" s="2311" t="s">
        <v>1446</v>
      </c>
      <c r="B1" s="2311"/>
      <c r="C1" s="2311"/>
      <c r="D1" s="2311"/>
      <c r="E1" s="2311"/>
      <c r="F1" s="2311"/>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Prairie Central CUSD 8</v>
      </c>
      <c r="D6" s="2315"/>
      <c r="E6" s="2315"/>
      <c r="F6" s="1877"/>
    </row>
    <row r="7" spans="1:10" ht="11.25" customHeight="1" thickBot="1" x14ac:dyDescent="0.3">
      <c r="A7" s="1875"/>
      <c r="B7" s="1876"/>
      <c r="C7" s="2316">
        <f>COVER!A13</f>
        <v>17053008026</v>
      </c>
      <c r="D7" s="2316"/>
      <c r="E7" s="2316"/>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2075</v>
      </c>
      <c r="D15" s="1890" t="s">
        <v>2075</v>
      </c>
      <c r="E15" s="1893" t="s">
        <v>2075</v>
      </c>
      <c r="F15" s="1892" t="s">
        <v>2091</v>
      </c>
      <c r="H15" s="1903">
        <f t="shared" si="0"/>
        <v>5</v>
      </c>
      <c r="I15" s="1903">
        <f t="shared" si="1"/>
        <v>5</v>
      </c>
      <c r="J15" s="1903">
        <f t="shared" si="2"/>
        <v>5</v>
      </c>
    </row>
    <row r="16" spans="1:10" ht="12" customHeight="1" x14ac:dyDescent="0.2">
      <c r="A16" s="1888" t="s">
        <v>1455</v>
      </c>
      <c r="B16" s="1889"/>
      <c r="C16" s="1890" t="s">
        <v>2075</v>
      </c>
      <c r="D16" s="1890" t="s">
        <v>2075</v>
      </c>
      <c r="E16" s="1893" t="s">
        <v>2075</v>
      </c>
      <c r="F16" s="1892" t="s">
        <v>2092</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2075</v>
      </c>
      <c r="D26" s="1890" t="s">
        <v>2075</v>
      </c>
      <c r="E26" s="1893" t="s">
        <v>2075</v>
      </c>
      <c r="F26" s="1892" t="s">
        <v>2093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32" sqref="L32"/>
    </sheetView>
  </sheetViews>
  <sheetFormatPr defaultColWidth="9.28515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28515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4" customHeight="1" x14ac:dyDescent="0.2">
      <c r="F5" s="1015"/>
    </row>
    <row r="6" spans="1:17" x14ac:dyDescent="0.2">
      <c r="A6" s="1919" t="s">
        <v>693</v>
      </c>
      <c r="B6" s="1664"/>
      <c r="C6" s="1664"/>
      <c r="D6" s="1664"/>
      <c r="E6" s="1665"/>
      <c r="F6" s="1016"/>
      <c r="G6" s="1010"/>
      <c r="H6" s="1017" t="s">
        <v>1086</v>
      </c>
      <c r="I6" s="2335" t="str">
        <f>COVER!A17</f>
        <v>Prairie Central CUSD 8</v>
      </c>
      <c r="J6" s="2336"/>
      <c r="Q6" s="1686"/>
    </row>
    <row r="7" spans="1:17" x14ac:dyDescent="0.2">
      <c r="A7" s="2337" t="s">
        <v>924</v>
      </c>
      <c r="B7" s="2338"/>
      <c r="C7" s="2338"/>
      <c r="D7" s="2338"/>
      <c r="E7" s="2339"/>
      <c r="F7" s="1018"/>
      <c r="G7" s="1010"/>
      <c r="H7" s="1017" t="s">
        <v>390</v>
      </c>
      <c r="I7" s="2340">
        <f>COVER!A13</f>
        <v>17053008026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156296</v>
      </c>
      <c r="F12" s="1040"/>
      <c r="G12" s="1834">
        <f t="shared" ref="G12:G18" si="0">SUM(E12:F12)</f>
        <v>156296</v>
      </c>
      <c r="H12" s="1041">
        <v>135630</v>
      </c>
      <c r="I12" s="1040"/>
      <c r="J12" s="1834">
        <f t="shared" ref="J12:J18" si="1">SUM(H12:I12)</f>
        <v>135630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156296</v>
      </c>
      <c r="F19" s="1836">
        <f t="shared" si="2"/>
        <v>0</v>
      </c>
      <c r="G19" s="1836">
        <f t="shared" si="2"/>
        <v>156296</v>
      </c>
      <c r="H19" s="1836">
        <f t="shared" si="2"/>
        <v>135630</v>
      </c>
      <c r="I19" s="1836">
        <f t="shared" si="2"/>
        <v>0</v>
      </c>
      <c r="J19" s="1836">
        <f t="shared" si="2"/>
        <v>135630</v>
      </c>
    </row>
    <row r="20" spans="1:10" ht="13.5" thickTop="1" x14ac:dyDescent="0.2">
      <c r="A20" s="1036">
        <v>9</v>
      </c>
      <c r="B20" s="2347" t="s">
        <v>1703</v>
      </c>
      <c r="C20" s="2347"/>
      <c r="D20" s="2348"/>
      <c r="E20" s="1047"/>
      <c r="F20" s="1047"/>
      <c r="G20" s="1047"/>
      <c r="H20" s="1047"/>
      <c r="I20" s="1047"/>
      <c r="J20" s="1837">
        <f>IF(AND(G19&gt;0,J19&gt;0),(((J19-G19)/G19)),"Enter Budget Data")</f>
        <v>-0.13222347340942828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49"/>
  <sheetViews>
    <sheetView showGridLines="0" zoomScale="110" zoomScaleNormal="110" workbookViewId="0">
      <selection activeCell="A37" sqref="A37:XFD37"/>
    </sheetView>
  </sheetViews>
  <sheetFormatPr defaultColWidth="9.28515625" defaultRowHeight="12.75" x14ac:dyDescent="0.2"/>
  <cols>
    <col min="1" max="1" width="3" style="329" customWidth="1"/>
    <col min="2" max="2" width="53.85546875" style="329" customWidth="1"/>
    <col min="3" max="3" width="2.42578125" style="329" customWidth="1"/>
    <col min="4" max="16384" width="9.28515625" style="329"/>
  </cols>
  <sheetData>
    <row r="2" spans="1:4" x14ac:dyDescent="0.2">
      <c r="A2" s="389" t="s">
        <v>276</v>
      </c>
    </row>
    <row r="3" spans="1:4" x14ac:dyDescent="0.2">
      <c r="A3" s="329" t="s">
        <v>277</v>
      </c>
    </row>
    <row r="5" spans="1:4" x14ac:dyDescent="0.2">
      <c r="A5" s="1069" t="s">
        <v>1231</v>
      </c>
      <c r="B5" s="329" t="s">
        <v>2126</v>
      </c>
    </row>
    <row r="6" spans="1:4" x14ac:dyDescent="0.2">
      <c r="A6" s="1069">
        <v>2</v>
      </c>
      <c r="B6" s="329" t="s">
        <v>2127</v>
      </c>
    </row>
    <row r="7" spans="1:4" x14ac:dyDescent="0.2">
      <c r="A7" s="1069">
        <v>3</v>
      </c>
      <c r="B7" s="329" t="s">
        <v>2128</v>
      </c>
      <c r="C7" s="329" t="s">
        <v>1015</v>
      </c>
      <c r="D7" s="329">
        <v>546</v>
      </c>
    </row>
    <row r="8" spans="1:4" x14ac:dyDescent="0.2">
      <c r="A8" s="1069">
        <v>4</v>
      </c>
      <c r="B8" s="329" t="s">
        <v>2129</v>
      </c>
      <c r="D8" s="1958">
        <v>11845</v>
      </c>
    </row>
    <row r="9" spans="1:4" x14ac:dyDescent="0.2">
      <c r="A9" s="1070"/>
      <c r="B9" s="329" t="s">
        <v>2130</v>
      </c>
      <c r="D9" s="329">
        <v>100</v>
      </c>
    </row>
    <row r="10" spans="1:4" x14ac:dyDescent="0.2">
      <c r="A10" s="1070"/>
    </row>
    <row r="11" spans="1:4" x14ac:dyDescent="0.2">
      <c r="A11" s="1070"/>
      <c r="B11" s="329" t="s">
        <v>2131</v>
      </c>
    </row>
    <row r="12" spans="1:4" x14ac:dyDescent="0.2">
      <c r="A12" s="1070"/>
      <c r="B12" s="329" t="s">
        <v>2127</v>
      </c>
    </row>
    <row r="13" spans="1:4" x14ac:dyDescent="0.2">
      <c r="A13" s="1070"/>
      <c r="B13" s="329" t="s">
        <v>2132</v>
      </c>
      <c r="C13" s="329" t="s">
        <v>1015</v>
      </c>
      <c r="D13" s="1958">
        <v>6810</v>
      </c>
    </row>
    <row r="14" spans="1:4" x14ac:dyDescent="0.2">
      <c r="A14" s="1070"/>
      <c r="B14" s="329" t="s">
        <v>2133</v>
      </c>
      <c r="D14" s="1958">
        <v>72326</v>
      </c>
    </row>
    <row r="15" spans="1:4" x14ac:dyDescent="0.2">
      <c r="A15" s="1070"/>
      <c r="B15" s="329" t="s">
        <v>2134</v>
      </c>
      <c r="D15" s="1958">
        <v>7485</v>
      </c>
    </row>
    <row r="16" spans="1:4" x14ac:dyDescent="0.2">
      <c r="A16" s="1070"/>
      <c r="B16" s="329" t="s">
        <v>2135</v>
      </c>
    </row>
    <row r="17" spans="1:4" x14ac:dyDescent="0.2">
      <c r="A17" s="1070"/>
      <c r="B17" s="329" t="s">
        <v>2136</v>
      </c>
      <c r="C17" s="329" t="s">
        <v>1015</v>
      </c>
      <c r="D17" s="1958">
        <v>9355</v>
      </c>
    </row>
    <row r="18" spans="1:4" x14ac:dyDescent="0.2">
      <c r="A18" s="1070"/>
    </row>
    <row r="19" spans="1:4" x14ac:dyDescent="0.2">
      <c r="A19" s="1070"/>
      <c r="B19" s="329" t="s">
        <v>2137</v>
      </c>
    </row>
    <row r="20" spans="1:4" x14ac:dyDescent="0.2">
      <c r="A20" s="1070"/>
      <c r="B20" s="329" t="s">
        <v>2127</v>
      </c>
    </row>
    <row r="21" spans="1:4" x14ac:dyDescent="0.2">
      <c r="A21" s="1070"/>
      <c r="B21" s="329" t="s">
        <v>2138</v>
      </c>
      <c r="C21" s="329" t="s">
        <v>1015</v>
      </c>
      <c r="D21" s="1958">
        <v>6048</v>
      </c>
    </row>
    <row r="22" spans="1:4" x14ac:dyDescent="0.2">
      <c r="A22" s="1070"/>
    </row>
    <row r="23" spans="1:4" x14ac:dyDescent="0.2">
      <c r="A23" s="1070"/>
    </row>
    <row r="24" spans="1:4" x14ac:dyDescent="0.2">
      <c r="A24" s="1070"/>
    </row>
    <row r="25" spans="1:4" x14ac:dyDescent="0.2">
      <c r="A25" s="1070"/>
    </row>
    <row r="26" spans="1:4" x14ac:dyDescent="0.2">
      <c r="A26" s="1070"/>
    </row>
    <row r="27" spans="1:4" x14ac:dyDescent="0.2">
      <c r="A27" s="1070"/>
    </row>
    <row r="28" spans="1:4" x14ac:dyDescent="0.2">
      <c r="A28" s="1070"/>
    </row>
    <row r="29" spans="1:4" x14ac:dyDescent="0.2">
      <c r="A29" s="1070"/>
    </row>
    <row r="30" spans="1:4" x14ac:dyDescent="0.2">
      <c r="A30" s="1070"/>
    </row>
    <row r="31" spans="1:4" x14ac:dyDescent="0.2">
      <c r="A31" s="1070"/>
    </row>
    <row r="32" spans="1:4" x14ac:dyDescent="0.2">
      <c r="A32" s="1070"/>
    </row>
    <row r="33" spans="1:2" x14ac:dyDescent="0.2">
      <c r="A33" s="1070"/>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c r="B48" s="258" t="str">
        <f>COVER!A17</f>
        <v>Prairie Central CUSD 8</v>
      </c>
    </row>
    <row r="49" spans="2:2" x14ac:dyDescent="0.2">
      <c r="B49" s="1071">
        <f>COVER!A13</f>
        <v>17053008026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L32" sqref="L32"/>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4" customHeight="1" x14ac:dyDescent="0.2">
      <c r="A76" s="189" t="s">
        <v>1719</v>
      </c>
      <c r="B76" s="198" t="s">
        <v>1885</v>
      </c>
    </row>
    <row r="77" spans="1:9" ht="12.4"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4"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2" sqref="L32"/>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4" sqref="C4"/>
    </sheetView>
  </sheetViews>
  <sheetFormatPr defaultColWidth="9.28515625" defaultRowHeight="12.75" x14ac:dyDescent="0.2"/>
  <cols>
    <col min="1" max="1" width="1.7109375" style="329" customWidth="1"/>
    <col min="2" max="2" width="20.7109375" style="329" customWidth="1"/>
    <col min="3" max="16384" width="9.28515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295275</xdr:colOff>
                <xdr:row>7</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32" sqref="L32"/>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2053</v>
      </c>
      <c r="B4" s="2375"/>
      <c r="C4" s="2375"/>
      <c r="D4" s="2375"/>
      <c r="E4" s="2375"/>
      <c r="F4" s="2376"/>
      <c r="G4" s="1075"/>
      <c r="H4" s="1075"/>
    </row>
    <row r="5" spans="1:8" ht="14.25" customHeight="1" x14ac:dyDescent="0.2">
      <c r="A5" s="2377" t="s">
        <v>2054</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16810624</v>
      </c>
      <c r="C8" s="1838">
        <f>'Acct Summary 7-8'!D8</f>
        <v>1092015</v>
      </c>
      <c r="D8" s="1838">
        <f>'Acct Summary 7-8'!F8</f>
        <v>1440205</v>
      </c>
      <c r="E8" s="1838">
        <f>'Acct Summary 7-8'!I8</f>
        <v>131050</v>
      </c>
      <c r="F8" s="1838">
        <f>SUM(B8:E8)</f>
        <v>19473894</v>
      </c>
    </row>
    <row r="9" spans="1:8" s="1080" customFormat="1" ht="14.25" customHeight="1" thickBot="1" x14ac:dyDescent="0.25">
      <c r="A9" s="1079" t="s">
        <v>1436</v>
      </c>
      <c r="B9" s="1839">
        <f>'Acct Summary 7-8'!C17</f>
        <v>16676678</v>
      </c>
      <c r="C9" s="1839">
        <f>'Acct Summary 7-8'!D17</f>
        <v>1252236</v>
      </c>
      <c r="D9" s="1839">
        <f>'Acct Summary 7-8'!F17</f>
        <v>1522982</v>
      </c>
      <c r="E9" s="1838"/>
      <c r="F9" s="1838">
        <f>SUM(B9:E9)</f>
        <v>19451896</v>
      </c>
    </row>
    <row r="10" spans="1:8" s="1080" customFormat="1" ht="14.25" thickTop="1" thickBot="1" x14ac:dyDescent="0.25">
      <c r="A10" s="1081" t="s">
        <v>1437</v>
      </c>
      <c r="B10" s="1840">
        <f>(B8-B9)</f>
        <v>133946</v>
      </c>
      <c r="C10" s="1840">
        <f>(C8-C9)</f>
        <v>-160221</v>
      </c>
      <c r="D10" s="1840">
        <f>(D8-D9)</f>
        <v>-82777</v>
      </c>
      <c r="E10" s="1839">
        <f>(E8-E9)</f>
        <v>131050</v>
      </c>
      <c r="F10" s="1841">
        <f>SUM(F8-F9)</f>
        <v>21998</v>
      </c>
    </row>
    <row r="11" spans="1:8" s="1080" customFormat="1" ht="14.25" thickTop="1" thickBot="1" x14ac:dyDescent="0.25">
      <c r="A11" s="1082" t="s">
        <v>1785</v>
      </c>
      <c r="B11" s="1842">
        <f>'Acct Summary 7-8'!C81</f>
        <v>330603</v>
      </c>
      <c r="C11" s="1842">
        <f>'Acct Summary 7-8'!D81</f>
        <v>120053</v>
      </c>
      <c r="D11" s="1842">
        <f>'Acct Summary 7-8'!F81</f>
        <v>206409</v>
      </c>
      <c r="E11" s="1842">
        <f>'Acct Summary 7-8'!I81</f>
        <v>4593312</v>
      </c>
      <c r="F11" s="1843">
        <f>SUM(B11:E11)</f>
        <v>5250377</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L32" sqref="L32"/>
    </sheetView>
  </sheetViews>
  <sheetFormatPr defaultColWidth="9.28515625" defaultRowHeight="12" x14ac:dyDescent="0.2"/>
  <cols>
    <col min="1" max="1" width="2.7109375" style="1134" customWidth="1"/>
    <col min="2" max="2" width="3.28515625" style="1134" customWidth="1"/>
    <col min="3" max="3" width="96.28515625" style="1074" customWidth="1"/>
    <col min="4" max="4" width="42.28515625" style="242" customWidth="1"/>
    <col min="5" max="5" width="2.7109375" style="1093" customWidth="1"/>
    <col min="6" max="6" width="1" style="1093" customWidth="1"/>
    <col min="7" max="16384" width="9.28515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4" customHeight="1" x14ac:dyDescent="0.2">
      <c r="A23" s="1140"/>
      <c r="B23" s="1141"/>
      <c r="C23" s="1142" t="s">
        <v>1011</v>
      </c>
      <c r="D23" s="1143" t="str">
        <f>IF(COVER!O11="X","CASH",IF(COVER!O12="X","ACCRUAL ","PLEASE CHECK AN ACCOUNTING BASIS."))</f>
        <v>CASH</v>
      </c>
    </row>
    <row r="24" spans="1:10" ht="12.4"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17053008026</v>
      </c>
    </row>
    <row r="3" spans="1:2" x14ac:dyDescent="0.2">
      <c r="A3" t="s">
        <v>1013</v>
      </c>
      <c r="B3" s="138" t="str">
        <f>COVER!A15</f>
        <v>LIVINGSTON</v>
      </c>
    </row>
    <row r="4" spans="1:2" x14ac:dyDescent="0.2">
      <c r="A4" t="s">
        <v>1064</v>
      </c>
      <c r="B4" s="138" t="str">
        <f>COVER!A17</f>
        <v>Prairie Central CUSD 8</v>
      </c>
    </row>
    <row r="5" spans="1:2" x14ac:dyDescent="0.2">
      <c r="A5" t="s">
        <v>728</v>
      </c>
      <c r="B5" s="138" t="str">
        <f>COVER!A38</f>
        <v>PAULA CRANE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66.004384999999999</v>
      </c>
    </row>
    <row r="16" spans="1:2" x14ac:dyDescent="0.2">
      <c r="A16" t="s">
        <v>442</v>
      </c>
      <c r="B16" s="138" t="str">
        <f>COVER!T13</f>
        <v>FLOYD &amp; ASSOCIATES, CPAs</v>
      </c>
    </row>
    <row r="17" spans="1:2" x14ac:dyDescent="0.2">
      <c r="A17" t="s">
        <v>939</v>
      </c>
      <c r="B17" s="138" t="str">
        <f>COVER!T15</f>
        <v>JULIE M. FLOYD, CPA</v>
      </c>
    </row>
    <row r="18" spans="1:2" x14ac:dyDescent="0.2">
      <c r="A18" t="s">
        <v>1212</v>
      </c>
      <c r="B18" s="138" t="str">
        <f>COVER!T17</f>
        <v>910 STATE HIGHWAY 54 EAST</v>
      </c>
    </row>
    <row r="19" spans="1:2" x14ac:dyDescent="0.2">
      <c r="A19" t="s">
        <v>941</v>
      </c>
      <c r="B19" s="138" t="str">
        <f>COVER!T25</f>
        <v>julie.floyd@frontier.com</v>
      </c>
    </row>
    <row r="20" spans="1:2" x14ac:dyDescent="0.2">
      <c r="A20" t="s">
        <v>942</v>
      </c>
      <c r="B20" s="138" t="str">
        <f>COVER!T19</f>
        <v>CLINTON</v>
      </c>
    </row>
    <row r="21" spans="1:2" x14ac:dyDescent="0.2">
      <c r="A21" t="s">
        <v>500</v>
      </c>
      <c r="B21" s="138" t="str">
        <f>COVER!X19</f>
        <v>IL</v>
      </c>
    </row>
    <row r="22" spans="1:2" x14ac:dyDescent="0.2">
      <c r="A22" t="s">
        <v>943</v>
      </c>
      <c r="B22" s="138">
        <f>COVER!Z19</f>
        <v>61727</v>
      </c>
    </row>
    <row r="23" spans="1:2" x14ac:dyDescent="0.2">
      <c r="A23" t="s">
        <v>1214</v>
      </c>
      <c r="B23" s="138" t="str">
        <f>COVER!T21</f>
        <v>217-935-8871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237096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330603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330603</v>
      </c>
      <c r="D92" s="2" t="str">
        <f t="shared" si="0"/>
        <v>Error?</v>
      </c>
    </row>
    <row r="93" spans="1:4" x14ac:dyDescent="0.2">
      <c r="A93" s="5">
        <v>32</v>
      </c>
      <c r="B93" s="138">
        <f>'Assets-Liab 5-6'!C41</f>
        <v>330603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120053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120053</v>
      </c>
      <c r="D123" s="2" t="str">
        <f t="shared" si="0"/>
        <v>Error?</v>
      </c>
    </row>
    <row r="124" spans="1:4" x14ac:dyDescent="0.2">
      <c r="A124" s="5">
        <v>63</v>
      </c>
      <c r="B124" s="138">
        <f>'Assets-Liab 5-6'!D41</f>
        <v>120053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50422</v>
      </c>
      <c r="D129" s="2" t="str">
        <f t="shared" si="1"/>
        <v>Error?</v>
      </c>
    </row>
    <row r="130" spans="1:4" x14ac:dyDescent="0.2">
      <c r="A130" s="5">
        <v>69</v>
      </c>
      <c r="B130" s="138">
        <f>'Assets-Liab 5-6'!E12</f>
        <v>0</v>
      </c>
      <c r="D130" s="2" t="str">
        <f t="shared" si="1"/>
        <v>Error?</v>
      </c>
    </row>
    <row r="131" spans="1:4" x14ac:dyDescent="0.2">
      <c r="A131" s="5">
        <v>70</v>
      </c>
      <c r="B131" s="138">
        <f>'Assets-Liab 5-6'!E13</f>
        <v>69554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7489</v>
      </c>
      <c r="C139" s="2" t="s">
        <v>594</v>
      </c>
      <c r="D139" s="2" t="str">
        <f t="shared" si="1"/>
        <v>Error?</v>
      </c>
    </row>
    <row r="140" spans="1:4" x14ac:dyDescent="0.2">
      <c r="A140" s="5">
        <v>79</v>
      </c>
      <c r="B140" s="138">
        <f>'Assets-Liab 5-6'!E39</f>
        <v>62065</v>
      </c>
      <c r="D140" s="2" t="str">
        <f t="shared" si="1"/>
        <v>Error?</v>
      </c>
    </row>
    <row r="141" spans="1:4" x14ac:dyDescent="0.2">
      <c r="A141" s="5">
        <v>80</v>
      </c>
      <c r="B141" s="138">
        <f>'Assets-Liab 5-6'!E41</f>
        <v>69554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206409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206409</v>
      </c>
      <c r="D170" s="2" t="str">
        <f t="shared" si="1"/>
        <v>Error?</v>
      </c>
    </row>
    <row r="171" spans="1:4" x14ac:dyDescent="0.2">
      <c r="A171" s="5">
        <v>110</v>
      </c>
      <c r="B171" s="138">
        <f>'Assets-Liab 5-6'!F41</f>
        <v>206409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754028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771417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771417</v>
      </c>
      <c r="D189" s="2" t="str">
        <f t="shared" si="1"/>
        <v>Error?</v>
      </c>
    </row>
    <row r="190" spans="1:4" x14ac:dyDescent="0.2">
      <c r="A190" s="5">
        <v>129</v>
      </c>
      <c r="B190" s="138">
        <f>'Assets-Liab 5-6'!G41</f>
        <v>771417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804451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821808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821808</v>
      </c>
      <c r="D212" s="2" t="str">
        <f t="shared" si="2"/>
        <v>Error?</v>
      </c>
    </row>
    <row r="213" spans="1:4" x14ac:dyDescent="0.2">
      <c r="A213" s="12">
        <v>152</v>
      </c>
      <c r="B213" s="138">
        <f>'Assets-Liab 5-6'!H41</f>
        <v>821808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441852</v>
      </c>
      <c r="D273" s="2" t="str">
        <f t="shared" si="3"/>
        <v>Error?</v>
      </c>
    </row>
    <row r="274" spans="1:4" x14ac:dyDescent="0.2">
      <c r="A274" s="5">
        <v>213</v>
      </c>
      <c r="B274" s="138">
        <f>'Assets-Liab 5-6'!M17</f>
        <v>27078696</v>
      </c>
      <c r="D274" s="2" t="str">
        <f t="shared" si="3"/>
        <v>Error?</v>
      </c>
    </row>
    <row r="275" spans="1:4" x14ac:dyDescent="0.2">
      <c r="A275" s="5">
        <v>214</v>
      </c>
      <c r="B275" s="138">
        <f>'Assets-Liab 5-6'!M18</f>
        <v>0</v>
      </c>
      <c r="D275" s="2" t="str">
        <f t="shared" si="3"/>
        <v>Error?</v>
      </c>
    </row>
    <row r="276" spans="1:4" x14ac:dyDescent="0.2">
      <c r="A276" s="5">
        <v>215</v>
      </c>
      <c r="B276" s="138">
        <f>'Assets-Liab 5-6'!M19</f>
        <v>7594745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35115293</v>
      </c>
      <c r="C279" s="2" t="s">
        <v>594</v>
      </c>
      <c r="D279" s="2" t="str">
        <f t="shared" si="3"/>
        <v>Error?</v>
      </c>
    </row>
    <row r="280" spans="1:4" x14ac:dyDescent="0.2">
      <c r="A280" s="5">
        <v>219</v>
      </c>
      <c r="B280" s="138">
        <f>'Assets-Liab 5-6'!M40</f>
        <v>35115293</v>
      </c>
      <c r="D280" s="2" t="str">
        <f t="shared" si="3"/>
        <v>Error?</v>
      </c>
    </row>
    <row r="281" spans="1:4" x14ac:dyDescent="0.2">
      <c r="A281" s="5">
        <v>220</v>
      </c>
      <c r="B281" s="138">
        <f>'Assets-Liab 5-6'!M41</f>
        <v>35115293</v>
      </c>
      <c r="C281" s="2" t="s">
        <v>594</v>
      </c>
      <c r="D281" s="2" t="str">
        <f t="shared" si="3"/>
        <v>Error?</v>
      </c>
    </row>
    <row r="282" spans="1:4" x14ac:dyDescent="0.2">
      <c r="A282" s="5">
        <v>221</v>
      </c>
      <c r="B282" s="138">
        <f>'Assets-Liab 5-6'!N21</f>
        <v>62065</v>
      </c>
      <c r="D282" s="2" t="str">
        <f t="shared" si="3"/>
        <v>Error?</v>
      </c>
    </row>
    <row r="283" spans="1:4" x14ac:dyDescent="0.2">
      <c r="A283" s="5">
        <v>222</v>
      </c>
      <c r="B283" s="138">
        <f>'Assets-Liab 5-6'!N22</f>
        <v>1507935</v>
      </c>
      <c r="D283" s="2" t="str">
        <f t="shared" si="3"/>
        <v>Error?</v>
      </c>
    </row>
    <row r="284" spans="1:4" x14ac:dyDescent="0.2">
      <c r="A284" s="5">
        <v>223</v>
      </c>
      <c r="B284" s="138">
        <f>'Assets-Liab 5-6'!N23</f>
        <v>1570000</v>
      </c>
      <c r="C284" s="2" t="s">
        <v>594</v>
      </c>
      <c r="D284" s="2" t="str">
        <f t="shared" si="3"/>
        <v>Error?</v>
      </c>
    </row>
    <row r="285" spans="1:4" x14ac:dyDescent="0.2">
      <c r="A285" s="5">
        <v>224</v>
      </c>
      <c r="B285" s="138">
        <f>'Assets-Liab 5-6'!N36</f>
        <v>1570000</v>
      </c>
      <c r="D285" s="2" t="str">
        <f t="shared" si="3"/>
        <v>Error?</v>
      </c>
    </row>
    <row r="286" spans="1:4" x14ac:dyDescent="0.2">
      <c r="A286" s="10">
        <v>225</v>
      </c>
      <c r="D286" s="2" t="str">
        <f t="shared" si="3"/>
        <v>OK</v>
      </c>
    </row>
    <row r="287" spans="1:4" x14ac:dyDescent="0.2">
      <c r="A287" s="5">
        <v>226</v>
      </c>
      <c r="B287" s="138">
        <f>'Assets-Liab 5-6'!N37</f>
        <v>1570000</v>
      </c>
      <c r="C287" s="2" t="s">
        <v>594</v>
      </c>
      <c r="D287" s="2" t="str">
        <f t="shared" si="3"/>
        <v>Error?</v>
      </c>
    </row>
    <row r="288" spans="1:4" x14ac:dyDescent="0.2">
      <c r="A288" s="5">
        <v>227</v>
      </c>
      <c r="B288" s="138">
        <f>'Assets-Liab 5-6'!N41</f>
        <v>1570000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5890196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621351</v>
      </c>
      <c r="D717" s="2" t="str">
        <f t="shared" si="10"/>
        <v>Error?</v>
      </c>
    </row>
    <row r="718" spans="1:4" x14ac:dyDescent="0.2">
      <c r="A718" s="5">
        <v>657</v>
      </c>
      <c r="B718" s="138">
        <f>'Expenditures 15-22'!C14</f>
        <v>483236</v>
      </c>
      <c r="D718" s="2" t="str">
        <f t="shared" si="10"/>
        <v>Error?</v>
      </c>
    </row>
    <row r="719" spans="1:4" x14ac:dyDescent="0.2">
      <c r="A719" s="5">
        <v>658</v>
      </c>
      <c r="B719" s="138">
        <f>'Expenditures 15-22'!C15</f>
        <v>4510</v>
      </c>
      <c r="D719" s="2" t="str">
        <f t="shared" si="10"/>
        <v>Error?</v>
      </c>
    </row>
    <row r="720" spans="1:4" x14ac:dyDescent="0.2">
      <c r="A720" s="5">
        <v>659</v>
      </c>
      <c r="B720" s="138">
        <f>'Expenditures 15-22'!C33</f>
        <v>9779347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186223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143133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329356</v>
      </c>
      <c r="C727" s="2" t="s">
        <v>594</v>
      </c>
      <c r="D727" s="2" t="str">
        <f t="shared" si="10"/>
        <v>Error?</v>
      </c>
    </row>
    <row r="728" spans="1:4" x14ac:dyDescent="0.2">
      <c r="A728" s="5">
        <v>667</v>
      </c>
      <c r="B728" s="138">
        <f>'Expenditures 15-22'!C44</f>
        <v>152180</v>
      </c>
      <c r="D728" s="2" t="str">
        <f t="shared" si="10"/>
        <v>Error?</v>
      </c>
    </row>
    <row r="729" spans="1:4" x14ac:dyDescent="0.2">
      <c r="A729" s="5">
        <v>668</v>
      </c>
      <c r="B729" s="138">
        <f>'Expenditures 15-22'!C45</f>
        <v>256464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408644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129596</v>
      </c>
      <c r="D733" s="2" t="str">
        <f t="shared" si="10"/>
        <v>Error?</v>
      </c>
    </row>
    <row r="734" spans="1:4" x14ac:dyDescent="0.2">
      <c r="A734" s="5">
        <v>673</v>
      </c>
      <c r="B734" s="138">
        <f>'Expenditures 15-22'!C53</f>
        <v>129596</v>
      </c>
      <c r="C734" s="2" t="s">
        <v>594</v>
      </c>
      <c r="D734" s="2" t="str">
        <f t="shared" si="10"/>
        <v>Error?</v>
      </c>
    </row>
    <row r="735" spans="1:4" x14ac:dyDescent="0.2">
      <c r="A735" s="5">
        <v>674</v>
      </c>
      <c r="B735" s="138">
        <f>'Expenditures 15-22'!C55</f>
        <v>1067168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1067168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163071</v>
      </c>
      <c r="D739" s="2" t="str">
        <f t="shared" si="10"/>
        <v>Error?</v>
      </c>
    </row>
    <row r="740" spans="1:4" x14ac:dyDescent="0.2">
      <c r="A740" s="5">
        <v>679</v>
      </c>
      <c r="B740" s="138">
        <f>'Expenditures 15-22'!C61</f>
        <v>5819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363352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532242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2467006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12246353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551329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56616</v>
      </c>
      <c r="D775" s="2" t="str">
        <f t="shared" si="11"/>
        <v>Error?</v>
      </c>
    </row>
    <row r="776" spans="1:4" x14ac:dyDescent="0.2">
      <c r="A776" s="5">
        <v>715</v>
      </c>
      <c r="B776" s="138">
        <f>'Expenditures 15-22'!D14</f>
        <v>32489</v>
      </c>
      <c r="D776" s="2" t="str">
        <f t="shared" si="11"/>
        <v>Error?</v>
      </c>
    </row>
    <row r="777" spans="1:4" x14ac:dyDescent="0.2">
      <c r="A777" s="5">
        <v>716</v>
      </c>
      <c r="B777" s="138">
        <f>'Expenditures 15-22'!D15</f>
        <v>58</v>
      </c>
      <c r="D777" s="2" t="str">
        <f t="shared" si="11"/>
        <v>Error?</v>
      </c>
    </row>
    <row r="778" spans="1:4" x14ac:dyDescent="0.2">
      <c r="A778" s="5">
        <v>717</v>
      </c>
      <c r="B778" s="138">
        <f>'Expenditures 15-22'!D33</f>
        <v>981766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18243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18577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36820</v>
      </c>
      <c r="C785" s="2" t="s">
        <v>594</v>
      </c>
      <c r="D785" s="2" t="str">
        <f t="shared" si="11"/>
        <v>Error?</v>
      </c>
    </row>
    <row r="786" spans="1:4" x14ac:dyDescent="0.2">
      <c r="A786" s="5">
        <v>725</v>
      </c>
      <c r="B786" s="138">
        <f>'Expenditures 15-22'!D44</f>
        <v>14427</v>
      </c>
      <c r="D786" s="2" t="str">
        <f t="shared" si="11"/>
        <v>Error?</v>
      </c>
    </row>
    <row r="787" spans="1:4" x14ac:dyDescent="0.2">
      <c r="A787" s="5">
        <v>726</v>
      </c>
      <c r="B787" s="138">
        <f>'Expenditures 15-22'!D45</f>
        <v>33327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47754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14329</v>
      </c>
      <c r="D791" s="2" t="str">
        <f t="shared" si="11"/>
        <v>Error?</v>
      </c>
    </row>
    <row r="792" spans="1:4" x14ac:dyDescent="0.2">
      <c r="A792" s="5">
        <v>731</v>
      </c>
      <c r="B792" s="138">
        <f>'Expenditures 15-22'!D53</f>
        <v>14329</v>
      </c>
      <c r="C792" s="2" t="s">
        <v>594</v>
      </c>
      <c r="D792" s="2" t="str">
        <f t="shared" si="11"/>
        <v>Error?</v>
      </c>
    </row>
    <row r="793" spans="1:4" x14ac:dyDescent="0.2">
      <c r="A793" s="5">
        <v>732</v>
      </c>
      <c r="B793" s="138">
        <f>'Expenditures 15-22'!D55</f>
        <v>140189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140189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18936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42908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61844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300936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1282702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58750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449</v>
      </c>
      <c r="D833" s="2" t="str">
        <f t="shared" si="12"/>
        <v>Error?</v>
      </c>
    </row>
    <row r="834" spans="1:4" x14ac:dyDescent="0.2">
      <c r="A834" s="5">
        <v>773</v>
      </c>
      <c r="B834" s="138">
        <f>'Expenditures 15-22'!E14</f>
        <v>33155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599635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22906</v>
      </c>
      <c r="D838" s="2" t="str">
        <f t="shared" si="12"/>
        <v>Error?</v>
      </c>
    </row>
    <row r="839" spans="1:4" x14ac:dyDescent="0.2">
      <c r="A839" s="5">
        <v>778</v>
      </c>
      <c r="B839" s="138">
        <f>'Expenditures 15-22'!E38</f>
        <v>45649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68555</v>
      </c>
      <c r="C843" s="2" t="s">
        <v>594</v>
      </c>
      <c r="D843" s="2" t="str">
        <f t="shared" si="12"/>
        <v>Error?</v>
      </c>
    </row>
    <row r="844" spans="1:4" x14ac:dyDescent="0.2">
      <c r="A844" s="5">
        <v>783</v>
      </c>
      <c r="B844" s="138">
        <f>'Expenditures 15-22'!E44</f>
        <v>233218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233218</v>
      </c>
      <c r="C847" s="2" t="s">
        <v>594</v>
      </c>
      <c r="D847" s="2" t="str">
        <f t="shared" si="12"/>
        <v>Error?</v>
      </c>
    </row>
    <row r="848" spans="1:4" x14ac:dyDescent="0.2">
      <c r="A848" s="5">
        <v>787</v>
      </c>
      <c r="B848" s="138">
        <f>'Expenditures 15-22'!E49</f>
        <v>28421</v>
      </c>
      <c r="D848" s="2" t="str">
        <f t="shared" si="12"/>
        <v>Error?</v>
      </c>
    </row>
    <row r="849" spans="1:4" x14ac:dyDescent="0.2">
      <c r="A849" s="5">
        <v>788</v>
      </c>
      <c r="B849" s="138">
        <f>'Expenditures 15-22'!E50</f>
        <v>8143</v>
      </c>
      <c r="D849" s="2" t="str">
        <f t="shared" si="12"/>
        <v>Error?</v>
      </c>
    </row>
    <row r="850" spans="1:4" x14ac:dyDescent="0.2">
      <c r="A850" s="5">
        <v>789</v>
      </c>
      <c r="B850" s="138">
        <f>'Expenditures 15-22'!E53</f>
        <v>36564</v>
      </c>
      <c r="C850" s="2" t="s">
        <v>594</v>
      </c>
      <c r="D850" s="2" t="str">
        <f t="shared" si="12"/>
        <v>Error?</v>
      </c>
    </row>
    <row r="851" spans="1:4" x14ac:dyDescent="0.2">
      <c r="A851" s="5">
        <v>790</v>
      </c>
      <c r="B851" s="138">
        <f>'Expenditures 15-22'!E55</f>
        <v>71207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71207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18409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18904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37313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446857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1046492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183119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29563</v>
      </c>
      <c r="D891" s="2" t="str">
        <f t="shared" si="12"/>
        <v>Error?</v>
      </c>
    </row>
    <row r="892" spans="1:4" x14ac:dyDescent="0.2">
      <c r="A892" s="5">
        <v>831</v>
      </c>
      <c r="B892" s="138">
        <f>'Expenditures 15-22'!F14</f>
        <v>53126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427097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910</v>
      </c>
      <c r="D896" s="2" t="str">
        <f t="shared" si="13"/>
        <v>Error?</v>
      </c>
    </row>
    <row r="897" spans="1:4" x14ac:dyDescent="0.2">
      <c r="A897" s="5">
        <v>836</v>
      </c>
      <c r="B897" s="138">
        <f>'Expenditures 15-22'!F38</f>
        <v>2195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3105</v>
      </c>
      <c r="C901" s="2" t="s">
        <v>594</v>
      </c>
      <c r="D901" s="2" t="str">
        <f t="shared" si="13"/>
        <v>Error?</v>
      </c>
    </row>
    <row r="902" spans="1:4" x14ac:dyDescent="0.2">
      <c r="A902" s="5">
        <v>841</v>
      </c>
      <c r="B902" s="138">
        <f>'Expenditures 15-22'!F44</f>
        <v>107359</v>
      </c>
      <c r="D902" s="2" t="str">
        <f t="shared" si="13"/>
        <v>Error?</v>
      </c>
    </row>
    <row r="903" spans="1:4" x14ac:dyDescent="0.2">
      <c r="A903" s="5">
        <v>842</v>
      </c>
      <c r="B903" s="138">
        <f>'Expenditures 15-22'!F45</f>
        <v>8912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116271</v>
      </c>
      <c r="C905" s="2" t="s">
        <v>594</v>
      </c>
      <c r="D905" s="2" t="str">
        <f t="shared" si="13"/>
        <v>Error?</v>
      </c>
    </row>
    <row r="906" spans="1:4" x14ac:dyDescent="0.2">
      <c r="A906" s="5">
        <v>845</v>
      </c>
      <c r="B906" s="138">
        <f>'Expenditures 15-22'!F49</f>
        <v>1365</v>
      </c>
      <c r="D906" s="2" t="str">
        <f t="shared" si="13"/>
        <v>Error?</v>
      </c>
    </row>
    <row r="907" spans="1:4" x14ac:dyDescent="0.2">
      <c r="A907" s="5">
        <v>846</v>
      </c>
      <c r="B907" s="138">
        <f>'Expenditures 15-22'!F50</f>
        <v>1734</v>
      </c>
      <c r="D907" s="2" t="str">
        <f t="shared" si="13"/>
        <v>Error?</v>
      </c>
    </row>
    <row r="908" spans="1:4" x14ac:dyDescent="0.2">
      <c r="A908" s="5">
        <v>847</v>
      </c>
      <c r="B908" s="138">
        <f>'Expenditures 15-22'!F53</f>
        <v>3099</v>
      </c>
      <c r="C908" s="2" t="s">
        <v>594</v>
      </c>
      <c r="D908" s="2" t="str">
        <f t="shared" si="13"/>
        <v>Error?</v>
      </c>
    </row>
    <row r="909" spans="1:4" x14ac:dyDescent="0.2">
      <c r="A909" s="5">
        <v>848</v>
      </c>
      <c r="B909" s="138">
        <f>'Expenditures 15-22'!F55</f>
        <v>6739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6739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277740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279184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408398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835495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184700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24110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24110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1640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1640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25750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210450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13121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14132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13327</v>
      </c>
      <c r="D1022" s="2" t="str">
        <f t="shared" si="14"/>
        <v>Error?</v>
      </c>
    </row>
    <row r="1023" spans="1:4" x14ac:dyDescent="0.2">
      <c r="A1023" s="5">
        <v>962</v>
      </c>
      <c r="B1023" s="138">
        <f>'Expenditures 15-22'!H50</f>
        <v>2494</v>
      </c>
      <c r="D1023" s="2" t="str">
        <f t="shared" ref="D1023:D1086" si="15">IF(ISBLANK(B1023),"OK",IF(A1023-B1023=0,"OK","Error?"))</f>
        <v>Error?</v>
      </c>
    </row>
    <row r="1024" spans="1:4" x14ac:dyDescent="0.2">
      <c r="A1024" s="5">
        <v>963</v>
      </c>
      <c r="B1024" s="138">
        <f>'Expenditures 15-22'!H53</f>
        <v>15821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15821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1025233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1055186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6683394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707979</v>
      </c>
      <c r="C1105" s="2" t="s">
        <v>594</v>
      </c>
      <c r="D1105" s="2" t="str">
        <f t="shared" si="16"/>
        <v>Error?</v>
      </c>
    </row>
    <row r="1106" spans="1:4" x14ac:dyDescent="0.2">
      <c r="A1106" s="5">
        <v>1045</v>
      </c>
      <c r="B1106" s="138">
        <f>'Expenditures 15-22'!K14</f>
        <v>615127</v>
      </c>
      <c r="C1106" s="2" t="s">
        <v>594</v>
      </c>
      <c r="D1106" s="2" t="str">
        <f t="shared" si="16"/>
        <v>Error?</v>
      </c>
    </row>
    <row r="1107" spans="1:4" x14ac:dyDescent="0.2">
      <c r="A1107" s="5">
        <v>1046</v>
      </c>
      <c r="B1107" s="138">
        <f>'Expenditures 15-22'!K15</f>
        <v>4568</v>
      </c>
      <c r="C1107" s="2" t="s">
        <v>594</v>
      </c>
      <c r="D1107" s="2" t="str">
        <f t="shared" si="16"/>
        <v>Error?</v>
      </c>
    </row>
    <row r="1108" spans="1:4" x14ac:dyDescent="0.2">
      <c r="A1108" s="5">
        <v>1047</v>
      </c>
      <c r="B1108" s="138">
        <f>'Expenditures 15-22'!K33</f>
        <v>11986677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228282</v>
      </c>
      <c r="C1110" s="2" t="s">
        <v>594</v>
      </c>
      <c r="D1110" s="2" t="str">
        <f t="shared" si="16"/>
        <v>Error?</v>
      </c>
    </row>
    <row r="1111" spans="1:4" x14ac:dyDescent="0.2">
      <c r="A1111" s="5">
        <v>1050</v>
      </c>
      <c r="B1111" s="138">
        <f>'Expenditures 15-22'!K38</f>
        <v>47844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161710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437836</v>
      </c>
      <c r="C1115" s="2" t="s">
        <v>594</v>
      </c>
      <c r="D1115" s="2" t="str">
        <f t="shared" si="16"/>
        <v>Error?</v>
      </c>
    </row>
    <row r="1116" spans="1:4" x14ac:dyDescent="0.2">
      <c r="A1116" s="5">
        <v>1055</v>
      </c>
      <c r="B1116" s="138">
        <f>'Expenditures 15-22'!K44</f>
        <v>531294</v>
      </c>
      <c r="C1116" s="2" t="s">
        <v>594</v>
      </c>
      <c r="D1116" s="2" t="str">
        <f t="shared" si="16"/>
        <v>Error?</v>
      </c>
    </row>
    <row r="1117" spans="1:4" x14ac:dyDescent="0.2">
      <c r="A1117" s="5">
        <v>1056</v>
      </c>
      <c r="B1117" s="138">
        <f>'Expenditures 15-22'!K45</f>
        <v>298703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829997</v>
      </c>
      <c r="C1119" s="2" t="s">
        <v>594</v>
      </c>
      <c r="D1119" s="2" t="str">
        <f t="shared" si="16"/>
        <v>Error?</v>
      </c>
    </row>
    <row r="1120" spans="1:4" x14ac:dyDescent="0.2">
      <c r="A1120" s="5">
        <v>1059</v>
      </c>
      <c r="B1120" s="138">
        <f>'Expenditures 15-22'!K49</f>
        <v>43113</v>
      </c>
      <c r="C1120" s="2" t="s">
        <v>594</v>
      </c>
      <c r="D1120" s="2" t="str">
        <f t="shared" si="16"/>
        <v>Error?</v>
      </c>
    </row>
    <row r="1121" spans="1:4" x14ac:dyDescent="0.2">
      <c r="A1121" s="5">
        <v>1060</v>
      </c>
      <c r="B1121" s="138">
        <f>'Expenditures 15-22'!K50</f>
        <v>156296</v>
      </c>
      <c r="C1121" s="2" t="s">
        <v>594</v>
      </c>
      <c r="D1121" s="2" t="str">
        <f t="shared" si="16"/>
        <v>Error?</v>
      </c>
    </row>
    <row r="1122" spans="1:4" x14ac:dyDescent="0.2">
      <c r="A1122" s="5">
        <v>1061</v>
      </c>
      <c r="B1122" s="138">
        <f>'Expenditures 15-22'!K53</f>
        <v>199409</v>
      </c>
      <c r="C1122" s="2" t="s">
        <v>594</v>
      </c>
      <c r="D1122" s="2" t="str">
        <f t="shared" si="16"/>
        <v>Error?</v>
      </c>
    </row>
    <row r="1123" spans="1:4" x14ac:dyDescent="0.2">
      <c r="A1123" s="5">
        <v>1062</v>
      </c>
      <c r="B1123" s="138">
        <f>'Expenditures 15-22'!K55</f>
        <v>1285303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1285303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201860</v>
      </c>
      <c r="C1127" s="2" t="s">
        <v>594</v>
      </c>
      <c r="D1127" s="2" t="str">
        <f t="shared" si="16"/>
        <v>Error?</v>
      </c>
    </row>
    <row r="1128" spans="1:4" x14ac:dyDescent="0.2">
      <c r="A1128" s="5">
        <v>1067</v>
      </c>
      <c r="B1128" s="138">
        <f>'Expenditures 15-22'!K61</f>
        <v>5819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704544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912223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3664768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1025233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16676678</v>
      </c>
      <c r="C1152" s="2" t="s">
        <v>594</v>
      </c>
      <c r="D1152" s="2" t="str">
        <f t="shared" si="17"/>
        <v>Error?</v>
      </c>
    </row>
    <row r="1153" spans="1:4" x14ac:dyDescent="0.2">
      <c r="A1153" s="5">
        <v>1092</v>
      </c>
      <c r="B1153" s="138">
        <f>'Expenditures 15-22'!K115</f>
        <v>133946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628916</v>
      </c>
      <c r="D1221" s="2" t="str">
        <f t="shared" si="18"/>
        <v>Error?</v>
      </c>
    </row>
    <row r="1222" spans="1:4" x14ac:dyDescent="0.2">
      <c r="A1222" s="10">
        <v>1161</v>
      </c>
      <c r="D1222" s="2" t="str">
        <f t="shared" si="18"/>
        <v>OK</v>
      </c>
    </row>
    <row r="1223" spans="1:4" x14ac:dyDescent="0.2">
      <c r="A1223" s="5">
        <v>1162</v>
      </c>
      <c r="B1223" s="138">
        <f>'Expenditures 15-22'!C127</f>
        <v>628916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628916</v>
      </c>
      <c r="C1225" s="2" t="s">
        <v>594</v>
      </c>
      <c r="D1225" s="2" t="str">
        <f t="shared" si="18"/>
        <v>Error?</v>
      </c>
    </row>
    <row r="1226" spans="1:4" x14ac:dyDescent="0.2">
      <c r="A1226" s="5">
        <v>1165</v>
      </c>
      <c r="B1226" s="138">
        <f>'Expenditures 15-22'!C151</f>
        <v>628916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76272</v>
      </c>
      <c r="D1229" s="2" t="str">
        <f t="shared" si="18"/>
        <v>Error?</v>
      </c>
    </row>
    <row r="1230" spans="1:4" x14ac:dyDescent="0.2">
      <c r="A1230" s="10">
        <v>1169</v>
      </c>
      <c r="D1230" s="2" t="str">
        <f t="shared" si="18"/>
        <v>OK</v>
      </c>
    </row>
    <row r="1231" spans="1:4" x14ac:dyDescent="0.2">
      <c r="A1231" s="5">
        <v>1170</v>
      </c>
      <c r="B1231" s="138">
        <f>'Expenditures 15-22'!D127</f>
        <v>76272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76272</v>
      </c>
      <c r="C1233" s="2" t="s">
        <v>594</v>
      </c>
      <c r="D1233" s="2" t="str">
        <f t="shared" si="18"/>
        <v>Error?</v>
      </c>
    </row>
    <row r="1234" spans="1:4" x14ac:dyDescent="0.2">
      <c r="A1234" s="5">
        <v>1173</v>
      </c>
      <c r="B1234" s="138">
        <f>'Expenditures 15-22'!D151</f>
        <v>76272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162571</v>
      </c>
      <c r="D1237" s="2" t="str">
        <f t="shared" si="18"/>
        <v>Error?</v>
      </c>
    </row>
    <row r="1238" spans="1:4" x14ac:dyDescent="0.2">
      <c r="A1238" s="10">
        <v>1177</v>
      </c>
      <c r="D1238" s="2" t="str">
        <f t="shared" si="18"/>
        <v>OK</v>
      </c>
    </row>
    <row r="1239" spans="1:4" x14ac:dyDescent="0.2">
      <c r="A1239" s="5">
        <v>1178</v>
      </c>
      <c r="B1239" s="138">
        <f>'Expenditures 15-22'!E127</f>
        <v>162571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162571</v>
      </c>
      <c r="C1241" s="2" t="s">
        <v>594</v>
      </c>
      <c r="D1241" s="2" t="str">
        <f t="shared" si="18"/>
        <v>Error?</v>
      </c>
    </row>
    <row r="1242" spans="1:4" x14ac:dyDescent="0.2">
      <c r="A1242" s="5">
        <v>1181</v>
      </c>
      <c r="B1242" s="138">
        <f>'Expenditures 15-22'!E151</f>
        <v>162571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359498</v>
      </c>
      <c r="D1245" s="2" t="str">
        <f t="shared" si="18"/>
        <v>Error?</v>
      </c>
    </row>
    <row r="1246" spans="1:4" x14ac:dyDescent="0.2">
      <c r="A1246" s="10">
        <v>1185</v>
      </c>
      <c r="D1246" s="2" t="str">
        <f t="shared" si="18"/>
        <v>OK</v>
      </c>
    </row>
    <row r="1247" spans="1:4" x14ac:dyDescent="0.2">
      <c r="A1247" s="5">
        <v>1186</v>
      </c>
      <c r="B1247" s="138">
        <f>'Expenditures 15-22'!F127</f>
        <v>359498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359498</v>
      </c>
      <c r="C1249" s="2" t="s">
        <v>594</v>
      </c>
      <c r="D1249" s="2" t="str">
        <f t="shared" si="18"/>
        <v>Error?</v>
      </c>
    </row>
    <row r="1250" spans="1:4" x14ac:dyDescent="0.2">
      <c r="A1250" s="5">
        <v>1189</v>
      </c>
      <c r="B1250" s="138">
        <f>'Expenditures 15-22'!F151</f>
        <v>359498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24979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24979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24979</v>
      </c>
      <c r="C1258" s="2" t="s">
        <v>594</v>
      </c>
      <c r="D1258" s="2" t="str">
        <f t="shared" si="18"/>
        <v>Error?</v>
      </c>
    </row>
    <row r="1259" spans="1:4" x14ac:dyDescent="0.2">
      <c r="A1259" s="5">
        <v>1198</v>
      </c>
      <c r="B1259" s="138">
        <f>'Expenditures 15-22'!G151</f>
        <v>24979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1252236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1252236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1252236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1252236</v>
      </c>
      <c r="C1288" s="2" t="s">
        <v>594</v>
      </c>
      <c r="D1288" s="2" t="str">
        <f t="shared" si="19"/>
        <v>Error?</v>
      </c>
    </row>
    <row r="1289" spans="1:4" x14ac:dyDescent="0.2">
      <c r="A1289" s="5">
        <v>1228</v>
      </c>
      <c r="B1289" s="138">
        <f>'Expenditures 15-22'!K152</f>
        <v>-160221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100250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1580750</v>
      </c>
      <c r="C1317" s="2" t="s">
        <v>594</v>
      </c>
      <c r="D1317" s="2" t="str">
        <f t="shared" si="19"/>
        <v>Error?</v>
      </c>
    </row>
    <row r="1318" spans="1:4" x14ac:dyDescent="0.2">
      <c r="A1318" s="5">
        <v>1257</v>
      </c>
      <c r="B1318" s="138">
        <f>'Expenditures 15-22'!H174</f>
        <v>1580750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100250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1480000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1580750</v>
      </c>
      <c r="C1331" s="2" t="s">
        <v>594</v>
      </c>
      <c r="D1331" s="2" t="str">
        <f t="shared" si="19"/>
        <v>Error?</v>
      </c>
    </row>
    <row r="1332" spans="1:4" x14ac:dyDescent="0.2">
      <c r="A1332" s="5">
        <v>1271</v>
      </c>
      <c r="B1332" s="138">
        <f>'Expenditures 15-22'!K174</f>
        <v>1580750</v>
      </c>
      <c r="C1332" s="2" t="s">
        <v>594</v>
      </c>
      <c r="D1332" s="2" t="str">
        <f t="shared" si="19"/>
        <v>Error?</v>
      </c>
    </row>
    <row r="1333" spans="1:4" x14ac:dyDescent="0.2">
      <c r="A1333" s="5">
        <v>1272</v>
      </c>
      <c r="B1333" s="138">
        <f>'Expenditures 15-22'!K175</f>
        <v>-58852</v>
      </c>
      <c r="C1333" s="2" t="s">
        <v>594</v>
      </c>
      <c r="D1333" s="2" t="str">
        <f t="shared" si="19"/>
        <v>Error?</v>
      </c>
    </row>
    <row r="1334" spans="1:4" x14ac:dyDescent="0.2">
      <c r="A1334" s="10">
        <v>1273</v>
      </c>
      <c r="D1334" s="2" t="str">
        <f t="shared" si="19"/>
        <v>OK</v>
      </c>
    </row>
    <row r="1335" spans="1:4" x14ac:dyDescent="0.2">
      <c r="A1335" s="5">
        <v>1274</v>
      </c>
      <c r="B1335" s="138">
        <f>'Expenditures 15-22'!C182</f>
        <v>722156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722156</v>
      </c>
      <c r="C1339" s="2" t="s">
        <v>594</v>
      </c>
      <c r="D1339" s="2" t="str">
        <f t="shared" si="19"/>
        <v>Error?</v>
      </c>
    </row>
    <row r="1340" spans="1:4" x14ac:dyDescent="0.2">
      <c r="A1340" s="5">
        <v>1279</v>
      </c>
      <c r="B1340" s="138">
        <f>'Expenditures 15-22'!C210</f>
        <v>722156</v>
      </c>
      <c r="C1340" s="2" t="s">
        <v>594</v>
      </c>
      <c r="D1340" s="2" t="str">
        <f t="shared" si="19"/>
        <v>Error?</v>
      </c>
    </row>
    <row r="1341" spans="1:4" x14ac:dyDescent="0.2">
      <c r="A1341" s="5">
        <v>1280</v>
      </c>
      <c r="B1341" s="138">
        <f>'Expenditures 15-22'!D182</f>
        <v>87536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87536</v>
      </c>
      <c r="C1345" s="2" t="s">
        <v>594</v>
      </c>
      <c r="D1345" s="2" t="str">
        <f t="shared" si="20"/>
        <v>Error?</v>
      </c>
    </row>
    <row r="1346" spans="1:4" x14ac:dyDescent="0.2">
      <c r="A1346" s="5">
        <v>1285</v>
      </c>
      <c r="B1346" s="138">
        <f>'Expenditures 15-22'!D210</f>
        <v>87536</v>
      </c>
      <c r="C1346" s="2" t="s">
        <v>594</v>
      </c>
      <c r="D1346" s="2" t="str">
        <f t="shared" si="20"/>
        <v>Error?</v>
      </c>
    </row>
    <row r="1347" spans="1:4" x14ac:dyDescent="0.2">
      <c r="A1347" s="5">
        <v>1286</v>
      </c>
      <c r="B1347" s="138">
        <f>'Expenditures 15-22'!E182</f>
        <v>280208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280208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280208</v>
      </c>
      <c r="C1353" s="2" t="s">
        <v>594</v>
      </c>
      <c r="D1353" s="2" t="str">
        <f t="shared" si="20"/>
        <v>Error?</v>
      </c>
    </row>
    <row r="1354" spans="1:4" x14ac:dyDescent="0.2">
      <c r="A1354" s="5">
        <v>1293</v>
      </c>
      <c r="B1354" s="138">
        <f>'Expenditures 15-22'!F182</f>
        <v>154290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154290</v>
      </c>
      <c r="C1358" s="2" t="s">
        <v>594</v>
      </c>
      <c r="D1358" s="2" t="str">
        <f t="shared" si="20"/>
        <v>Error?</v>
      </c>
    </row>
    <row r="1359" spans="1:4" x14ac:dyDescent="0.2">
      <c r="A1359" s="5">
        <v>1298</v>
      </c>
      <c r="B1359" s="138">
        <f>'Expenditures 15-22'!F210</f>
        <v>154290</v>
      </c>
      <c r="C1359" s="2" t="s">
        <v>594</v>
      </c>
      <c r="D1359" s="2" t="str">
        <f t="shared" si="20"/>
        <v>Error?</v>
      </c>
    </row>
    <row r="1360" spans="1:4" x14ac:dyDescent="0.2">
      <c r="A1360" s="5">
        <v>1299</v>
      </c>
      <c r="B1360" s="138">
        <f>'Expenditures 15-22'!G182</f>
        <v>146509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146509</v>
      </c>
      <c r="C1364" s="2" t="s">
        <v>594</v>
      </c>
      <c r="D1364" s="2" t="str">
        <f t="shared" si="20"/>
        <v>Error?</v>
      </c>
    </row>
    <row r="1365" spans="1:4" x14ac:dyDescent="0.2">
      <c r="A1365" s="5">
        <v>1304</v>
      </c>
      <c r="B1365" s="138">
        <f>'Expenditures 15-22'!G210</f>
        <v>146509</v>
      </c>
      <c r="C1365" s="2" t="s">
        <v>594</v>
      </c>
      <c r="D1365" s="2" t="str">
        <f t="shared" si="20"/>
        <v>Error?</v>
      </c>
    </row>
    <row r="1366" spans="1:4" x14ac:dyDescent="0.2">
      <c r="A1366" s="5">
        <v>1305</v>
      </c>
      <c r="B1366" s="138">
        <f>'Expenditures 15-22'!H182</f>
        <v>2341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2341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2341</v>
      </c>
      <c r="C1376" s="2" t="s">
        <v>594</v>
      </c>
      <c r="D1376" s="2" t="str">
        <f t="shared" si="20"/>
        <v>Error?</v>
      </c>
    </row>
    <row r="1377" spans="1:4" x14ac:dyDescent="0.2">
      <c r="A1377" s="5">
        <v>1316</v>
      </c>
      <c r="B1377" s="138">
        <f>'Expenditures 15-22'!K182</f>
        <v>1522982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1522982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1522982</v>
      </c>
      <c r="C1388" s="2" t="s">
        <v>594</v>
      </c>
      <c r="D1388" s="2" t="str">
        <f t="shared" si="20"/>
        <v>Error?</v>
      </c>
    </row>
    <row r="1389" spans="1:4" x14ac:dyDescent="0.2">
      <c r="A1389" s="5">
        <v>1328</v>
      </c>
      <c r="B1389" s="138">
        <f>'Expenditures 15-22'!K211</f>
        <v>-82777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8835</v>
      </c>
      <c r="D1407" s="2" t="str">
        <f t="shared" ref="D1407:D1470" si="21">IF(ISBLANK(B1407),"OK",IF(A1407-B1407=0,"OK","Error?"))</f>
        <v>Error?</v>
      </c>
    </row>
    <row r="1408" spans="1:4" x14ac:dyDescent="0.2">
      <c r="A1408" s="5">
        <v>1347</v>
      </c>
      <c r="B1408" s="138">
        <f>'Expenditures 15-22'!D223</f>
        <v>11715</v>
      </c>
      <c r="D1408" s="2" t="str">
        <f t="shared" si="21"/>
        <v>Error?</v>
      </c>
    </row>
    <row r="1409" spans="1:4" x14ac:dyDescent="0.2">
      <c r="A1409" s="5">
        <v>1348</v>
      </c>
      <c r="B1409" s="138">
        <f>'Expenditures 15-22'!D224</f>
        <v>193</v>
      </c>
      <c r="D1409" s="2" t="str">
        <f t="shared" si="21"/>
        <v>Error?</v>
      </c>
    </row>
    <row r="1410" spans="1:4" x14ac:dyDescent="0.2">
      <c r="A1410" s="5">
        <v>1349</v>
      </c>
      <c r="B1410" s="138">
        <f>'Expenditures 15-22'!D229</f>
        <v>274002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5884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2017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7901</v>
      </c>
      <c r="C1417" s="2" t="s">
        <v>594</v>
      </c>
      <c r="D1417" s="2" t="str">
        <f t="shared" si="21"/>
        <v>Error?</v>
      </c>
    </row>
    <row r="1418" spans="1:4" x14ac:dyDescent="0.2">
      <c r="A1418" s="5">
        <v>1357</v>
      </c>
      <c r="B1418" s="138">
        <f>'Expenditures 15-22'!D240</f>
        <v>24711</v>
      </c>
      <c r="D1418" s="2" t="str">
        <f t="shared" si="21"/>
        <v>Error?</v>
      </c>
    </row>
    <row r="1419" spans="1:4" x14ac:dyDescent="0.2">
      <c r="A1419" s="5">
        <v>1358</v>
      </c>
      <c r="B1419" s="138">
        <f>'Expenditures 15-22'!D241</f>
        <v>7728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32439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1614</v>
      </c>
      <c r="D1423" s="2" t="str">
        <f t="shared" si="21"/>
        <v>Error?</v>
      </c>
    </row>
    <row r="1424" spans="1:4" x14ac:dyDescent="0.2">
      <c r="A1424" s="5">
        <v>1363</v>
      </c>
      <c r="B1424" s="138">
        <f>'Expenditures 15-22'!D257</f>
        <v>1614</v>
      </c>
      <c r="C1424" s="2" t="s">
        <v>594</v>
      </c>
      <c r="D1424" s="2" t="str">
        <f t="shared" si="21"/>
        <v>Error?</v>
      </c>
    </row>
    <row r="1425" spans="1:4" x14ac:dyDescent="0.2">
      <c r="A1425" s="5">
        <v>1364</v>
      </c>
      <c r="B1425" s="138">
        <f>'Expenditures 15-22'!D259</f>
        <v>55764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55764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30017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119937</v>
      </c>
      <c r="D1431" s="2" t="str">
        <f t="shared" si="21"/>
        <v>Error?</v>
      </c>
    </row>
    <row r="1432" spans="1:4" x14ac:dyDescent="0.2">
      <c r="A1432" s="5">
        <v>1371</v>
      </c>
      <c r="B1432" s="138">
        <f>'Expenditures 15-22'!D267</f>
        <v>124983</v>
      </c>
      <c r="D1432" s="2" t="str">
        <f t="shared" si="21"/>
        <v>Error?</v>
      </c>
    </row>
    <row r="1433" spans="1:4" x14ac:dyDescent="0.2">
      <c r="A1433" s="5">
        <v>1372</v>
      </c>
      <c r="B1433" s="138">
        <f>'Expenditures 15-22'!D268</f>
        <v>66192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341129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438847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712849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8835</v>
      </c>
      <c r="C1471" s="2" t="s">
        <v>594</v>
      </c>
      <c r="D1471" s="2" t="str">
        <f t="shared" ref="D1471:D1534" si="22">IF(ISBLANK(B1471),"OK",IF(A1471-B1471=0,"OK","Error?"))</f>
        <v>Error?</v>
      </c>
    </row>
    <row r="1472" spans="1:4" x14ac:dyDescent="0.2">
      <c r="A1472" s="5">
        <v>1411</v>
      </c>
      <c r="B1472" s="138">
        <f>'Expenditures 15-22'!K223</f>
        <v>11715</v>
      </c>
      <c r="C1472" s="2" t="s">
        <v>594</v>
      </c>
      <c r="D1472" s="2" t="str">
        <f t="shared" si="22"/>
        <v>Error?</v>
      </c>
    </row>
    <row r="1473" spans="1:4" x14ac:dyDescent="0.2">
      <c r="A1473" s="5">
        <v>1412</v>
      </c>
      <c r="B1473" s="138">
        <f>'Expenditures 15-22'!K224</f>
        <v>193</v>
      </c>
      <c r="C1473" s="2" t="s">
        <v>594</v>
      </c>
      <c r="D1473" s="2" t="str">
        <f t="shared" si="22"/>
        <v>Error?</v>
      </c>
    </row>
    <row r="1474" spans="1:4" x14ac:dyDescent="0.2">
      <c r="A1474" s="5">
        <v>1413</v>
      </c>
      <c r="B1474" s="138">
        <f>'Expenditures 15-22'!K229</f>
        <v>274002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5884</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2017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7901</v>
      </c>
      <c r="C1481" s="2" t="s">
        <v>594</v>
      </c>
      <c r="D1481" s="2" t="str">
        <f t="shared" si="22"/>
        <v>Error?</v>
      </c>
    </row>
    <row r="1482" spans="1:4" x14ac:dyDescent="0.2">
      <c r="A1482" s="5">
        <v>1421</v>
      </c>
      <c r="B1482" s="138">
        <f>'Expenditures 15-22'!K240</f>
        <v>24711</v>
      </c>
      <c r="C1482" s="2" t="s">
        <v>594</v>
      </c>
      <c r="D1482" s="2" t="str">
        <f t="shared" si="22"/>
        <v>Error?</v>
      </c>
    </row>
    <row r="1483" spans="1:4" x14ac:dyDescent="0.2">
      <c r="A1483" s="5">
        <v>1422</v>
      </c>
      <c r="B1483" s="138">
        <f>'Expenditures 15-22'!K241</f>
        <v>7728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32439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1614</v>
      </c>
      <c r="C1487" s="2" t="s">
        <v>594</v>
      </c>
      <c r="D1487" s="2" t="str">
        <f t="shared" si="22"/>
        <v>Error?</v>
      </c>
    </row>
    <row r="1488" spans="1:4" x14ac:dyDescent="0.2">
      <c r="A1488" s="5">
        <v>1427</v>
      </c>
      <c r="B1488" s="138">
        <f>'Expenditures 15-22'!K257</f>
        <v>1614</v>
      </c>
      <c r="C1488" s="2" t="s">
        <v>594</v>
      </c>
      <c r="D1488" s="2" t="str">
        <f t="shared" si="22"/>
        <v>Error?</v>
      </c>
    </row>
    <row r="1489" spans="1:4" x14ac:dyDescent="0.2">
      <c r="A1489" s="5">
        <v>1428</v>
      </c>
      <c r="B1489" s="138">
        <f>'Expenditures 15-22'!K259</f>
        <v>55764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55764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30017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119937</v>
      </c>
      <c r="C1495" s="2" t="s">
        <v>594</v>
      </c>
      <c r="D1495" s="2" t="str">
        <f t="shared" si="22"/>
        <v>Error?</v>
      </c>
    </row>
    <row r="1496" spans="1:4" x14ac:dyDescent="0.2">
      <c r="A1496" s="5">
        <v>1435</v>
      </c>
      <c r="B1496" s="138">
        <f>'Expenditures 15-22'!K267</f>
        <v>124983</v>
      </c>
      <c r="C1496" s="2" t="s">
        <v>594</v>
      </c>
      <c r="D1496" s="2" t="str">
        <f t="shared" si="22"/>
        <v>Error?</v>
      </c>
    </row>
    <row r="1497" spans="1:4" x14ac:dyDescent="0.2">
      <c r="A1497" s="5">
        <v>1436</v>
      </c>
      <c r="B1497" s="138">
        <f>'Expenditures 15-22'!K268</f>
        <v>66192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341129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438847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712849</v>
      </c>
      <c r="C1517" s="2" t="s">
        <v>594</v>
      </c>
      <c r="D1517" s="2" t="str">
        <f t="shared" si="22"/>
        <v>Error?</v>
      </c>
    </row>
    <row r="1518" spans="1:4" x14ac:dyDescent="0.2">
      <c r="A1518" s="5">
        <v>1457</v>
      </c>
      <c r="B1518" s="138">
        <f>'Expenditures 15-22'!K296</f>
        <v>120364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299439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299439</v>
      </c>
      <c r="C1535" s="2" t="s">
        <v>594</v>
      </c>
      <c r="D1535" s="2" t="str">
        <f t="shared" ref="D1535:D1598" si="23">IF(ISBLANK(B1535),"OK",IF(A1535-B1535=0,"OK","Error?"))</f>
        <v>Error?</v>
      </c>
    </row>
    <row r="1536" spans="1:4" x14ac:dyDescent="0.2">
      <c r="A1536" s="5">
        <v>1475</v>
      </c>
      <c r="B1536" s="138">
        <f>'Expenditures 15-22'!E312</f>
        <v>299439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116788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116788</v>
      </c>
      <c r="C1547" s="2" t="s">
        <v>594</v>
      </c>
      <c r="D1547" s="2" t="str">
        <f t="shared" si="23"/>
        <v>Error?</v>
      </c>
    </row>
    <row r="1548" spans="1:4" x14ac:dyDescent="0.2">
      <c r="A1548" s="5">
        <v>1487</v>
      </c>
      <c r="B1548" s="138">
        <f>'Expenditures 15-22'!G312</f>
        <v>116788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416227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416227</v>
      </c>
      <c r="C1559" s="2" t="s">
        <v>594</v>
      </c>
      <c r="D1559" s="2" t="str">
        <f t="shared" si="23"/>
        <v>Error?</v>
      </c>
    </row>
    <row r="1560" spans="1:4" x14ac:dyDescent="0.2">
      <c r="A1560" s="5">
        <v>1499</v>
      </c>
      <c r="B1560" s="138">
        <f>'Expenditures 15-22'!K312</f>
        <v>416227</v>
      </c>
      <c r="C1560" s="2" t="s">
        <v>594</v>
      </c>
      <c r="D1560" s="2" t="str">
        <f t="shared" si="23"/>
        <v>Error?</v>
      </c>
    </row>
    <row r="1561" spans="1:4" x14ac:dyDescent="0.2">
      <c r="A1561" s="5">
        <v>1500</v>
      </c>
      <c r="B1561" s="138">
        <f>'Expenditures 15-22'!K313</f>
        <v>329944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196657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330603</v>
      </c>
      <c r="C1630" s="2" t="s">
        <v>594</v>
      </c>
      <c r="D1630" s="2" t="str">
        <f t="shared" si="24"/>
        <v>Error?</v>
      </c>
    </row>
    <row r="1631" spans="1:4" x14ac:dyDescent="0.2">
      <c r="A1631" s="5">
        <v>1570</v>
      </c>
      <c r="B1631" s="138">
        <f>'Acct Summary 7-8'!D79</f>
        <v>130274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120053</v>
      </c>
      <c r="C1644" s="2" t="s">
        <v>594</v>
      </c>
      <c r="D1644" s="2" t="str">
        <f t="shared" si="24"/>
        <v>Error?</v>
      </c>
    </row>
    <row r="1645" spans="1:4" x14ac:dyDescent="0.2">
      <c r="A1645" s="5">
        <v>1584</v>
      </c>
      <c r="B1645" s="138">
        <f>'Acct Summary 7-8'!E79</f>
        <v>120917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62065</v>
      </c>
      <c r="C1658" s="2" t="s">
        <v>594</v>
      </c>
      <c r="D1658" s="2" t="str">
        <f t="shared" si="24"/>
        <v>Error?</v>
      </c>
    </row>
    <row r="1659" spans="1:4" x14ac:dyDescent="0.2">
      <c r="A1659" s="5">
        <v>1598</v>
      </c>
      <c r="B1659" s="138">
        <f>'Acct Summary 7-8'!F79</f>
        <v>139186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206409</v>
      </c>
      <c r="C1672" s="2" t="s">
        <v>594</v>
      </c>
      <c r="D1672" s="2" t="str">
        <f t="shared" si="25"/>
        <v>Error?</v>
      </c>
    </row>
    <row r="1673" spans="1:4" x14ac:dyDescent="0.2">
      <c r="A1673" s="5">
        <v>1612</v>
      </c>
      <c r="B1673" s="138">
        <f>'Acct Summary 7-8'!G79</f>
        <v>651053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771417</v>
      </c>
      <c r="C1686" s="2" t="s">
        <v>594</v>
      </c>
      <c r="D1686" s="2" t="str">
        <f t="shared" si="25"/>
        <v>Error?</v>
      </c>
    </row>
    <row r="1687" spans="1:4" x14ac:dyDescent="0.2">
      <c r="A1687" s="5">
        <v>1626</v>
      </c>
      <c r="B1687" s="138">
        <f>'Acct Summary 7-8'!H79</f>
        <v>491864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821808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7242051</v>
      </c>
      <c r="C1744" s="2" t="s">
        <v>594</v>
      </c>
      <c r="D1744" s="2" t="str">
        <f t="shared" si="26"/>
        <v>Error?</v>
      </c>
    </row>
    <row r="1745" spans="1:5" x14ac:dyDescent="0.2">
      <c r="A1745" s="5">
        <v>1684</v>
      </c>
      <c r="B1745" s="138">
        <f>'Tax Sched 23'!B5</f>
        <v>1089148</v>
      </c>
      <c r="C1745" s="2" t="s">
        <v>594</v>
      </c>
      <c r="D1745" s="2" t="str">
        <f t="shared" si="26"/>
        <v>Error?</v>
      </c>
    </row>
    <row r="1746" spans="1:5" x14ac:dyDescent="0.2">
      <c r="A1746" s="5">
        <v>1685</v>
      </c>
      <c r="B1746" s="138">
        <f>'Tax Sched 23'!B6</f>
        <v>1520070</v>
      </c>
      <c r="C1746" s="2" t="s">
        <v>594</v>
      </c>
      <c r="D1746" s="2" t="str">
        <f t="shared" si="26"/>
        <v>Error?</v>
      </c>
    </row>
    <row r="1747" spans="1:5" x14ac:dyDescent="0.2">
      <c r="A1747" s="5">
        <v>1686</v>
      </c>
      <c r="B1747" s="138">
        <f>'Tax Sched 23'!B7</f>
        <v>435661</v>
      </c>
      <c r="C1747" s="2" t="s">
        <v>594</v>
      </c>
      <c r="D1747" s="2" t="str">
        <f t="shared" si="26"/>
        <v>Error?</v>
      </c>
    </row>
    <row r="1748" spans="1:5" x14ac:dyDescent="0.2">
      <c r="A1748" s="5">
        <v>1687</v>
      </c>
      <c r="B1748" s="138">
        <f>'Tax Sched 23'!B8</f>
        <v>401743</v>
      </c>
      <c r="C1748" s="2" t="s">
        <v>594</v>
      </c>
      <c r="D1748" s="2" t="str">
        <f t="shared" si="26"/>
        <v>Error?</v>
      </c>
    </row>
    <row r="1749" spans="1:5" x14ac:dyDescent="0.2">
      <c r="A1749" s="5">
        <v>1688</v>
      </c>
      <c r="B1749" s="138">
        <f>'Tax Sched 23'!B10</f>
        <v>108918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726858</v>
      </c>
      <c r="C1752" s="2" t="s">
        <v>594</v>
      </c>
      <c r="D1752" s="2" t="str">
        <f t="shared" si="26"/>
        <v>Error?</v>
      </c>
    </row>
    <row r="1753" spans="1:5" x14ac:dyDescent="0.2">
      <c r="A1753" s="5">
        <v>1692</v>
      </c>
      <c r="B1753" s="138">
        <f>'Tax Sched 23'!B12</f>
        <v>108903</v>
      </c>
      <c r="C1753" s="2" t="s">
        <v>594</v>
      </c>
      <c r="D1753" s="2" t="str">
        <f t="shared" si="26"/>
        <v>Error?</v>
      </c>
    </row>
    <row r="1754" spans="1:5" x14ac:dyDescent="0.2">
      <c r="A1754" s="5">
        <v>1693</v>
      </c>
      <c r="B1754" s="138">
        <f>'Tax Sched 23'!B14</f>
        <v>87130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12254620</v>
      </c>
      <c r="C1759" s="2" t="s">
        <v>594</v>
      </c>
      <c r="D1759" s="2" t="str">
        <f t="shared" si="26"/>
        <v>Error?</v>
      </c>
    </row>
    <row r="1760" spans="1:5" x14ac:dyDescent="0.2">
      <c r="A1760" s="5">
        <v>1699</v>
      </c>
      <c r="B1760" s="138">
        <f>'Tax Sched 23'!D4</f>
        <v>6376737</v>
      </c>
      <c r="C1760" s="2" t="s">
        <v>594</v>
      </c>
      <c r="D1760" s="2" t="str">
        <f t="shared" si="26"/>
        <v>Error?</v>
      </c>
    </row>
    <row r="1761" spans="1:5" x14ac:dyDescent="0.2">
      <c r="A1761" s="5">
        <v>1700</v>
      </c>
      <c r="B1761" s="138">
        <f>'Tax Sched 23'!D5</f>
        <v>958040</v>
      </c>
      <c r="C1761" s="2" t="s">
        <v>594</v>
      </c>
      <c r="D1761" s="2" t="str">
        <f t="shared" si="26"/>
        <v>Error?</v>
      </c>
    </row>
    <row r="1762" spans="1:5" s="8" customFormat="1" x14ac:dyDescent="0.2">
      <c r="A1762" s="5">
        <v>1701</v>
      </c>
      <c r="B1762" s="138">
        <f>'Tax Sched 23'!D6</f>
        <v>1331645</v>
      </c>
      <c r="C1762" s="2" t="s">
        <v>594</v>
      </c>
      <c r="D1762" s="2" t="str">
        <f t="shared" si="26"/>
        <v>Error?</v>
      </c>
      <c r="E1762" s="9"/>
    </row>
    <row r="1763" spans="1:5" x14ac:dyDescent="0.2">
      <c r="A1763" s="5">
        <v>1702</v>
      </c>
      <c r="B1763" s="138">
        <f>'Tax Sched 23'!D7</f>
        <v>383219</v>
      </c>
      <c r="C1763" s="2" t="s">
        <v>594</v>
      </c>
      <c r="D1763" s="2" t="str">
        <f t="shared" si="26"/>
        <v>Error?</v>
      </c>
    </row>
    <row r="1764" spans="1:5" x14ac:dyDescent="0.2">
      <c r="A1764" s="5">
        <v>1703</v>
      </c>
      <c r="B1764" s="138">
        <f>'Tax Sched 23'!D8</f>
        <v>364758</v>
      </c>
      <c r="C1764" s="2" t="s">
        <v>594</v>
      </c>
      <c r="D1764" s="2" t="str">
        <f t="shared" si="26"/>
        <v>Error?</v>
      </c>
    </row>
    <row r="1765" spans="1:5" x14ac:dyDescent="0.2">
      <c r="A1765" s="5">
        <v>1704</v>
      </c>
      <c r="B1765" s="138">
        <f>'Tax Sched 23'!D10</f>
        <v>95807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632957</v>
      </c>
      <c r="C1768" s="2" t="s">
        <v>594</v>
      </c>
      <c r="D1768" s="2" t="str">
        <f t="shared" si="26"/>
        <v>Error?</v>
      </c>
    </row>
    <row r="1769" spans="1:5" x14ac:dyDescent="0.2">
      <c r="A1769" s="5">
        <v>1708</v>
      </c>
      <c r="B1769" s="138">
        <f>'Tax Sched 23'!D12</f>
        <v>95792</v>
      </c>
      <c r="C1769" s="2" t="s">
        <v>594</v>
      </c>
      <c r="D1769" s="2" t="str">
        <f t="shared" si="26"/>
        <v>Error?</v>
      </c>
    </row>
    <row r="1770" spans="1:5" x14ac:dyDescent="0.2">
      <c r="A1770" s="5">
        <v>1709</v>
      </c>
      <c r="B1770" s="138">
        <f>'Tax Sched 23'!D14</f>
        <v>76642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10776162</v>
      </c>
      <c r="C1775" s="2" t="s">
        <v>594</v>
      </c>
      <c r="D1775" s="2" t="str">
        <f t="shared" si="26"/>
        <v>Error?</v>
      </c>
    </row>
    <row r="1776" spans="1:5" x14ac:dyDescent="0.2">
      <c r="A1776" s="5">
        <v>1715</v>
      </c>
      <c r="B1776" s="138">
        <f>'Tax Sched 23'!C4</f>
        <v>865314</v>
      </c>
      <c r="D1776" s="2" t="str">
        <f t="shared" si="26"/>
        <v>Error?</v>
      </c>
    </row>
    <row r="1777" spans="1:4" x14ac:dyDescent="0.2">
      <c r="A1777" s="5">
        <v>1716</v>
      </c>
      <c r="B1777" s="138">
        <f>'Tax Sched 23'!C5</f>
        <v>131108</v>
      </c>
      <c r="D1777" s="2" t="str">
        <f t="shared" si="26"/>
        <v>Error?</v>
      </c>
    </row>
    <row r="1778" spans="1:4" x14ac:dyDescent="0.2">
      <c r="A1778" s="5">
        <v>1717</v>
      </c>
      <c r="B1778" s="138">
        <f>'Tax Sched 23'!C6</f>
        <v>188425</v>
      </c>
      <c r="D1778" s="2" t="str">
        <f t="shared" si="26"/>
        <v>Error?</v>
      </c>
    </row>
    <row r="1779" spans="1:4" x14ac:dyDescent="0.2">
      <c r="A1779" s="5">
        <v>1718</v>
      </c>
      <c r="B1779" s="138">
        <f>'Tax Sched 23'!C7</f>
        <v>52442</v>
      </c>
      <c r="D1779" s="2" t="str">
        <f t="shared" si="26"/>
        <v>Error?</v>
      </c>
    </row>
    <row r="1780" spans="1:4" x14ac:dyDescent="0.2">
      <c r="A1780" s="5">
        <v>1719</v>
      </c>
      <c r="B1780" s="138">
        <f>'Tax Sched 23'!C8</f>
        <v>36985</v>
      </c>
      <c r="D1780" s="2" t="str">
        <f t="shared" si="26"/>
        <v>Error?</v>
      </c>
    </row>
    <row r="1781" spans="1:4" x14ac:dyDescent="0.2">
      <c r="A1781" s="5">
        <v>1720</v>
      </c>
      <c r="B1781" s="138">
        <f>'Tax Sched 23'!C10</f>
        <v>13111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93901</v>
      </c>
      <c r="D1784" s="2" t="str">
        <f t="shared" si="26"/>
        <v>Error?</v>
      </c>
    </row>
    <row r="1785" spans="1:4" x14ac:dyDescent="0.2">
      <c r="A1785" s="5">
        <v>1724</v>
      </c>
      <c r="B1785" s="138">
        <f>'Tax Sched 23'!C12</f>
        <v>13111</v>
      </c>
      <c r="D1785" s="2" t="str">
        <f t="shared" si="26"/>
        <v>Error?</v>
      </c>
    </row>
    <row r="1786" spans="1:4" x14ac:dyDescent="0.2">
      <c r="A1786" s="5">
        <v>1725</v>
      </c>
      <c r="B1786" s="138">
        <f>'Tax Sched 23'!C14</f>
        <v>10488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1478458</v>
      </c>
      <c r="C1791" s="2" t="s">
        <v>594</v>
      </c>
      <c r="D1791" s="2" t="str">
        <f t="shared" ref="D1791:D1854" si="27">IF(ISBLANK(B1791),"OK",IF(A1791-B1791=0,"OK","Error?"))</f>
        <v>Error?</v>
      </c>
    </row>
    <row r="1792" spans="1:4" x14ac:dyDescent="0.2">
      <c r="A1792" s="5">
        <v>1731</v>
      </c>
      <c r="B1792" s="138">
        <f>'Tax Sched 23'!F4</f>
        <v>6510880</v>
      </c>
      <c r="C1792" s="2" t="s">
        <v>594</v>
      </c>
      <c r="D1792" s="2" t="str">
        <f t="shared" si="27"/>
        <v>Error?</v>
      </c>
    </row>
    <row r="1793" spans="1:4" x14ac:dyDescent="0.2">
      <c r="A1793" s="5">
        <v>1732</v>
      </c>
      <c r="B1793" s="138">
        <f>'Tax Sched 23'!F5</f>
        <v>986497</v>
      </c>
      <c r="C1793" s="2" t="s">
        <v>594</v>
      </c>
      <c r="D1793" s="2" t="str">
        <f t="shared" si="27"/>
        <v>Error?</v>
      </c>
    </row>
    <row r="1794" spans="1:4" x14ac:dyDescent="0.2">
      <c r="A1794" s="5">
        <v>1733</v>
      </c>
      <c r="B1794" s="138">
        <f>'Tax Sched 23'!F6</f>
        <v>1416903</v>
      </c>
      <c r="C1794" s="2" t="s">
        <v>594</v>
      </c>
      <c r="D1794" s="2" t="str">
        <f t="shared" si="27"/>
        <v>Error?</v>
      </c>
    </row>
    <row r="1795" spans="1:4" x14ac:dyDescent="0.2">
      <c r="A1795" s="5">
        <v>1734</v>
      </c>
      <c r="B1795" s="138">
        <f>'Tax Sched 23'!F7</f>
        <v>394600</v>
      </c>
      <c r="C1795" s="2" t="s">
        <v>594</v>
      </c>
      <c r="D1795" s="2" t="str">
        <f t="shared" si="27"/>
        <v>Error?</v>
      </c>
    </row>
    <row r="1796" spans="1:4" x14ac:dyDescent="0.2">
      <c r="A1796" s="5">
        <v>1735</v>
      </c>
      <c r="B1796" s="138">
        <f>'Tax Sched 23'!F8</f>
        <v>278135</v>
      </c>
      <c r="C1796" s="2" t="s">
        <v>594</v>
      </c>
      <c r="D1796" s="2" t="str">
        <f t="shared" si="27"/>
        <v>Error?</v>
      </c>
    </row>
    <row r="1797" spans="1:4" x14ac:dyDescent="0.2">
      <c r="A1797" s="5">
        <v>1736</v>
      </c>
      <c r="B1797" s="138">
        <f>'Tax Sched 23'!F10</f>
        <v>98650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706103</v>
      </c>
      <c r="C1800" s="2" t="s">
        <v>594</v>
      </c>
      <c r="D1800" s="2" t="str">
        <f t="shared" si="27"/>
        <v>Error?</v>
      </c>
    </row>
    <row r="1801" spans="1:4" x14ac:dyDescent="0.2">
      <c r="A1801" s="5">
        <v>1740</v>
      </c>
      <c r="B1801" s="138">
        <f>'Tax Sched 23'!F12</f>
        <v>98650</v>
      </c>
      <c r="C1801" s="2" t="s">
        <v>594</v>
      </c>
      <c r="D1801" s="2" t="str">
        <f t="shared" si="27"/>
        <v>Error?</v>
      </c>
    </row>
    <row r="1802" spans="1:4" x14ac:dyDescent="0.2">
      <c r="A1802" s="5">
        <v>1741</v>
      </c>
      <c r="B1802" s="138">
        <f>'Tax Sched 23'!F14</f>
        <v>78920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11122630</v>
      </c>
      <c r="C1807" s="2" t="s">
        <v>594</v>
      </c>
      <c r="D1807" s="2" t="str">
        <f t="shared" si="27"/>
        <v>Error?</v>
      </c>
    </row>
    <row r="1808" spans="1:4" x14ac:dyDescent="0.2">
      <c r="A1808" s="5">
        <v>1747</v>
      </c>
      <c r="B1808" s="138">
        <f>'Tax Sched 23'!E4</f>
        <v>7376194</v>
      </c>
      <c r="D1808" s="2" t="str">
        <f t="shared" si="27"/>
        <v>Error?</v>
      </c>
    </row>
    <row r="1809" spans="1:4" x14ac:dyDescent="0.2">
      <c r="A1809" s="5">
        <v>1748</v>
      </c>
      <c r="B1809" s="138">
        <f>'Tax Sched 23'!E5</f>
        <v>1117605</v>
      </c>
      <c r="D1809" s="2" t="str">
        <f t="shared" si="27"/>
        <v>Error?</v>
      </c>
    </row>
    <row r="1810" spans="1:4" x14ac:dyDescent="0.2">
      <c r="A1810" s="5">
        <v>1749</v>
      </c>
      <c r="B1810" s="138">
        <f>'Tax Sched 23'!E6</f>
        <v>1605328</v>
      </c>
      <c r="D1810" s="2" t="str">
        <f t="shared" si="27"/>
        <v>Error?</v>
      </c>
    </row>
    <row r="1811" spans="1:4" x14ac:dyDescent="0.2">
      <c r="A1811" s="5">
        <v>1750</v>
      </c>
      <c r="B1811" s="138">
        <f>'Tax Sched 23'!E7</f>
        <v>447042</v>
      </c>
      <c r="D1811" s="2" t="str">
        <f t="shared" si="27"/>
        <v>Error?</v>
      </c>
    </row>
    <row r="1812" spans="1:4" x14ac:dyDescent="0.2">
      <c r="A1812" s="5">
        <v>1751</v>
      </c>
      <c r="B1812" s="138">
        <f>'Tax Sched 23'!E8</f>
        <v>315120</v>
      </c>
      <c r="D1812" s="2" t="str">
        <f t="shared" si="27"/>
        <v>Error?</v>
      </c>
    </row>
    <row r="1813" spans="1:4" x14ac:dyDescent="0.2">
      <c r="A1813" s="5">
        <v>1752</v>
      </c>
      <c r="B1813" s="138">
        <f>'Tax Sched 23'!E10</f>
        <v>111761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800004</v>
      </c>
      <c r="D1816" s="2" t="str">
        <f t="shared" si="27"/>
        <v>Error?</v>
      </c>
    </row>
    <row r="1817" spans="1:4" x14ac:dyDescent="0.2">
      <c r="A1817" s="5">
        <v>1756</v>
      </c>
      <c r="B1817" s="138">
        <f>'Tax Sched 23'!E12</f>
        <v>111761</v>
      </c>
      <c r="D1817" s="2" t="str">
        <f t="shared" si="27"/>
        <v>Error?</v>
      </c>
    </row>
    <row r="1818" spans="1:4" x14ac:dyDescent="0.2">
      <c r="A1818" s="5">
        <v>1757</v>
      </c>
      <c r="B1818" s="138">
        <f>'Tax Sched 23'!E14</f>
        <v>89408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12601088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87130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87130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87130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441852</v>
      </c>
      <c r="D2008" s="2" t="str">
        <f t="shared" si="30"/>
        <v>Error?</v>
      </c>
    </row>
    <row r="2009" spans="1:4" x14ac:dyDescent="0.2">
      <c r="A2009" s="5">
        <v>1948</v>
      </c>
      <c r="B2009" s="138">
        <f>'Cap Outlay Deprec 26'!C8</f>
        <v>26182284</v>
      </c>
      <c r="D2009" s="2" t="str">
        <f t="shared" si="30"/>
        <v>Error?</v>
      </c>
    </row>
    <row r="2010" spans="1:4" x14ac:dyDescent="0.2">
      <c r="A2010" s="5">
        <v>1949</v>
      </c>
      <c r="B2010" s="138">
        <f>'Cap Outlay Deprec 26'!C10</f>
        <v>896412</v>
      </c>
      <c r="D2010" s="2" t="str">
        <f t="shared" si="30"/>
        <v>Error?</v>
      </c>
    </row>
    <row r="2011" spans="1:4" x14ac:dyDescent="0.2">
      <c r="A2011" s="5">
        <v>1950</v>
      </c>
      <c r="B2011" s="138">
        <f>'Cap Outlay Deprec 26'!C12</f>
        <v>4827279</v>
      </c>
      <c r="D2011" s="2" t="str">
        <f t="shared" si="30"/>
        <v>Error?</v>
      </c>
    </row>
    <row r="2012" spans="1:4" x14ac:dyDescent="0.2">
      <c r="A2012" s="5">
        <v>1951</v>
      </c>
      <c r="B2012" s="138">
        <f>'Cap Outlay Deprec 26'!C13</f>
        <v>2343714</v>
      </c>
      <c r="D2012" s="2" t="str">
        <f t="shared" si="30"/>
        <v>Error?</v>
      </c>
    </row>
    <row r="2013" spans="1:4" x14ac:dyDescent="0.2">
      <c r="A2013" s="5">
        <v>1952</v>
      </c>
      <c r="B2013" s="138">
        <f>'Cap Outlay Deprec 26'!C16</f>
        <v>34691541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147119</v>
      </c>
      <c r="D2017" s="2" t="str">
        <f t="shared" si="30"/>
        <v>Error?</v>
      </c>
    </row>
    <row r="2018" spans="1:4" x14ac:dyDescent="0.2">
      <c r="A2018" s="5">
        <v>1957</v>
      </c>
      <c r="B2018" s="138">
        <f>'Cap Outlay Deprec 26'!D13</f>
        <v>351607</v>
      </c>
      <c r="D2018" s="2" t="str">
        <f t="shared" si="30"/>
        <v>Error?</v>
      </c>
    </row>
    <row r="2019" spans="1:4" x14ac:dyDescent="0.2">
      <c r="A2019" s="5">
        <v>1958</v>
      </c>
      <c r="B2019" s="138">
        <f>'Cap Outlay Deprec 26'!D16</f>
        <v>498726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74974</v>
      </c>
      <c r="D2024" s="2" t="str">
        <f t="shared" si="30"/>
        <v>Error?</v>
      </c>
    </row>
    <row r="2025" spans="1:4" x14ac:dyDescent="0.2">
      <c r="A2025" s="5">
        <v>1964</v>
      </c>
      <c r="B2025" s="138">
        <f>'Cap Outlay Deprec 26'!E16</f>
        <v>74974</v>
      </c>
      <c r="C2025" s="2" t="s">
        <v>594</v>
      </c>
      <c r="D2025" s="2" t="str">
        <f t="shared" si="30"/>
        <v>Error?</v>
      </c>
    </row>
    <row r="2026" spans="1:4" x14ac:dyDescent="0.2">
      <c r="A2026" s="5">
        <v>1965</v>
      </c>
      <c r="B2026" s="138">
        <f>'Cap Outlay Deprec 26'!F5</f>
        <v>441852</v>
      </c>
      <c r="C2026" s="2" t="s">
        <v>594</v>
      </c>
      <c r="D2026" s="2" t="str">
        <f t="shared" si="30"/>
        <v>Error?</v>
      </c>
    </row>
    <row r="2027" spans="1:4" x14ac:dyDescent="0.2">
      <c r="A2027" s="5">
        <v>1966</v>
      </c>
      <c r="B2027" s="138">
        <f>'Cap Outlay Deprec 26'!F8</f>
        <v>26182284</v>
      </c>
      <c r="C2027" s="2" t="s">
        <v>594</v>
      </c>
      <c r="D2027" s="2" t="str">
        <f t="shared" si="30"/>
        <v>Error?</v>
      </c>
    </row>
    <row r="2028" spans="1:4" x14ac:dyDescent="0.2">
      <c r="A2028" s="5">
        <v>1967</v>
      </c>
      <c r="B2028" s="138">
        <f>'Cap Outlay Deprec 26'!F10</f>
        <v>896412</v>
      </c>
      <c r="C2028" s="2" t="s">
        <v>594</v>
      </c>
      <c r="D2028" s="2" t="str">
        <f t="shared" si="30"/>
        <v>Error?</v>
      </c>
    </row>
    <row r="2029" spans="1:4" x14ac:dyDescent="0.2">
      <c r="A2029" s="5">
        <v>1968</v>
      </c>
      <c r="B2029" s="138">
        <f>'Cap Outlay Deprec 26'!F12</f>
        <v>4974398</v>
      </c>
      <c r="C2029" s="2" t="s">
        <v>594</v>
      </c>
      <c r="D2029" s="2" t="str">
        <f t="shared" si="30"/>
        <v>Error?</v>
      </c>
    </row>
    <row r="2030" spans="1:4" x14ac:dyDescent="0.2">
      <c r="A2030" s="5">
        <v>1969</v>
      </c>
      <c r="B2030" s="138">
        <f>'Cap Outlay Deprec 26'!F13</f>
        <v>2620347</v>
      </c>
      <c r="C2030" s="2" t="s">
        <v>594</v>
      </c>
      <c r="D2030" s="2" t="str">
        <f t="shared" si="30"/>
        <v>Error?</v>
      </c>
    </row>
    <row r="2031" spans="1:4" x14ac:dyDescent="0.2">
      <c r="A2031" s="5">
        <v>1970</v>
      </c>
      <c r="B2031" s="138">
        <f>'Cap Outlay Deprec 26'!F16</f>
        <v>35115293</v>
      </c>
      <c r="C2031" s="2" t="s">
        <v>594</v>
      </c>
      <c r="D2031" s="2" t="str">
        <f t="shared" si="30"/>
        <v>Error?</v>
      </c>
    </row>
    <row r="2032" spans="1:4" x14ac:dyDescent="0.2">
      <c r="A2032" s="10">
        <v>1971</v>
      </c>
      <c r="D2032" s="2" t="str">
        <f t="shared" si="30"/>
        <v>OK</v>
      </c>
    </row>
    <row r="2033" spans="1:4" x14ac:dyDescent="0.2">
      <c r="A2033" s="5">
        <v>1972</v>
      </c>
      <c r="B2033" s="138">
        <f>'Cap Outlay Deprec 26'!H8</f>
        <v>14070044</v>
      </c>
      <c r="D2033" s="2" t="str">
        <f t="shared" si="30"/>
        <v>Error?</v>
      </c>
    </row>
    <row r="2034" spans="1:4" x14ac:dyDescent="0.2">
      <c r="A2034" s="5">
        <v>1973</v>
      </c>
      <c r="B2034" s="138">
        <f>'Cap Outlay Deprec 26'!H10</f>
        <v>554655</v>
      </c>
      <c r="D2034" s="2" t="str">
        <f t="shared" si="30"/>
        <v>Error?</v>
      </c>
    </row>
    <row r="2035" spans="1:4" x14ac:dyDescent="0.2">
      <c r="A2035" s="5">
        <v>1974</v>
      </c>
      <c r="B2035" s="138">
        <f>'Cap Outlay Deprec 26'!H12</f>
        <v>4084265</v>
      </c>
      <c r="D2035" s="2" t="str">
        <f t="shared" si="30"/>
        <v>Error?</v>
      </c>
    </row>
    <row r="2036" spans="1:4" x14ac:dyDescent="0.2">
      <c r="A2036" s="5">
        <v>1975</v>
      </c>
      <c r="B2036" s="138">
        <f>'Cap Outlay Deprec 26'!H13</f>
        <v>2128017</v>
      </c>
      <c r="D2036" s="2" t="str">
        <f t="shared" si="30"/>
        <v>Error?</v>
      </c>
    </row>
    <row r="2037" spans="1:4" x14ac:dyDescent="0.2">
      <c r="A2037" s="5">
        <v>1976</v>
      </c>
      <c r="B2037" s="138">
        <f>'Cap Outlay Deprec 26'!H16</f>
        <v>20836981</v>
      </c>
      <c r="C2037" s="2" t="s">
        <v>594</v>
      </c>
      <c r="D2037" s="2" t="str">
        <f t="shared" si="30"/>
        <v>Error?</v>
      </c>
    </row>
    <row r="2038" spans="1:4" x14ac:dyDescent="0.2">
      <c r="A2038" s="10">
        <v>1977</v>
      </c>
      <c r="D2038" s="2" t="str">
        <f t="shared" si="30"/>
        <v>OK</v>
      </c>
    </row>
    <row r="2039" spans="1:4" x14ac:dyDescent="0.2">
      <c r="A2039" s="5">
        <v>1978</v>
      </c>
      <c r="B2039" s="138">
        <f>'Cap Outlay Deprec 26'!I8</f>
        <v>523645</v>
      </c>
      <c r="D2039" s="2" t="str">
        <f t="shared" si="30"/>
        <v>Error?</v>
      </c>
    </row>
    <row r="2040" spans="1:4" x14ac:dyDescent="0.2">
      <c r="A2040" s="5">
        <v>1979</v>
      </c>
      <c r="B2040" s="138">
        <f>'Cap Outlay Deprec 26'!I10</f>
        <v>19847</v>
      </c>
      <c r="D2040" s="2" t="str">
        <f t="shared" si="30"/>
        <v>Error?</v>
      </c>
    </row>
    <row r="2041" spans="1:4" x14ac:dyDescent="0.2">
      <c r="A2041" s="5">
        <v>1980</v>
      </c>
      <c r="B2041" s="138">
        <f>'Cap Outlay Deprec 26'!I12</f>
        <v>116662</v>
      </c>
      <c r="D2041" s="2" t="str">
        <f t="shared" si="30"/>
        <v>Error?</v>
      </c>
    </row>
    <row r="2042" spans="1:4" x14ac:dyDescent="0.2">
      <c r="A2042" s="5">
        <v>1981</v>
      </c>
      <c r="B2042" s="138">
        <f>'Cap Outlay Deprec 26'!I13</f>
        <v>123978</v>
      </c>
      <c r="D2042" s="2" t="str">
        <f t="shared" si="30"/>
        <v>Error?</v>
      </c>
    </row>
    <row r="2043" spans="1:4" x14ac:dyDescent="0.2">
      <c r="A2043" s="5">
        <v>1982</v>
      </c>
      <c r="B2043" s="138">
        <f>'Cap Outlay Deprec 26'!I16</f>
        <v>784132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74974</v>
      </c>
      <c r="D2048" s="2" t="str">
        <f t="shared" si="31"/>
        <v>Error?</v>
      </c>
    </row>
    <row r="2049" spans="1:4" x14ac:dyDescent="0.2">
      <c r="A2049" s="5">
        <v>1988</v>
      </c>
      <c r="B2049" s="138">
        <f>'Cap Outlay Deprec 26'!J16</f>
        <v>74974</v>
      </c>
      <c r="C2049" s="2" t="s">
        <v>594</v>
      </c>
      <c r="D2049" s="2" t="str">
        <f t="shared" si="31"/>
        <v>Error?</v>
      </c>
    </row>
    <row r="2050" spans="1:4" x14ac:dyDescent="0.2">
      <c r="A2050" s="10">
        <v>1989</v>
      </c>
      <c r="D2050" s="2" t="str">
        <f t="shared" si="31"/>
        <v>OK</v>
      </c>
    </row>
    <row r="2051" spans="1:4" x14ac:dyDescent="0.2">
      <c r="A2051" s="5">
        <v>1990</v>
      </c>
      <c r="B2051" s="138">
        <f>'Cap Outlay Deprec 26'!K8</f>
        <v>14593689</v>
      </c>
      <c r="C2051" s="2" t="s">
        <v>594</v>
      </c>
      <c r="D2051" s="2" t="str">
        <f t="shared" si="31"/>
        <v>Error?</v>
      </c>
    </row>
    <row r="2052" spans="1:4" x14ac:dyDescent="0.2">
      <c r="A2052" s="5">
        <v>1991</v>
      </c>
      <c r="B2052" s="138">
        <f>'Cap Outlay Deprec 26'!K10</f>
        <v>574502</v>
      </c>
      <c r="C2052" s="2" t="s">
        <v>594</v>
      </c>
      <c r="D2052" s="2" t="str">
        <f t="shared" si="31"/>
        <v>Error?</v>
      </c>
    </row>
    <row r="2053" spans="1:4" x14ac:dyDescent="0.2">
      <c r="A2053" s="5">
        <v>1992</v>
      </c>
      <c r="B2053" s="138">
        <f>'Cap Outlay Deprec 26'!K12</f>
        <v>4200927</v>
      </c>
      <c r="C2053" s="2" t="s">
        <v>594</v>
      </c>
      <c r="D2053" s="2" t="str">
        <f t="shared" si="31"/>
        <v>Error?</v>
      </c>
    </row>
    <row r="2054" spans="1:4" x14ac:dyDescent="0.2">
      <c r="A2054" s="5">
        <v>1993</v>
      </c>
      <c r="B2054" s="138">
        <f>'Cap Outlay Deprec 26'!K13</f>
        <v>2177021</v>
      </c>
      <c r="C2054" s="2" t="s">
        <v>594</v>
      </c>
      <c r="D2054" s="2" t="str">
        <f t="shared" si="31"/>
        <v>Error?</v>
      </c>
    </row>
    <row r="2055" spans="1:4" x14ac:dyDescent="0.2">
      <c r="A2055" s="5">
        <v>1994</v>
      </c>
      <c r="B2055" s="138">
        <f>'Cap Outlay Deprec 26'!K16</f>
        <v>21546139</v>
      </c>
      <c r="C2055" s="2" t="s">
        <v>594</v>
      </c>
      <c r="D2055" s="2" t="str">
        <f t="shared" si="31"/>
        <v>Error?</v>
      </c>
    </row>
    <row r="2056" spans="1:4" x14ac:dyDescent="0.2">
      <c r="A2056" s="5">
        <v>1995</v>
      </c>
      <c r="B2056" s="138">
        <f>'Cap Outlay Deprec 26'!L5</f>
        <v>441852</v>
      </c>
      <c r="C2056" s="2" t="s">
        <v>594</v>
      </c>
      <c r="D2056" s="2" t="str">
        <f t="shared" si="31"/>
        <v>Error?</v>
      </c>
    </row>
    <row r="2057" spans="1:4" x14ac:dyDescent="0.2">
      <c r="A2057" s="5">
        <v>1996</v>
      </c>
      <c r="B2057" s="138">
        <f>'Cap Outlay Deprec 26'!L8</f>
        <v>11588595</v>
      </c>
      <c r="C2057" s="2" t="s">
        <v>594</v>
      </c>
      <c r="D2057" s="2" t="str">
        <f t="shared" si="31"/>
        <v>Error?</v>
      </c>
    </row>
    <row r="2058" spans="1:4" x14ac:dyDescent="0.2">
      <c r="A2058" s="5">
        <v>1997</v>
      </c>
      <c r="B2058" s="138">
        <f>'Cap Outlay Deprec 26'!L10</f>
        <v>321910</v>
      </c>
      <c r="C2058" s="2" t="s">
        <v>594</v>
      </c>
      <c r="D2058" s="2" t="str">
        <f t="shared" si="31"/>
        <v>Error?</v>
      </c>
    </row>
    <row r="2059" spans="1:4" x14ac:dyDescent="0.2">
      <c r="A2059" s="5">
        <v>1998</v>
      </c>
      <c r="B2059" s="138">
        <f>'Cap Outlay Deprec 26'!L12</f>
        <v>773471</v>
      </c>
      <c r="C2059" s="2" t="s">
        <v>594</v>
      </c>
      <c r="D2059" s="2" t="str">
        <f t="shared" si="31"/>
        <v>Error?</v>
      </c>
    </row>
    <row r="2060" spans="1:4" x14ac:dyDescent="0.2">
      <c r="A2060" s="5">
        <v>1999</v>
      </c>
      <c r="B2060" s="138">
        <f>'Cap Outlay Deprec 26'!L13</f>
        <v>443326</v>
      </c>
      <c r="C2060" s="2" t="s">
        <v>594</v>
      </c>
      <c r="D2060" s="2" t="str">
        <f t="shared" si="31"/>
        <v>Error?</v>
      </c>
    </row>
    <row r="2061" spans="1:4" x14ac:dyDescent="0.2">
      <c r="A2061" s="5">
        <v>2000</v>
      </c>
      <c r="B2061" s="138">
        <f>'Cap Outlay Deprec 26'!L16</f>
        <v>13569154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1025233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1025233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8836937</v>
      </c>
      <c r="C2551" s="2" t="s">
        <v>594</v>
      </c>
      <c r="D2551" s="2" t="str">
        <f t="shared" si="38"/>
        <v>Error?</v>
      </c>
    </row>
    <row r="2552" spans="1:4" x14ac:dyDescent="0.2">
      <c r="A2552" s="10">
        <v>2491</v>
      </c>
      <c r="D2552" s="2" t="str">
        <f t="shared" si="38"/>
        <v>OK</v>
      </c>
    </row>
    <row r="2553" spans="1:4" x14ac:dyDescent="0.2">
      <c r="A2553" s="5">
        <v>2492</v>
      </c>
      <c r="B2553" s="138">
        <f>'Acct Summary 7-8'!C6</f>
        <v>6901601</v>
      </c>
      <c r="C2553" s="2" t="s">
        <v>594</v>
      </c>
      <c r="D2553" s="2" t="str">
        <f t="shared" si="38"/>
        <v>Error?</v>
      </c>
    </row>
    <row r="2554" spans="1:4" x14ac:dyDescent="0.2">
      <c r="A2554" s="5">
        <v>2493</v>
      </c>
      <c r="B2554" s="138">
        <f>'Acct Summary 7-8'!C7</f>
        <v>1072086</v>
      </c>
      <c r="C2554" s="2" t="s">
        <v>594</v>
      </c>
      <c r="D2554" s="2" t="str">
        <f t="shared" si="38"/>
        <v>Error?</v>
      </c>
    </row>
    <row r="2555" spans="1:4" x14ac:dyDescent="0.2">
      <c r="A2555" s="5">
        <v>2494</v>
      </c>
      <c r="B2555" s="138">
        <f>'Acct Summary 7-8'!C8</f>
        <v>16810624</v>
      </c>
      <c r="C2555" s="2" t="s">
        <v>594</v>
      </c>
      <c r="D2555" s="2" t="str">
        <f t="shared" si="38"/>
        <v>Error?</v>
      </c>
    </row>
    <row r="2556" spans="1:4" x14ac:dyDescent="0.2">
      <c r="A2556" s="5">
        <v>2495</v>
      </c>
      <c r="B2556" s="138">
        <f>'Acct Summary 7-8'!C12</f>
        <v>11986677</v>
      </c>
      <c r="C2556" s="2" t="s">
        <v>594</v>
      </c>
      <c r="D2556" s="2" t="str">
        <f t="shared" si="38"/>
        <v>Error?</v>
      </c>
    </row>
    <row r="2557" spans="1:4" x14ac:dyDescent="0.2">
      <c r="A2557" s="5">
        <v>2496</v>
      </c>
      <c r="B2557" s="138">
        <f>'Acct Summary 7-8'!C13</f>
        <v>3664768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1025233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16676678</v>
      </c>
      <c r="C2561" s="2" t="s">
        <v>594</v>
      </c>
      <c r="D2561" s="2" t="str">
        <f t="shared" si="39"/>
        <v>Error?</v>
      </c>
    </row>
    <row r="2562" spans="1:4" x14ac:dyDescent="0.2">
      <c r="A2562" s="5">
        <v>2501</v>
      </c>
      <c r="B2562" s="138">
        <f>'Acct Summary 7-8'!C20</f>
        <v>133946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1092015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1092015</v>
      </c>
      <c r="C2568" s="2" t="s">
        <v>594</v>
      </c>
      <c r="D2568" s="2" t="str">
        <f t="shared" si="39"/>
        <v>Error?</v>
      </c>
    </row>
    <row r="2569" spans="1:4" x14ac:dyDescent="0.2">
      <c r="A2569" s="5">
        <v>2508</v>
      </c>
      <c r="B2569" s="138">
        <f>'Acct Summary 7-8'!D13</f>
        <v>1252236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1252236</v>
      </c>
      <c r="C2573" s="2" t="s">
        <v>594</v>
      </c>
      <c r="D2573" s="2" t="str">
        <f t="shared" si="39"/>
        <v>Error?</v>
      </c>
    </row>
    <row r="2574" spans="1:4" x14ac:dyDescent="0.2">
      <c r="A2574" s="5">
        <v>2513</v>
      </c>
      <c r="B2574" s="138">
        <f>'Acct Summary 7-8'!D20</f>
        <v>-160221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526108</v>
      </c>
      <c r="C2591" s="2" t="s">
        <v>594</v>
      </c>
      <c r="D2591" s="2" t="str">
        <f t="shared" si="39"/>
        <v>Error?</v>
      </c>
    </row>
    <row r="2592" spans="1:4" x14ac:dyDescent="0.2">
      <c r="A2592" s="10">
        <v>2531</v>
      </c>
      <c r="D2592" s="2" t="str">
        <f t="shared" si="39"/>
        <v>OK</v>
      </c>
    </row>
    <row r="2593" spans="1:4" x14ac:dyDescent="0.2">
      <c r="A2593" s="5">
        <v>2532</v>
      </c>
      <c r="B2593" s="138">
        <f>'Acct Summary 7-8'!F6</f>
        <v>914097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1440205</v>
      </c>
      <c r="C2595" s="2" t="s">
        <v>594</v>
      </c>
      <c r="D2595" s="2" t="str">
        <f t="shared" si="39"/>
        <v>Error?</v>
      </c>
    </row>
    <row r="2596" spans="1:4" x14ac:dyDescent="0.2">
      <c r="A2596" s="5">
        <v>2535</v>
      </c>
      <c r="B2596" s="138">
        <f>'Acct Summary 7-8'!F13</f>
        <v>1522982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1522982</v>
      </c>
      <c r="C2600" s="2" t="s">
        <v>594</v>
      </c>
      <c r="D2600" s="2" t="str">
        <f t="shared" si="39"/>
        <v>Error?</v>
      </c>
    </row>
    <row r="2601" spans="1:4" x14ac:dyDescent="0.2">
      <c r="A2601" s="5">
        <v>2540</v>
      </c>
      <c r="B2601" s="138">
        <f>'Acct Summary 7-8'!F20</f>
        <v>-82777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833213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833213</v>
      </c>
      <c r="C2606" s="2" t="s">
        <v>594</v>
      </c>
      <c r="D2606" s="2" t="str">
        <f t="shared" si="39"/>
        <v>Error?</v>
      </c>
    </row>
    <row r="2607" spans="1:4" x14ac:dyDescent="0.2">
      <c r="A2607" s="5">
        <v>2546</v>
      </c>
      <c r="B2607" s="138">
        <f>'Acct Summary 7-8'!G12</f>
        <v>274002</v>
      </c>
      <c r="C2607" s="2" t="s">
        <v>594</v>
      </c>
      <c r="D2607" s="2" t="str">
        <f t="shared" si="39"/>
        <v>Error?</v>
      </c>
    </row>
    <row r="2608" spans="1:4" x14ac:dyDescent="0.2">
      <c r="A2608" s="5">
        <v>2547</v>
      </c>
      <c r="B2608" s="138">
        <f>'Acct Summary 7-8'!G13</f>
        <v>438847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712849</v>
      </c>
      <c r="C2612" s="2" t="s">
        <v>594</v>
      </c>
      <c r="D2612" s="2" t="str">
        <f t="shared" si="39"/>
        <v>Error?</v>
      </c>
    </row>
    <row r="2613" spans="1:4" x14ac:dyDescent="0.2">
      <c r="A2613" s="5">
        <v>2552</v>
      </c>
      <c r="B2613" s="138">
        <f>'Acct Summary 7-8'!G20</f>
        <v>120364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1521898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1521898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1580750</v>
      </c>
      <c r="C2634" s="2" t="s">
        <v>594</v>
      </c>
      <c r="D2634" s="2" t="str">
        <f t="shared" si="40"/>
        <v>Error?</v>
      </c>
    </row>
    <row r="2635" spans="1:4" x14ac:dyDescent="0.2">
      <c r="A2635" s="5">
        <v>2574</v>
      </c>
      <c r="B2635" s="138">
        <f>'Acct Summary 7-8'!E17</f>
        <v>1580750</v>
      </c>
      <c r="C2635" s="2" t="s">
        <v>594</v>
      </c>
      <c r="D2635" s="2" t="str">
        <f t="shared" si="40"/>
        <v>Error?</v>
      </c>
    </row>
    <row r="2636" spans="1:4" x14ac:dyDescent="0.2">
      <c r="A2636" s="5">
        <v>2575</v>
      </c>
      <c r="B2636" s="138">
        <f>'Acct Summary 7-8'!E20</f>
        <v>-58852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746171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746171</v>
      </c>
      <c r="C2658" s="2" t="s">
        <v>594</v>
      </c>
      <c r="D2658" s="2" t="str">
        <f t="shared" si="40"/>
        <v>Error?</v>
      </c>
    </row>
    <row r="2659" spans="1:4" x14ac:dyDescent="0.2">
      <c r="A2659" s="5">
        <v>2598</v>
      </c>
      <c r="B2659" s="138">
        <f>'Acct Summary 7-8'!H13</f>
        <v>416227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416227</v>
      </c>
      <c r="C2661" s="2" t="s">
        <v>594</v>
      </c>
      <c r="D2661" s="2" t="str">
        <f t="shared" si="40"/>
        <v>Error?</v>
      </c>
    </row>
    <row r="2662" spans="1:4" x14ac:dyDescent="0.2">
      <c r="A2662" s="5">
        <v>2601</v>
      </c>
      <c r="B2662" s="138">
        <f>'Acct Summary 7-8'!H20</f>
        <v>329944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4584486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4593312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481639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1063746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4593312</v>
      </c>
      <c r="D2912" s="2" t="str">
        <f t="shared" si="44"/>
        <v>Error?</v>
      </c>
    </row>
    <row r="2913" spans="1:4" x14ac:dyDescent="0.2">
      <c r="A2913" s="5">
        <v>2852</v>
      </c>
      <c r="B2913" s="138">
        <f>'Assets-Liab 5-6'!I41</f>
        <v>4593312</v>
      </c>
      <c r="C2913" s="2" t="s">
        <v>594</v>
      </c>
      <c r="D2913" s="2" t="str">
        <f t="shared" si="44"/>
        <v>Error?</v>
      </c>
    </row>
    <row r="2914" spans="1:4" x14ac:dyDescent="0.2">
      <c r="A2914" s="5">
        <v>2853</v>
      </c>
      <c r="B2914" s="138">
        <f>'Assets-Liab 5-6'!L33</f>
        <v>1063746</v>
      </c>
      <c r="D2914" s="2" t="str">
        <f t="shared" si="44"/>
        <v>Error?</v>
      </c>
    </row>
    <row r="2915" spans="1:4" x14ac:dyDescent="0.2">
      <c r="A2915" s="10">
        <v>2854</v>
      </c>
      <c r="D2915" s="2" t="str">
        <f t="shared" si="44"/>
        <v>OK</v>
      </c>
    </row>
    <row r="2916" spans="1:4" x14ac:dyDescent="0.2">
      <c r="A2916" s="5">
        <v>2855</v>
      </c>
      <c r="B2916" s="138">
        <f>'Assets-Liab 5-6'!L34</f>
        <v>1063746</v>
      </c>
      <c r="C2916" s="2" t="s">
        <v>594</v>
      </c>
      <c r="D2916" s="2" t="str">
        <f t="shared" si="44"/>
        <v>Error?</v>
      </c>
    </row>
    <row r="2917" spans="1:4" x14ac:dyDescent="0.2">
      <c r="A2917" s="5">
        <v>2856</v>
      </c>
      <c r="B2917" s="138">
        <f>'Assets-Liab 5-6'!L41</f>
        <v>1063746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1013953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11280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1013953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11280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79486</v>
      </c>
      <c r="D3055" s="2" t="str">
        <f t="shared" si="46"/>
        <v>Error?</v>
      </c>
    </row>
    <row r="3056" spans="1:4" x14ac:dyDescent="0.2">
      <c r="A3056" s="5">
        <v>2995</v>
      </c>
      <c r="B3056" s="138">
        <f>'Expenditures 15-22'!D10</f>
        <v>16795</v>
      </c>
      <c r="D3056" s="2" t="str">
        <f t="shared" si="46"/>
        <v>Error?</v>
      </c>
    </row>
    <row r="3057" spans="1:4" x14ac:dyDescent="0.2">
      <c r="A3057" s="5">
        <v>2996</v>
      </c>
      <c r="B3057" s="138">
        <f>'Expenditures 15-22'!E10</f>
        <v>20306</v>
      </c>
      <c r="D3057" s="2" t="str">
        <f t="shared" si="46"/>
        <v>Error?</v>
      </c>
    </row>
    <row r="3058" spans="1:4" x14ac:dyDescent="0.2">
      <c r="A3058" s="5">
        <v>2997</v>
      </c>
      <c r="B3058" s="138">
        <f>'Expenditures 15-22'!F10</f>
        <v>140208</v>
      </c>
      <c r="D3058" s="2" t="str">
        <f t="shared" si="46"/>
        <v>Error?</v>
      </c>
    </row>
    <row r="3059" spans="1:4" x14ac:dyDescent="0.2">
      <c r="A3059" s="5">
        <v>2998</v>
      </c>
      <c r="B3059" s="138">
        <f>'Expenditures 15-22'!G10</f>
        <v>165451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422246</v>
      </c>
      <c r="C3062" s="2" t="s">
        <v>594</v>
      </c>
      <c r="D3062" s="2" t="str">
        <f t="shared" si="46"/>
        <v>Error?</v>
      </c>
    </row>
    <row r="3063" spans="1:4" x14ac:dyDescent="0.2">
      <c r="A3063" s="10">
        <v>3002</v>
      </c>
      <c r="D3063" s="2" t="str">
        <f t="shared" si="46"/>
        <v>OK</v>
      </c>
    </row>
    <row r="3064" spans="1:4" x14ac:dyDescent="0.2">
      <c r="A3064" s="5">
        <v>3003</v>
      </c>
      <c r="B3064" s="138">
        <f>'Expenditures 15-22'!D219</f>
        <v>1153</v>
      </c>
      <c r="D3064" s="2" t="str">
        <f t="shared" si="46"/>
        <v>Error?</v>
      </c>
    </row>
    <row r="3065" spans="1:4" x14ac:dyDescent="0.2">
      <c r="A3065" s="5">
        <v>3004</v>
      </c>
      <c r="B3065" s="138">
        <f>'Expenditures 15-22'!K219</f>
        <v>1153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131050</v>
      </c>
      <c r="C3225" s="2" t="s">
        <v>594</v>
      </c>
      <c r="D3225" s="2" t="str">
        <f t="shared" si="49"/>
        <v>Error?</v>
      </c>
    </row>
    <row r="3226" spans="1:4" x14ac:dyDescent="0.2">
      <c r="A3226" s="5">
        <v>3165</v>
      </c>
      <c r="B3226" s="138">
        <f>'Acct Summary 7-8'!I8</f>
        <v>131050</v>
      </c>
      <c r="C3226" s="2" t="s">
        <v>594</v>
      </c>
      <c r="D3226" s="2" t="str">
        <f t="shared" si="49"/>
        <v>Error?</v>
      </c>
    </row>
    <row r="3227" spans="1:4" x14ac:dyDescent="0.2">
      <c r="A3227" s="5">
        <v>3166</v>
      </c>
      <c r="B3227" s="138">
        <f>'Acct Summary 7-8'!I20</f>
        <v>131050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133946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150000</v>
      </c>
      <c r="C3238" s="2" t="s">
        <v>594</v>
      </c>
      <c r="D3238" s="2" t="str">
        <f t="shared" si="49"/>
        <v>Error?</v>
      </c>
    </row>
    <row r="3239" spans="1:4" x14ac:dyDescent="0.2">
      <c r="A3239" s="5">
        <v>3178</v>
      </c>
      <c r="B3239" s="138">
        <f>'Acct Summary 7-8'!D78</f>
        <v>-10221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150000</v>
      </c>
      <c r="C3255" s="2" t="s">
        <v>594</v>
      </c>
      <c r="D3255" s="2" t="str">
        <f t="shared" si="49"/>
        <v>Error?</v>
      </c>
    </row>
    <row r="3256" spans="1:4" x14ac:dyDescent="0.2">
      <c r="A3256" s="5">
        <v>3195</v>
      </c>
      <c r="B3256" s="138">
        <f>'Acct Summary 7-8'!F78</f>
        <v>67223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120364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-58852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329944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300000</v>
      </c>
      <c r="C3318" s="2" t="s">
        <v>594</v>
      </c>
      <c r="D3318" s="2" t="str">
        <f t="shared" si="50"/>
        <v>Error?</v>
      </c>
    </row>
    <row r="3319" spans="1:4" x14ac:dyDescent="0.2">
      <c r="A3319" s="5">
        <v>3258</v>
      </c>
      <c r="B3319" s="138">
        <f>'Acct Summary 7-8'!I77</f>
        <v>-300000</v>
      </c>
      <c r="C3319" s="2" t="s">
        <v>594</v>
      </c>
      <c r="D3319" s="2" t="str">
        <f t="shared" si="50"/>
        <v>Error?</v>
      </c>
    </row>
    <row r="3320" spans="1:4" x14ac:dyDescent="0.2">
      <c r="A3320" s="5">
        <v>3259</v>
      </c>
      <c r="B3320" s="138">
        <f>'Acct Summary 7-8'!I78</f>
        <v>-168950</v>
      </c>
      <c r="C3320" s="2" t="s">
        <v>594</v>
      </c>
      <c r="D3320" s="2" t="str">
        <f t="shared" si="50"/>
        <v>Error?</v>
      </c>
    </row>
    <row r="3321" spans="1:4" x14ac:dyDescent="0.2">
      <c r="A3321" s="5">
        <v>3260</v>
      </c>
      <c r="B3321" s="138">
        <f>'Acct Summary 7-8'!I79</f>
        <v>4762262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4593312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2481439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305826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486950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11668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1719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1011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3288613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84965</v>
      </c>
      <c r="D3387" s="2" t="str">
        <f t="shared" si="51"/>
        <v>Error?</v>
      </c>
    </row>
    <row r="3388" spans="1:4" x14ac:dyDescent="0.2">
      <c r="A3388" s="5">
        <v>3327</v>
      </c>
      <c r="B3388" s="138">
        <f>'Expenditures 15-22'!D217</f>
        <v>152491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84965</v>
      </c>
      <c r="C3390" s="2" t="s">
        <v>594</v>
      </c>
      <c r="D3390" s="2" t="str">
        <f t="shared" si="51"/>
        <v>Error?</v>
      </c>
    </row>
    <row r="3391" spans="1:4" x14ac:dyDescent="0.2">
      <c r="A3391" s="5">
        <v>3330</v>
      </c>
      <c r="B3391" s="138">
        <f>'Expenditures 15-22'!K217</f>
        <v>152491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93507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19132</v>
      </c>
      <c r="D3417" s="2" t="str">
        <f t="shared" si="52"/>
        <v>Error?</v>
      </c>
    </row>
    <row r="3418" spans="1:4" x14ac:dyDescent="0.2">
      <c r="A3418" s="10">
        <v>3357</v>
      </c>
      <c r="D3418" s="2" t="str">
        <f t="shared" si="52"/>
        <v>OK</v>
      </c>
    </row>
    <row r="3419" spans="1:4" x14ac:dyDescent="0.2">
      <c r="A3419" s="5">
        <v>3358</v>
      </c>
      <c r="B3419" s="138">
        <f>'Assets-Liab 5-6'!F4</f>
        <v>26409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17389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17357</v>
      </c>
      <c r="D3425" s="2" t="str">
        <f t="shared" si="52"/>
        <v>Error?</v>
      </c>
    </row>
    <row r="3426" spans="1:4" x14ac:dyDescent="0.2">
      <c r="A3426" s="10">
        <v>3365</v>
      </c>
      <c r="D3426" s="2" t="str">
        <f t="shared" si="52"/>
        <v>OK</v>
      </c>
    </row>
    <row r="3427" spans="1:4" x14ac:dyDescent="0.2">
      <c r="A3427" s="5">
        <v>3366</v>
      </c>
      <c r="B3427" s="138">
        <f>'Assets-Liab 5-6'!I4</f>
        <v>1337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582107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425220</v>
      </c>
      <c r="C3446" s="2" t="s">
        <v>594</v>
      </c>
      <c r="D3446" s="2" t="str">
        <f t="shared" si="52"/>
        <v>Error?</v>
      </c>
    </row>
    <row r="3447" spans="1:4" x14ac:dyDescent="0.2">
      <c r="A3447" s="5">
        <v>3386</v>
      </c>
      <c r="B3447" s="138">
        <f>'Tax Sched 23'!D16</f>
        <v>364758</v>
      </c>
      <c r="C3447" s="2" t="s">
        <v>594</v>
      </c>
      <c r="D3447" s="2" t="str">
        <f t="shared" si="52"/>
        <v>Error?</v>
      </c>
    </row>
    <row r="3448" spans="1:4" x14ac:dyDescent="0.2">
      <c r="A3448" s="5">
        <v>3387</v>
      </c>
      <c r="B3448" s="138">
        <f>'Tax Sched 23'!C16</f>
        <v>60462</v>
      </c>
      <c r="D3448" s="2" t="str">
        <f t="shared" si="52"/>
        <v>Error?</v>
      </c>
    </row>
    <row r="3449" spans="1:4" x14ac:dyDescent="0.2">
      <c r="A3449" s="5">
        <v>3388</v>
      </c>
      <c r="B3449" s="138">
        <f>'Tax Sched 23'!F16</f>
        <v>454642</v>
      </c>
      <c r="C3449" s="2" t="s">
        <v>594</v>
      </c>
      <c r="D3449" s="2" t="str">
        <f t="shared" si="52"/>
        <v>Error?</v>
      </c>
    </row>
    <row r="3450" spans="1:4" x14ac:dyDescent="0.2">
      <c r="A3450" s="5">
        <v>3389</v>
      </c>
      <c r="B3450" s="138">
        <f>'Tax Sched 23'!E16</f>
        <v>515104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222191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233338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233338</v>
      </c>
      <c r="D3567" s="2" t="str">
        <f t="shared" si="54"/>
        <v>Error?</v>
      </c>
    </row>
    <row r="3568" spans="1:4" x14ac:dyDescent="0.2">
      <c r="A3568" s="5">
        <v>3507</v>
      </c>
      <c r="B3568" s="138">
        <f>'Assets-Liab 5-6'!K41</f>
        <v>233338</v>
      </c>
      <c r="C3568" s="2" t="s">
        <v>594</v>
      </c>
      <c r="D3568" s="2" t="str">
        <f t="shared" si="54"/>
        <v>Error?</v>
      </c>
    </row>
    <row r="3569" spans="1:4" x14ac:dyDescent="0.2">
      <c r="A3569" s="5">
        <v>3508</v>
      </c>
      <c r="B3569" s="138">
        <f>'Acct Summary 7-8'!K4</f>
        <v>110197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110197</v>
      </c>
      <c r="C3571" s="2" t="s">
        <v>594</v>
      </c>
      <c r="D3571" s="2" t="str">
        <f t="shared" si="54"/>
        <v>Error?</v>
      </c>
    </row>
    <row r="3572" spans="1:4" x14ac:dyDescent="0.2">
      <c r="A3572" s="5">
        <v>3511</v>
      </c>
      <c r="B3572" s="138">
        <f>'Acct Summary 7-8'!K13</f>
        <v>14448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14448</v>
      </c>
      <c r="C3575" s="2" t="s">
        <v>594</v>
      </c>
      <c r="D3575" s="2" t="str">
        <f t="shared" si="54"/>
        <v>Error?</v>
      </c>
    </row>
    <row r="3576" spans="1:4" x14ac:dyDescent="0.2">
      <c r="A3576" s="5">
        <v>3515</v>
      </c>
      <c r="B3576" s="138">
        <f>'Acct Summary 7-8'!K20</f>
        <v>95749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95749</v>
      </c>
      <c r="C3588" s="2" t="s">
        <v>594</v>
      </c>
      <c r="D3588" s="2" t="str">
        <f t="shared" si="55"/>
        <v>Error?</v>
      </c>
    </row>
    <row r="3589" spans="1:4" x14ac:dyDescent="0.2">
      <c r="A3589" s="5">
        <v>3528</v>
      </c>
      <c r="B3589" s="138">
        <f>'Acct Summary 7-8'!K79</f>
        <v>137589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233338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11175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11175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11175</v>
      </c>
      <c r="C3635" s="2" t="s">
        <v>594</v>
      </c>
      <c r="D3635" s="2" t="str">
        <f t="shared" si="55"/>
        <v>Error?</v>
      </c>
    </row>
    <row r="3636" spans="1:4" x14ac:dyDescent="0.2">
      <c r="A3636" s="5">
        <v>3575</v>
      </c>
      <c r="B3636" s="138">
        <f>'Expenditures 15-22'!E367</f>
        <v>11175</v>
      </c>
      <c r="C3636" s="2" t="s">
        <v>594</v>
      </c>
      <c r="D3636" s="2" t="str">
        <f t="shared" si="55"/>
        <v>Error?</v>
      </c>
    </row>
    <row r="3637" spans="1:4" x14ac:dyDescent="0.2">
      <c r="A3637" s="10">
        <v>3576</v>
      </c>
      <c r="D3637" s="2" t="str">
        <f t="shared" si="55"/>
        <v>OK</v>
      </c>
    </row>
    <row r="3638" spans="1:4" x14ac:dyDescent="0.2">
      <c r="A3638" s="5">
        <v>3577</v>
      </c>
      <c r="B3638" s="138">
        <f>'Expenditures 15-22'!F348</f>
        <v>3273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3273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3273</v>
      </c>
      <c r="C3642" s="2" t="s">
        <v>594</v>
      </c>
      <c r="D3642" s="2" t="str">
        <f t="shared" si="55"/>
        <v>Error?</v>
      </c>
    </row>
    <row r="3643" spans="1:4" x14ac:dyDescent="0.2">
      <c r="A3643" s="5">
        <v>3582</v>
      </c>
      <c r="B3643" s="138">
        <f>'Expenditures 15-22'!F367</f>
        <v>3273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14448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14448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14448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14448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95749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108918</v>
      </c>
      <c r="C3725" s="2" t="s">
        <v>594</v>
      </c>
      <c r="D3725" s="2" t="str">
        <f t="shared" si="57"/>
        <v>Error?</v>
      </c>
    </row>
    <row r="3726" spans="1:4" x14ac:dyDescent="0.2">
      <c r="A3726" s="5">
        <v>3665</v>
      </c>
      <c r="B3726" s="138">
        <f>'Tax Sched 23'!D13</f>
        <v>95807</v>
      </c>
      <c r="C3726" s="2" t="s">
        <v>594</v>
      </c>
      <c r="D3726" s="2" t="str">
        <f t="shared" si="57"/>
        <v>Error?</v>
      </c>
    </row>
    <row r="3727" spans="1:4" x14ac:dyDescent="0.2">
      <c r="A3727" s="5">
        <v>3666</v>
      </c>
      <c r="B3727" s="138">
        <f>'Tax Sched 23'!C13</f>
        <v>13111</v>
      </c>
      <c r="D3727" s="2" t="str">
        <f t="shared" si="57"/>
        <v>Error?</v>
      </c>
    </row>
    <row r="3728" spans="1:4" x14ac:dyDescent="0.2">
      <c r="A3728" s="5">
        <v>3667</v>
      </c>
      <c r="B3728" s="138">
        <f>'Tax Sched 23'!F13</f>
        <v>98650</v>
      </c>
      <c r="C3728" s="2" t="s">
        <v>594</v>
      </c>
      <c r="D3728" s="2" t="str">
        <f t="shared" si="57"/>
        <v>Error?</v>
      </c>
    </row>
    <row r="3729" spans="1:4" x14ac:dyDescent="0.2">
      <c r="A3729" s="5">
        <v>3668</v>
      </c>
      <c r="B3729" s="138">
        <f>'Tax Sched 23'!E13</f>
        <v>111761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7827575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24638199</v>
      </c>
      <c r="C4122" s="2" t="s">
        <v>594</v>
      </c>
      <c r="D4122" s="2" t="str">
        <f t="shared" si="63"/>
        <v>Error?</v>
      </c>
    </row>
    <row r="4123" spans="1:4" x14ac:dyDescent="0.2">
      <c r="A4123" s="5">
        <v>4062</v>
      </c>
      <c r="B4123" s="138">
        <f>'Acct Summary 7-8'!D10</f>
        <v>1092015</v>
      </c>
      <c r="C4123" s="2" t="s">
        <v>594</v>
      </c>
      <c r="D4123" s="2" t="str">
        <f t="shared" si="63"/>
        <v>Error?</v>
      </c>
    </row>
    <row r="4124" spans="1:4" x14ac:dyDescent="0.2">
      <c r="A4124" s="5">
        <v>4063</v>
      </c>
      <c r="B4124" s="138">
        <f>'Acct Summary 7-8'!E10</f>
        <v>1521898</v>
      </c>
      <c r="C4124" s="2" t="s">
        <v>594</v>
      </c>
      <c r="D4124" s="2" t="str">
        <f t="shared" si="63"/>
        <v>Error?</v>
      </c>
    </row>
    <row r="4125" spans="1:4" x14ac:dyDescent="0.2">
      <c r="A4125" s="5">
        <v>4064</v>
      </c>
      <c r="B4125" s="138">
        <f>'Acct Summary 7-8'!F10</f>
        <v>1440205</v>
      </c>
      <c r="C4125" s="2" t="s">
        <v>594</v>
      </c>
      <c r="D4125" s="2" t="str">
        <f t="shared" si="63"/>
        <v>Error?</v>
      </c>
    </row>
    <row r="4126" spans="1:4" x14ac:dyDescent="0.2">
      <c r="A4126" s="5">
        <v>4065</v>
      </c>
      <c r="B4126" s="138">
        <f>'Acct Summary 7-8'!G10</f>
        <v>833213</v>
      </c>
      <c r="C4126" s="2" t="s">
        <v>594</v>
      </c>
      <c r="D4126" s="2" t="str">
        <f t="shared" si="63"/>
        <v>Error?</v>
      </c>
    </row>
    <row r="4127" spans="1:4" x14ac:dyDescent="0.2">
      <c r="A4127" s="5">
        <v>4066</v>
      </c>
      <c r="B4127" s="138">
        <f>'Acct Summary 7-8'!H10</f>
        <v>746171</v>
      </c>
      <c r="C4127" s="2" t="s">
        <v>594</v>
      </c>
      <c r="D4127" s="2" t="str">
        <f t="shared" si="63"/>
        <v>Error?</v>
      </c>
    </row>
    <row r="4128" spans="1:4" x14ac:dyDescent="0.2">
      <c r="A4128" s="5">
        <v>4067</v>
      </c>
      <c r="B4128" s="138">
        <f>'Acct Summary 7-8'!I10</f>
        <v>131050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110197</v>
      </c>
      <c r="C4130" s="2" t="s">
        <v>594</v>
      </c>
      <c r="D4130" s="2" t="str">
        <f t="shared" si="63"/>
        <v>Error?</v>
      </c>
    </row>
    <row r="4131" spans="1:4" x14ac:dyDescent="0.2">
      <c r="A4131" s="5">
        <v>4070</v>
      </c>
      <c r="B4131" s="138">
        <f>'Acct Summary 7-8'!C18</f>
        <v>7827575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24504253</v>
      </c>
      <c r="C4136" s="2" t="s">
        <v>594</v>
      </c>
      <c r="D4136" s="2" t="str">
        <f t="shared" si="63"/>
        <v>Error?</v>
      </c>
    </row>
    <row r="4137" spans="1:4" x14ac:dyDescent="0.2">
      <c r="A4137" s="5">
        <v>4076</v>
      </c>
      <c r="B4137" s="138">
        <f>'Acct Summary 7-8'!D19</f>
        <v>1252236</v>
      </c>
      <c r="C4137" s="2" t="s">
        <v>594</v>
      </c>
      <c r="D4137" s="2" t="str">
        <f t="shared" si="63"/>
        <v>Error?</v>
      </c>
    </row>
    <row r="4138" spans="1:4" x14ac:dyDescent="0.2">
      <c r="A4138" s="5">
        <v>4077</v>
      </c>
      <c r="B4138" s="138">
        <f>'Acct Summary 7-8'!E19</f>
        <v>1580750</v>
      </c>
      <c r="C4138" s="2" t="s">
        <v>594</v>
      </c>
      <c r="D4138" s="2" t="str">
        <f t="shared" si="63"/>
        <v>Error?</v>
      </c>
    </row>
    <row r="4139" spans="1:4" x14ac:dyDescent="0.2">
      <c r="A4139" s="5">
        <v>4078</v>
      </c>
      <c r="B4139" s="138">
        <f>'Acct Summary 7-8'!F19</f>
        <v>1522982</v>
      </c>
      <c r="C4139" s="2" t="s">
        <v>594</v>
      </c>
      <c r="D4139" s="2" t="str">
        <f t="shared" si="63"/>
        <v>Error?</v>
      </c>
    </row>
    <row r="4140" spans="1:4" x14ac:dyDescent="0.2">
      <c r="A4140" s="5">
        <v>4079</v>
      </c>
      <c r="B4140" s="138">
        <f>'Acct Summary 7-8'!G19</f>
        <v>712849</v>
      </c>
      <c r="C4140" s="2" t="s">
        <v>594</v>
      </c>
      <c r="D4140" s="2" t="str">
        <f t="shared" si="63"/>
        <v>Error?</v>
      </c>
    </row>
    <row r="4141" spans="1:4" x14ac:dyDescent="0.2">
      <c r="A4141" s="5">
        <v>4080</v>
      </c>
      <c r="B4141" s="138">
        <f>'Acct Summary 7-8'!H19</f>
        <v>416227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14448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1570000</v>
      </c>
      <c r="C4171" s="2" t="s">
        <v>594</v>
      </c>
      <c r="D4171" s="2" t="str">
        <f t="shared" si="64"/>
        <v>Error?</v>
      </c>
    </row>
    <row r="4172" spans="1:4" x14ac:dyDescent="0.2">
      <c r="A4172" s="5">
        <v>4111</v>
      </c>
      <c r="B4172" s="138">
        <f>'Short-Term Long-Term Debt 24'!J49</f>
        <v>1507935</v>
      </c>
      <c r="C4172" s="2" t="s">
        <v>594</v>
      </c>
      <c r="D4172" s="2" t="str">
        <f t="shared" si="64"/>
        <v>Error?</v>
      </c>
    </row>
    <row r="4173" spans="1:4" x14ac:dyDescent="0.2">
      <c r="A4173" s="5">
        <v>4112</v>
      </c>
      <c r="B4173" s="138">
        <f>'Short-Term Long-Term Debt 24'!H49</f>
        <v>1480000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4000</v>
      </c>
      <c r="C4268" s="2" t="s">
        <v>594</v>
      </c>
      <c r="D4268" s="2" t="str">
        <f t="shared" si="65"/>
        <v>Error?</v>
      </c>
    </row>
    <row r="4269" spans="1:5" x14ac:dyDescent="0.2">
      <c r="A4269" s="12">
        <v>4208</v>
      </c>
      <c r="B4269" s="138">
        <f>'FP Info 3'!J16</f>
        <v>5250377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45796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6048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223521031</v>
      </c>
      <c r="D4995" s="2" t="str">
        <f t="shared" si="77"/>
        <v>Error?</v>
      </c>
    </row>
    <row r="4996" spans="1:4" x14ac:dyDescent="0.2">
      <c r="A4996" s="12">
        <v>4935</v>
      </c>
      <c r="B4996" s="138">
        <f>'FP Info 3'!H31</f>
        <v>30845902.278000001</v>
      </c>
      <c r="D4996" s="2" t="str">
        <f t="shared" si="77"/>
        <v>Error?</v>
      </c>
    </row>
    <row r="4997" spans="1:4" x14ac:dyDescent="0.2">
      <c r="A4997" s="12">
        <v>4936</v>
      </c>
      <c r="B4997" s="138">
        <f>'FP Info 3'!H37</f>
        <v>1570000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108918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7242051</v>
      </c>
      <c r="D5061" s="2" t="str">
        <f t="shared" si="78"/>
        <v>Error?</v>
      </c>
    </row>
    <row r="5062" spans="1:4" x14ac:dyDescent="0.2">
      <c r="A5062" s="10">
        <v>5001</v>
      </c>
      <c r="D5062" s="2" t="str">
        <f t="shared" si="78"/>
        <v>OK</v>
      </c>
    </row>
    <row r="5063" spans="1:4" x14ac:dyDescent="0.2">
      <c r="A5063" s="5">
        <v>5002</v>
      </c>
      <c r="B5063" s="138">
        <f>'Revenues 9-14'!C7</f>
        <v>87130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7438099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708994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708994</v>
      </c>
      <c r="C5071" s="2" t="s">
        <v>594</v>
      </c>
      <c r="D5071" s="2" t="str">
        <f t="shared" si="78"/>
        <v>Error?</v>
      </c>
    </row>
    <row r="5072" spans="1:4" x14ac:dyDescent="0.2">
      <c r="A5072" s="5">
        <v>5011</v>
      </c>
      <c r="B5072" s="138">
        <f>'Revenues 9-14'!C20</f>
        <v>9446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9446</v>
      </c>
      <c r="C5087" s="2" t="s">
        <v>594</v>
      </c>
      <c r="D5087" s="2" t="str">
        <f t="shared" si="78"/>
        <v>Error?</v>
      </c>
    </row>
    <row r="5088" spans="1:4" x14ac:dyDescent="0.2">
      <c r="A5088" s="5">
        <v>5027</v>
      </c>
      <c r="B5088" s="138">
        <f>'Revenues 9-14'!C65</f>
        <v>8824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8824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13050</v>
      </c>
      <c r="D5094" s="2" t="str">
        <f t="shared" si="78"/>
        <v>Error?</v>
      </c>
    </row>
    <row r="5095" spans="1:4" x14ac:dyDescent="0.2">
      <c r="A5095" s="5">
        <v>5034</v>
      </c>
      <c r="B5095" s="138">
        <f>'Revenues 9-14'!C74</f>
        <v>12491</v>
      </c>
      <c r="D5095" s="2" t="str">
        <f t="shared" si="78"/>
        <v>Error?</v>
      </c>
    </row>
    <row r="5096" spans="1:4" x14ac:dyDescent="0.2">
      <c r="A5096" s="5">
        <v>5035</v>
      </c>
      <c r="B5096" s="138">
        <f>'Revenues 9-14'!C75</f>
        <v>333706</v>
      </c>
      <c r="C5096" s="2" t="s">
        <v>594</v>
      </c>
      <c r="D5096" s="2" t="str">
        <f t="shared" si="78"/>
        <v>Error?</v>
      </c>
    </row>
    <row r="5097" spans="1:4" x14ac:dyDescent="0.2">
      <c r="A5097" s="5">
        <v>5036</v>
      </c>
      <c r="B5097" s="138">
        <f>'Revenues 9-14'!C77</f>
        <v>45634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43188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88822</v>
      </c>
      <c r="C5102" s="2" t="s">
        <v>594</v>
      </c>
      <c r="D5102" s="2" t="str">
        <f t="shared" si="78"/>
        <v>Error?</v>
      </c>
    </row>
    <row r="5103" spans="1:4" x14ac:dyDescent="0.2">
      <c r="A5103" s="5">
        <v>5042</v>
      </c>
      <c r="B5103" s="138">
        <f>'Revenues 9-14'!C84</f>
        <v>145274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145274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86621</v>
      </c>
      <c r="D5119" s="2" t="str">
        <f t="shared" ref="D5119:D5182" si="79">IF(ISBLANK(B5119),"OK",IF(A5119-B5119=0,"OK","Error?"))</f>
        <v>Error?</v>
      </c>
    </row>
    <row r="5120" spans="1:4" x14ac:dyDescent="0.2">
      <c r="A5120" s="5">
        <v>5059</v>
      </c>
      <c r="B5120" s="138">
        <f>'Revenues 9-14'!C108</f>
        <v>103772</v>
      </c>
      <c r="C5120" s="2" t="s">
        <v>594</v>
      </c>
      <c r="D5120" s="2" t="str">
        <f t="shared" si="79"/>
        <v>Error?</v>
      </c>
    </row>
    <row r="5121" spans="1:4" x14ac:dyDescent="0.2">
      <c r="A5121" s="5">
        <v>5060</v>
      </c>
      <c r="B5121" s="138">
        <f>'Revenues 9-14'!C109</f>
        <v>8836937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5977235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5977235</v>
      </c>
      <c r="C5132" s="2" t="s">
        <v>594</v>
      </c>
      <c r="D5132" s="2" t="str">
        <f t="shared" si="79"/>
        <v>Error?</v>
      </c>
    </row>
    <row r="5133" spans="1:4" x14ac:dyDescent="0.2">
      <c r="A5133" s="5">
        <v>5072</v>
      </c>
      <c r="B5133" s="138">
        <f>'Revenues 9-14'!C124</f>
        <v>135167</v>
      </c>
      <c r="D5133" s="2" t="str">
        <f t="shared" si="79"/>
        <v>Error?</v>
      </c>
    </row>
    <row r="5134" spans="1:4" x14ac:dyDescent="0.2">
      <c r="A5134" s="5">
        <v>5073</v>
      </c>
      <c r="B5134" s="138">
        <f>'Revenues 9-14'!C125</f>
        <v>128645</v>
      </c>
      <c r="D5134" s="2" t="str">
        <f t="shared" si="79"/>
        <v>Error?</v>
      </c>
    </row>
    <row r="5135" spans="1:4" x14ac:dyDescent="0.2">
      <c r="A5135" s="5">
        <v>5074</v>
      </c>
      <c r="B5135" s="138">
        <f>'Revenues 9-14'!C126</f>
        <v>225214</v>
      </c>
      <c r="D5135" s="2" t="str">
        <f t="shared" si="79"/>
        <v>Error?</v>
      </c>
    </row>
    <row r="5136" spans="1:4" x14ac:dyDescent="0.2">
      <c r="A5136" s="10">
        <v>5075</v>
      </c>
      <c r="D5136" s="2" t="str">
        <f t="shared" si="79"/>
        <v>OK</v>
      </c>
    </row>
    <row r="5137" spans="1:4" x14ac:dyDescent="0.2">
      <c r="A5137" s="5">
        <v>5076</v>
      </c>
      <c r="B5137" s="138">
        <f>'Revenues 9-14'!C127</f>
        <v>59006</v>
      </c>
      <c r="D5137" s="2" t="str">
        <f t="shared" si="79"/>
        <v>Error?</v>
      </c>
    </row>
    <row r="5138" spans="1:4" x14ac:dyDescent="0.2">
      <c r="A5138" s="10">
        <v>5077</v>
      </c>
      <c r="D5138" s="2" t="str">
        <f t="shared" si="79"/>
        <v>OK</v>
      </c>
    </row>
    <row r="5139" spans="1:4" x14ac:dyDescent="0.2">
      <c r="A5139" s="5">
        <v>5078</v>
      </c>
      <c r="B5139" s="138">
        <f>'Revenues 9-14'!C128</f>
        <v>10593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10908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569533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21686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6430</v>
      </c>
      <c r="D5167" s="2" t="str">
        <f t="shared" si="79"/>
        <v>Error?</v>
      </c>
    </row>
    <row r="5168" spans="1:4" x14ac:dyDescent="0.2">
      <c r="A5168" s="5">
        <v>5107</v>
      </c>
      <c r="B5168" s="138">
        <f>'Revenues 9-14'!C147</f>
        <v>28029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292640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924366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6901601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350381</v>
      </c>
      <c r="D5239" s="2" t="str">
        <f t="shared" si="80"/>
        <v>Error?</v>
      </c>
    </row>
    <row r="5240" spans="1:4" x14ac:dyDescent="0.2">
      <c r="A5240" s="5">
        <v>5179</v>
      </c>
      <c r="B5240" s="138">
        <f>'Revenues 9-14'!C195</f>
        <v>1667</v>
      </c>
      <c r="D5240" s="2" t="str">
        <f t="shared" si="80"/>
        <v>Error?</v>
      </c>
    </row>
    <row r="5241" spans="1:4" x14ac:dyDescent="0.2">
      <c r="A5241" s="5">
        <v>5180</v>
      </c>
      <c r="B5241" s="138">
        <f>'Revenues 9-14'!C196</f>
        <v>81193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433241</v>
      </c>
      <c r="C5246" s="2" t="s">
        <v>594</v>
      </c>
      <c r="D5246" s="2" t="str">
        <f t="shared" si="80"/>
        <v>Error?</v>
      </c>
    </row>
    <row r="5247" spans="1:4" x14ac:dyDescent="0.2">
      <c r="A5247" s="5">
        <v>5186</v>
      </c>
      <c r="B5247" s="138">
        <f>'Revenues 9-14'!C203</f>
        <v>404628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404628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125000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125000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63421</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1072086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1072086</v>
      </c>
      <c r="C5326" s="2" t="s">
        <v>594</v>
      </c>
      <c r="D5326" s="2" t="str">
        <f t="shared" si="82"/>
        <v>Error?</v>
      </c>
    </row>
    <row r="5327" spans="1:4" x14ac:dyDescent="0.2">
      <c r="A5327" s="5">
        <v>5266</v>
      </c>
      <c r="B5327" s="138">
        <f>'Revenues 9-14'!C275</f>
        <v>16810624</v>
      </c>
      <c r="C5327" s="2" t="s">
        <v>594</v>
      </c>
      <c r="D5327" s="2" t="str">
        <f t="shared" si="82"/>
        <v>Error?</v>
      </c>
    </row>
    <row r="5328" spans="1:4" x14ac:dyDescent="0.2">
      <c r="A5328" s="5">
        <v>5267</v>
      </c>
      <c r="B5328" s="138">
        <f>'Revenues 9-14'!D5</f>
        <v>1089148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1089148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2385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2385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482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482</v>
      </c>
      <c r="C5355" s="2" t="s">
        <v>594</v>
      </c>
      <c r="D5355" s="2" t="str">
        <f t="shared" si="82"/>
        <v>Error?</v>
      </c>
    </row>
    <row r="5356" spans="1:4" x14ac:dyDescent="0.2">
      <c r="A5356" s="5">
        <v>5295</v>
      </c>
      <c r="B5356" s="138">
        <f>'Revenues 9-14'!D109</f>
        <v>1092015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1092015</v>
      </c>
      <c r="C5508" s="2" t="s">
        <v>594</v>
      </c>
      <c r="D5508" s="2" t="str">
        <f t="shared" si="85"/>
        <v>Error?</v>
      </c>
    </row>
    <row r="5509" spans="1:4" x14ac:dyDescent="0.2">
      <c r="A5509" s="5">
        <v>5448</v>
      </c>
      <c r="B5509" s="138">
        <f>'Revenues 9-14'!E5</f>
        <v>1520070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1520070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1521898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1521898</v>
      </c>
      <c r="C5552" s="2" t="s">
        <v>594</v>
      </c>
      <c r="D5552" s="2" t="str">
        <f t="shared" si="85"/>
        <v>Error?</v>
      </c>
    </row>
    <row r="5553" spans="1:4" x14ac:dyDescent="0.2">
      <c r="A5553" s="5">
        <v>5492</v>
      </c>
      <c r="B5553" s="138">
        <f>'Revenues 9-14'!F5</f>
        <v>435661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435661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80568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80568</v>
      </c>
      <c r="C5579" s="2" t="s">
        <v>594</v>
      </c>
      <c r="D5579" s="2" t="str">
        <f t="shared" si="86"/>
        <v>Error?</v>
      </c>
    </row>
    <row r="5580" spans="1:4" x14ac:dyDescent="0.2">
      <c r="A5580" s="5">
        <v>5519</v>
      </c>
      <c r="B5580" s="138">
        <f>'Revenues 9-14'!F65</f>
        <v>524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9355</v>
      </c>
      <c r="D5586" s="2" t="str">
        <f t="shared" si="86"/>
        <v>Error?</v>
      </c>
    </row>
    <row r="5587" spans="1:4" x14ac:dyDescent="0.2">
      <c r="A5587" s="5">
        <v>5526</v>
      </c>
      <c r="B5587" s="138">
        <f>'Revenues 9-14'!F108</f>
        <v>9355</v>
      </c>
      <c r="C5587" s="2" t="s">
        <v>594</v>
      </c>
      <c r="D5587" s="2" t="str">
        <f t="shared" si="86"/>
        <v>Error?</v>
      </c>
    </row>
    <row r="5588" spans="1:4" x14ac:dyDescent="0.2">
      <c r="A5588" s="5">
        <v>5527</v>
      </c>
      <c r="B5588" s="138">
        <f>'Revenues 9-14'!F109</f>
        <v>526108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391569</v>
      </c>
      <c r="D5615" s="2" t="str">
        <f t="shared" si="86"/>
        <v>Error?</v>
      </c>
    </row>
    <row r="5616" spans="1:4" x14ac:dyDescent="0.2">
      <c r="A5616" s="10">
        <v>5555</v>
      </c>
      <c r="D5616" s="2" t="str">
        <f t="shared" si="86"/>
        <v>OK</v>
      </c>
    </row>
    <row r="5617" spans="1:4" x14ac:dyDescent="0.2">
      <c r="A5617" s="5">
        <v>5556</v>
      </c>
      <c r="B5617" s="138">
        <f>'Revenues 9-14'!F152</f>
        <v>522528</v>
      </c>
      <c r="D5617" s="2" t="str">
        <f t="shared" si="86"/>
        <v>Error?</v>
      </c>
    </row>
    <row r="5618" spans="1:4" x14ac:dyDescent="0.2">
      <c r="A5618" s="5">
        <v>5557</v>
      </c>
      <c r="B5618" s="138">
        <f>'Revenues 9-14'!F154</f>
        <v>914097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914097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914097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1440205</v>
      </c>
      <c r="C5720" s="2" t="s">
        <v>594</v>
      </c>
      <c r="D5720" s="2" t="str">
        <f t="shared" si="88"/>
        <v>Error?</v>
      </c>
    </row>
    <row r="5721" spans="1:4" x14ac:dyDescent="0.2">
      <c r="A5721" s="5">
        <v>5660</v>
      </c>
      <c r="B5721" s="138">
        <f>'Revenues 9-14'!G5</f>
        <v>401743</v>
      </c>
      <c r="D5721" s="2" t="str">
        <f t="shared" si="88"/>
        <v>Error?</v>
      </c>
    </row>
    <row r="5722" spans="1:4" x14ac:dyDescent="0.2">
      <c r="A5722" s="5">
        <v>5661</v>
      </c>
      <c r="B5722" s="138">
        <f>'Revenues 9-14'!G7</f>
        <v>0</v>
      </c>
      <c r="D5722" s="2" t="str">
        <f t="shared" si="88"/>
        <v>Error?</v>
      </c>
    </row>
    <row r="5723" spans="1:4" x14ac:dyDescent="0.2">
      <c r="A5723" s="5">
        <v>5662</v>
      </c>
      <c r="B5723" s="138">
        <f>'Revenues 9-14'!G8</f>
        <v>425220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826963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6250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6250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833213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4524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4524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741647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746171</v>
      </c>
      <c r="C5915" s="2" t="s">
        <v>594</v>
      </c>
      <c r="D5915" s="2" t="str">
        <f t="shared" si="91"/>
        <v>Error?</v>
      </c>
    </row>
    <row r="5916" spans="1:4" x14ac:dyDescent="0.2">
      <c r="A5916" s="5">
        <v>5855</v>
      </c>
      <c r="B5916" s="138">
        <f>'Revenues 9-14'!I5</f>
        <v>108918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108918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22132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22132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131050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108903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108903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1294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1294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110197</v>
      </c>
      <c r="C6023" s="2" t="s">
        <v>594</v>
      </c>
      <c r="D6023" s="2" t="str">
        <f t="shared" si="93"/>
        <v>Error?</v>
      </c>
    </row>
    <row r="6024" spans="1:5" x14ac:dyDescent="0.2">
      <c r="A6024" s="5">
        <v>5963</v>
      </c>
      <c r="B6024" s="138">
        <f>'Revenues 9-14'!G109</f>
        <v>833213</v>
      </c>
      <c r="C6024" s="2" t="s">
        <v>594</v>
      </c>
      <c r="D6024" s="2" t="str">
        <f t="shared" si="93"/>
        <v>Error?</v>
      </c>
    </row>
    <row r="6025" spans="1:5" x14ac:dyDescent="0.2">
      <c r="A6025" s="5">
        <v>5964</v>
      </c>
      <c r="B6025" s="138">
        <f>'Revenues 9-14'!H109</f>
        <v>746171</v>
      </c>
      <c r="C6025" s="2" t="s">
        <v>594</v>
      </c>
      <c r="D6025" s="2" t="str">
        <f t="shared" si="93"/>
        <v>Error?</v>
      </c>
    </row>
    <row r="6026" spans="1:5" x14ac:dyDescent="0.2">
      <c r="A6026" s="5">
        <v>5965</v>
      </c>
      <c r="B6026" s="138">
        <f>'Revenues 9-14'!I109</f>
        <v>131050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110197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308165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88910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1709.61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7489</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245878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7489</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245878</v>
      </c>
      <c r="D6215" s="2" t="str">
        <f t="shared" si="96"/>
        <v>Error?</v>
      </c>
      <c r="E6215" s="2" t="s">
        <v>199</v>
      </c>
    </row>
    <row r="6216" spans="1:5" x14ac:dyDescent="0.2">
      <c r="A6216">
        <v>6155</v>
      </c>
      <c r="B6216" s="138">
        <f>'Assets-Liab 5-6'!J41</f>
        <v>245878</v>
      </c>
      <c r="D6216" s="2" t="str">
        <f t="shared" si="96"/>
        <v>Error?</v>
      </c>
      <c r="E6216" s="2" t="s">
        <v>199</v>
      </c>
    </row>
    <row r="6217" spans="1:5" x14ac:dyDescent="0.2">
      <c r="A6217">
        <v>6156</v>
      </c>
      <c r="B6217" s="138">
        <f>'Assets-Liab 5-6'!J4</f>
        <v>4307</v>
      </c>
      <c r="D6217" s="2" t="str">
        <f t="shared" si="96"/>
        <v>Error?</v>
      </c>
      <c r="E6217" s="2" t="s">
        <v>199</v>
      </c>
    </row>
    <row r="6218" spans="1:5" x14ac:dyDescent="0.2">
      <c r="A6218">
        <v>6157</v>
      </c>
      <c r="B6218" s="138">
        <f>'Assets-Liab 5-6'!J5</f>
        <v>241571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728537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728537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728537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483161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483161</v>
      </c>
      <c r="D6229" s="2" t="str">
        <f t="shared" si="96"/>
        <v>Error?</v>
      </c>
      <c r="E6229" s="2" t="s">
        <v>199</v>
      </c>
    </row>
    <row r="6230" spans="1:5" x14ac:dyDescent="0.2">
      <c r="A6230">
        <v>6169</v>
      </c>
      <c r="B6230" s="138">
        <f>'Acct Summary 7-8'!J20</f>
        <v>245376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245376</v>
      </c>
      <c r="D6263" s="2" t="str">
        <f t="shared" si="96"/>
        <v>Error?</v>
      </c>
      <c r="E6263" s="2" t="s">
        <v>199</v>
      </c>
    </row>
    <row r="6264" spans="1:5" x14ac:dyDescent="0.2">
      <c r="A6264">
        <v>6203</v>
      </c>
      <c r="B6264" s="138">
        <f>'Acct Summary 7-8'!J79</f>
        <v>502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245878</v>
      </c>
      <c r="D6266" s="2" t="str">
        <f t="shared" si="96"/>
        <v>Error?</v>
      </c>
      <c r="E6266" s="2" t="s">
        <v>199</v>
      </c>
    </row>
    <row r="6267" spans="1:5" x14ac:dyDescent="0.2">
      <c r="A6267">
        <v>6206</v>
      </c>
      <c r="B6267" s="138">
        <f>'Acct Summary 7-8'!C82</f>
        <v>133946</v>
      </c>
      <c r="D6267" s="2" t="str">
        <f t="shared" si="96"/>
        <v>Error?</v>
      </c>
      <c r="E6267" s="2" t="s">
        <v>199</v>
      </c>
    </row>
    <row r="6268" spans="1:5" x14ac:dyDescent="0.2">
      <c r="A6268">
        <v>6207</v>
      </c>
      <c r="B6268" s="138">
        <f>'Acct Summary 7-8'!D82</f>
        <v>-10221</v>
      </c>
      <c r="D6268" s="2" t="str">
        <f t="shared" si="96"/>
        <v>Error?</v>
      </c>
      <c r="E6268" s="2" t="s">
        <v>199</v>
      </c>
    </row>
    <row r="6269" spans="1:5" x14ac:dyDescent="0.2">
      <c r="A6269">
        <v>6208</v>
      </c>
      <c r="B6269" s="138">
        <f>'Acct Summary 7-8'!E82</f>
        <v>-58852</v>
      </c>
      <c r="D6269" s="2" t="str">
        <f t="shared" si="96"/>
        <v>Error?</v>
      </c>
      <c r="E6269" s="2" t="s">
        <v>199</v>
      </c>
    </row>
    <row r="6270" spans="1:5" x14ac:dyDescent="0.2">
      <c r="A6270">
        <v>6209</v>
      </c>
      <c r="B6270" s="138">
        <f>'Acct Summary 7-8'!F82</f>
        <v>67223</v>
      </c>
      <c r="D6270" s="2" t="str">
        <f t="shared" si="96"/>
        <v>Error?</v>
      </c>
      <c r="E6270" s="2" t="s">
        <v>199</v>
      </c>
    </row>
    <row r="6271" spans="1:5" x14ac:dyDescent="0.2">
      <c r="A6271">
        <v>6210</v>
      </c>
      <c r="B6271" s="138">
        <f>'Acct Summary 7-8'!G82</f>
        <v>120364</v>
      </c>
      <c r="D6271" s="2" t="str">
        <f t="shared" ref="D6271:D6334" si="97">IF(ISBLANK(B6271),"OK",IF(A6271-B6271=0,"OK","Error?"))</f>
        <v>Error?</v>
      </c>
      <c r="E6271" s="2" t="s">
        <v>199</v>
      </c>
    </row>
    <row r="6272" spans="1:5" x14ac:dyDescent="0.2">
      <c r="A6272">
        <v>6211</v>
      </c>
      <c r="B6272" s="138">
        <f>'Acct Summary 7-8'!H82</f>
        <v>329944</v>
      </c>
      <c r="D6272" s="2" t="str">
        <f t="shared" si="97"/>
        <v>Error?</v>
      </c>
      <c r="E6272" s="2" t="s">
        <v>199</v>
      </c>
    </row>
    <row r="6273" spans="1:5" x14ac:dyDescent="0.2">
      <c r="A6273">
        <v>6212</v>
      </c>
      <c r="B6273" s="138">
        <f>'Acct Summary 7-8'!I82</f>
        <v>-168950</v>
      </c>
      <c r="D6273" s="2" t="str">
        <f t="shared" si="97"/>
        <v>Error?</v>
      </c>
      <c r="E6273" s="2" t="s">
        <v>199</v>
      </c>
    </row>
    <row r="6274" spans="1:5" x14ac:dyDescent="0.2">
      <c r="A6274">
        <v>6213</v>
      </c>
      <c r="B6274" s="138">
        <f>'Acct Summary 7-8'!J82</f>
        <v>245376</v>
      </c>
      <c r="D6274" s="2" t="str">
        <f t="shared" si="97"/>
        <v>Error?</v>
      </c>
      <c r="E6274" s="2" t="s">
        <v>199</v>
      </c>
    </row>
    <row r="6275" spans="1:5" x14ac:dyDescent="0.2">
      <c r="A6275">
        <v>6214</v>
      </c>
      <c r="B6275" s="138">
        <f>'Acct Summary 7-8'!K82</f>
        <v>95749</v>
      </c>
      <c r="D6275" s="2" t="str">
        <f t="shared" si="97"/>
        <v>Error?</v>
      </c>
      <c r="E6275" s="2" t="s">
        <v>199</v>
      </c>
    </row>
    <row r="6276" spans="1:5" x14ac:dyDescent="0.2">
      <c r="A6276">
        <v>6215</v>
      </c>
      <c r="B6276" s="138">
        <f>'Acct Summary 7-8'!C83</f>
        <v>0.4051566380220385</v>
      </c>
      <c r="D6276" s="2" t="str">
        <f t="shared" si="97"/>
        <v>Error?</v>
      </c>
      <c r="E6276" s="2" t="s">
        <v>199</v>
      </c>
    </row>
    <row r="6277" spans="1:5" x14ac:dyDescent="0.2">
      <c r="A6277">
        <v>6216</v>
      </c>
      <c r="B6277" s="138">
        <f>'Acct Summary 7-8'!D83</f>
        <v>-8.5137397649371532E-2</v>
      </c>
      <c r="D6277" s="2" t="str">
        <f t="shared" si="97"/>
        <v>Error?</v>
      </c>
      <c r="E6277" s="2" t="s">
        <v>199</v>
      </c>
    </row>
    <row r="6278" spans="1:5" x14ac:dyDescent="0.2">
      <c r="A6278">
        <v>6217</v>
      </c>
      <c r="B6278" s="138">
        <f>'Acct Summary 7-8'!E83</f>
        <v>-0.94823169258035933</v>
      </c>
      <c r="D6278" s="2" t="str">
        <f t="shared" si="97"/>
        <v>Error?</v>
      </c>
      <c r="E6278" s="2" t="s">
        <v>199</v>
      </c>
    </row>
    <row r="6279" spans="1:5" x14ac:dyDescent="0.2">
      <c r="A6279">
        <v>6218</v>
      </c>
      <c r="B6279" s="138">
        <f>'Acct Summary 7-8'!F83</f>
        <v>0.32567862835438377</v>
      </c>
      <c r="D6279" s="2" t="str">
        <f t="shared" si="97"/>
        <v>Error?</v>
      </c>
      <c r="E6279" s="2" t="s">
        <v>199</v>
      </c>
    </row>
    <row r="6280" spans="1:5" x14ac:dyDescent="0.2">
      <c r="A6280">
        <v>6219</v>
      </c>
      <c r="B6280" s="138">
        <f>'Acct Summary 7-8'!G83</f>
        <v>0.15602974785362522</v>
      </c>
      <c r="D6280" s="2" t="str">
        <f t="shared" si="97"/>
        <v>Error?</v>
      </c>
      <c r="E6280" s="2" t="s">
        <v>199</v>
      </c>
    </row>
    <row r="6281" spans="1:5" x14ac:dyDescent="0.2">
      <c r="A6281">
        <v>6220</v>
      </c>
      <c r="B6281" s="138">
        <f>'Acct Summary 7-8'!H83</f>
        <v>0.40148550513015208</v>
      </c>
      <c r="D6281" s="2" t="str">
        <f t="shared" si="97"/>
        <v>Error?</v>
      </c>
      <c r="E6281" s="2" t="s">
        <v>199</v>
      </c>
    </row>
    <row r="6282" spans="1:5" x14ac:dyDescent="0.2">
      <c r="A6282">
        <v>6221</v>
      </c>
      <c r="B6282" s="138">
        <f>'Acct Summary 7-8'!I83</f>
        <v>-3.678173831866853E-2</v>
      </c>
      <c r="D6282" s="2" t="str">
        <f t="shared" si="97"/>
        <v>Error?</v>
      </c>
      <c r="E6282" s="2" t="s">
        <v>199</v>
      </c>
    </row>
    <row r="6283" spans="1:5" x14ac:dyDescent="0.2">
      <c r="A6283">
        <v>6222</v>
      </c>
      <c r="B6283" s="138">
        <f>'Acct Summary 7-8'!J83</f>
        <v>0.99795833706146952</v>
      </c>
      <c r="D6283" s="2" t="str">
        <f t="shared" si="97"/>
        <v>Error?</v>
      </c>
      <c r="E6283" s="2" t="s">
        <v>199</v>
      </c>
    </row>
    <row r="6284" spans="1:5" x14ac:dyDescent="0.2">
      <c r="A6284">
        <v>6223</v>
      </c>
      <c r="B6284" s="138">
        <f>'Acct Summary 7-8'!K83</f>
        <v>0.41034465024985217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726858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726858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1679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1679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17151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728537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21686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219129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264750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483161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728537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129942</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129942</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129942</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14650</v>
      </c>
      <c r="D7073" s="2" t="str">
        <f t="shared" si="109"/>
        <v>Error?</v>
      </c>
    </row>
    <row r="7074" spans="1:4" x14ac:dyDescent="0.2">
      <c r="A7074">
        <v>7013</v>
      </c>
      <c r="B7074" s="138">
        <f>'Expenditures 15-22'!K216</f>
        <v>14650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156348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156348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1178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1178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58902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58902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4799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4799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159322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159322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9292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9292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483161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483161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483161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483161</v>
      </c>
      <c r="D7224" s="2" t="str">
        <f t="shared" si="111"/>
        <v>Error?</v>
      </c>
    </row>
    <row r="7225" spans="1:4" x14ac:dyDescent="0.2">
      <c r="A7225">
        <v>7164</v>
      </c>
      <c r="B7225" s="138">
        <f>'Expenditures 15-22'!K343</f>
        <v>245376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18653</v>
      </c>
      <c r="D7246" s="2" t="str">
        <f t="shared" si="112"/>
        <v>Error?</v>
      </c>
    </row>
    <row r="7247" spans="1:4" x14ac:dyDescent="0.2">
      <c r="A7247">
        <f t="shared" si="113"/>
        <v>7186</v>
      </c>
      <c r="B7247" s="138">
        <f>'Expenditures 15-22'!E7</f>
        <v>25</v>
      </c>
      <c r="D7247" s="2" t="str">
        <f t="shared" si="112"/>
        <v>Error?</v>
      </c>
    </row>
    <row r="7248" spans="1:4" x14ac:dyDescent="0.2">
      <c r="A7248">
        <f t="shared" si="113"/>
        <v>7187</v>
      </c>
      <c r="B7248" s="138">
        <f>'Expenditures 15-22'!F7</f>
        <v>9413</v>
      </c>
      <c r="D7248" s="2" t="str">
        <f t="shared" si="112"/>
        <v>Error?</v>
      </c>
    </row>
    <row r="7249" spans="1:4" x14ac:dyDescent="0.2">
      <c r="A7249">
        <f t="shared" si="113"/>
        <v>7188</v>
      </c>
      <c r="B7249" s="138">
        <f>'Expenditures 15-22'!G7</f>
        <v>17530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129942</v>
      </c>
      <c r="D7624" s="2" t="str">
        <f t="shared" si="124"/>
        <v>Error?</v>
      </c>
      <c r="E7624" s="2" t="s">
        <v>19</v>
      </c>
    </row>
    <row r="7625" spans="1:5" x14ac:dyDescent="0.2">
      <c r="A7625">
        <f t="shared" si="123"/>
        <v>7564</v>
      </c>
      <c r="B7625" s="138">
        <f>'Cap Outlay Deprec 26'!I17</f>
        <v>12994.2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797126.2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60901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60901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32419</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32419</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491864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4524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17151</v>
      </c>
      <c r="D7712" s="2" t="str">
        <f t="shared" si="126"/>
        <v>Error?</v>
      </c>
      <c r="E7712" s="2" t="s">
        <v>881</v>
      </c>
    </row>
    <row r="7713" spans="1:6" x14ac:dyDescent="0.2">
      <c r="A7713">
        <v>7652</v>
      </c>
      <c r="B7713" s="138">
        <f>'Rest Tax Levies-Tort Im 25'!J8</f>
        <v>741647</v>
      </c>
      <c r="D7713" s="2" t="str">
        <f t="shared" si="126"/>
        <v>Error?</v>
      </c>
      <c r="E7713" s="2" t="s">
        <v>881</v>
      </c>
    </row>
    <row r="7714" spans="1:6" x14ac:dyDescent="0.2">
      <c r="A7714">
        <v>7653</v>
      </c>
      <c r="B7714" s="138">
        <f>'Rest Tax Levies-Tort Im 25'!K9</f>
        <v>28029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746171</v>
      </c>
      <c r="D7718" s="2" t="str">
        <f t="shared" si="126"/>
        <v>Error?</v>
      </c>
      <c r="E7718" s="2" t="s">
        <v>881</v>
      </c>
    </row>
    <row r="7719" spans="1:6" x14ac:dyDescent="0.2">
      <c r="A7719">
        <v>7658</v>
      </c>
      <c r="B7719" s="138">
        <f>'Rest Tax Levies-Tort Im 25'!K12</f>
        <v>45180</v>
      </c>
      <c r="D7719" s="2" t="str">
        <f t="shared" si="126"/>
        <v>Error?</v>
      </c>
      <c r="E7719" s="2" t="s">
        <v>881</v>
      </c>
    </row>
    <row r="7720" spans="1:6" x14ac:dyDescent="0.2">
      <c r="A7720">
        <v>7659</v>
      </c>
      <c r="B7720" s="138">
        <f>'Rest Tax Levies-Tort Im 25'!H14</f>
        <v>87130</v>
      </c>
      <c r="D7720" s="2" t="str">
        <f t="shared" si="126"/>
        <v>Error?</v>
      </c>
      <c r="E7720" s="2" t="s">
        <v>881</v>
      </c>
    </row>
    <row r="7721" spans="1:6" x14ac:dyDescent="0.2">
      <c r="A7721">
        <v>7660</v>
      </c>
      <c r="B7721" s="138">
        <f>'Rest Tax Levies-Tort Im 25'!K14</f>
        <v>45180</v>
      </c>
      <c r="D7721" s="2" t="str">
        <f t="shared" si="126"/>
        <v>Error?</v>
      </c>
      <c r="E7721" s="2" t="s">
        <v>881</v>
      </c>
    </row>
    <row r="7722" spans="1:6" x14ac:dyDescent="0.2">
      <c r="A7722">
        <v>7661</v>
      </c>
      <c r="B7722" s="138">
        <f>'Rest Tax Levies-Tort Im 25'!J15</f>
        <v>416227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416227</v>
      </c>
      <c r="D7730" s="2" t="str">
        <f t="shared" si="126"/>
        <v>Error?</v>
      </c>
      <c r="E7730" s="2" t="s">
        <v>881</v>
      </c>
    </row>
    <row r="7731" spans="1:6" x14ac:dyDescent="0.2">
      <c r="A7731">
        <v>7670</v>
      </c>
      <c r="B7731" s="138">
        <f>'Revenues 9-14'!H103</f>
        <v>741647</v>
      </c>
      <c r="D7731" s="2" t="str">
        <f t="shared" si="126"/>
        <v>Error?</v>
      </c>
      <c r="E7731" s="2" t="s">
        <v>881</v>
      </c>
    </row>
    <row r="7732" spans="1:6" x14ac:dyDescent="0.2">
      <c r="A7732">
        <v>7671</v>
      </c>
      <c r="B7732" s="138">
        <f>'Rest Tax Levies-Tort Im 25'!J24</f>
        <v>821808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821808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150000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159070</v>
      </c>
      <c r="D7797" s="2" t="str">
        <f t="shared" si="127"/>
        <v>Error?</v>
      </c>
      <c r="E7797" s="4" t="s">
        <v>2017</v>
      </c>
    </row>
    <row r="7798" spans="1:5" x14ac:dyDescent="0.2">
      <c r="A7798">
        <v>7737</v>
      </c>
      <c r="B7798" s="138">
        <f>'Contracts Paid in CY 29'!F141</f>
        <v>59060</v>
      </c>
      <c r="D7798" s="2" t="str">
        <f t="shared" si="127"/>
        <v>Error?</v>
      </c>
      <c r="E7798" s="4" t="s">
        <v>2017</v>
      </c>
    </row>
    <row r="7799" spans="1:5" x14ac:dyDescent="0.2">
      <c r="A7799">
        <v>7738</v>
      </c>
      <c r="B7799" s="138">
        <f>'Contracts Paid in CY 29'!G141</f>
        <v>20000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L32" sqref="L32"/>
    </sheetView>
  </sheetViews>
  <sheetFormatPr defaultColWidth="9.28515625" defaultRowHeight="12.75" x14ac:dyDescent="0.2"/>
  <cols>
    <col min="1" max="1" width="7.7109375" style="1181" customWidth="1"/>
    <col min="2" max="2" width="2.28515625" style="1177" customWidth="1"/>
    <col min="3" max="3" width="9.28515625" style="1181"/>
    <col min="4" max="4" width="13" style="1181" customWidth="1"/>
    <col min="5" max="5" width="16" style="1181" customWidth="1"/>
    <col min="6" max="6" width="4.28515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7109375" style="1181" customWidth="1"/>
    <col min="13" max="13" width="2.7109375" style="1181" customWidth="1"/>
    <col min="14" max="14" width="13.28515625" style="1181" customWidth="1"/>
    <col min="15" max="15" width="7.28515625" style="1181" customWidth="1"/>
    <col min="16" max="16" width="7" style="1181" customWidth="1"/>
    <col min="17" max="19" width="9.7109375" style="1181" customWidth="1"/>
    <col min="20" max="16384" width="9.28515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Prairie Central CUSD 8</v>
      </c>
      <c r="B7" s="2422"/>
      <c r="C7" s="2422"/>
      <c r="D7" s="2423"/>
      <c r="E7" s="2424">
        <f>COVER!A13</f>
        <v>17053008026</v>
      </c>
      <c r="F7" s="2425"/>
      <c r="G7" s="2431">
        <f>COVER!T23</f>
        <v>66.004384999999999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FLOYD &amp; ASSOCIATES, CPAs</v>
      </c>
      <c r="H9" s="2437"/>
      <c r="I9" s="2437"/>
      <c r="J9" s="2437"/>
      <c r="K9" s="2437"/>
      <c r="L9" s="2438"/>
    </row>
    <row r="10" spans="1:29" ht="13.5" customHeight="1" x14ac:dyDescent="0.2">
      <c r="A10" s="2411" t="str">
        <f>COVER!A38</f>
        <v>PAULA CRANE</v>
      </c>
      <c r="B10" s="2412"/>
      <c r="C10" s="2412"/>
      <c r="D10" s="2412"/>
      <c r="E10" s="2412"/>
      <c r="F10" s="2413"/>
      <c r="G10" s="2405" t="str">
        <f>COVER!T17</f>
        <v>910 STATE HIGHWAY 54 EAST</v>
      </c>
      <c r="H10" s="2406"/>
      <c r="I10" s="2406"/>
      <c r="J10" s="2406"/>
      <c r="K10" s="2406"/>
      <c r="L10" s="2407"/>
    </row>
    <row r="11" spans="1:29" ht="13.5" customHeight="1" x14ac:dyDescent="0.2">
      <c r="A11" s="1185" t="s">
        <v>1599</v>
      </c>
      <c r="B11" s="1186"/>
      <c r="C11" s="1187"/>
      <c r="D11" s="1192"/>
      <c r="E11" s="1187"/>
      <c r="F11" s="1191"/>
      <c r="G11" s="2405" t="str">
        <f>COVER!T19</f>
        <v>CLINTON</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julie.floyd@frontier.com</v>
      </c>
      <c r="J13" s="2418"/>
      <c r="K13" s="2418"/>
      <c r="L13" s="2419"/>
    </row>
    <row r="14" spans="1:29" ht="13.5" customHeight="1" x14ac:dyDescent="0.2">
      <c r="A14" s="2405" t="str">
        <f>COVER!A19</f>
        <v>605 NORTH SEVENTH STREET</v>
      </c>
      <c r="B14" s="2406"/>
      <c r="C14" s="2406"/>
      <c r="D14" s="2406"/>
      <c r="E14" s="2406"/>
      <c r="F14" s="2407"/>
      <c r="G14" s="1196" t="s">
        <v>1247</v>
      </c>
      <c r="H14" s="1194"/>
      <c r="I14" s="1194"/>
      <c r="J14" s="1194"/>
      <c r="K14" s="1194"/>
      <c r="L14" s="1195"/>
    </row>
    <row r="15" spans="1:29" ht="13.5" customHeight="1" x14ac:dyDescent="0.2">
      <c r="A15" s="2405" t="str">
        <f>COVER!A21</f>
        <v>FAIRBURY</v>
      </c>
      <c r="B15" s="2406"/>
      <c r="C15" s="2406"/>
      <c r="D15" s="2406"/>
      <c r="E15" s="2406"/>
      <c r="F15" s="2407"/>
      <c r="G15" s="2402" t="str">
        <f>COVER!T15</f>
        <v>JULIE M. FLOYD, CPA</v>
      </c>
      <c r="H15" s="2403"/>
      <c r="I15" s="2403"/>
      <c r="J15" s="2403"/>
      <c r="K15" s="2403"/>
      <c r="L15" s="2404"/>
    </row>
    <row r="16" spans="1:29" ht="12.4" customHeight="1" x14ac:dyDescent="0.2">
      <c r="A16" s="2427">
        <f>COVER!A25</f>
        <v>61739</v>
      </c>
      <c r="B16" s="2428"/>
      <c r="C16" s="2428"/>
      <c r="D16" s="2428"/>
      <c r="E16" s="2428"/>
      <c r="F16" s="2429"/>
      <c r="G16" s="2439"/>
      <c r="H16" s="2440"/>
      <c r="I16" s="2440"/>
      <c r="J16" s="2440"/>
      <c r="K16" s="2440"/>
      <c r="L16" s="2441"/>
    </row>
    <row r="17" spans="1:13" ht="12.4" customHeight="1" x14ac:dyDescent="0.2">
      <c r="A17" s="2442"/>
      <c r="B17" s="2428"/>
      <c r="C17" s="2428"/>
      <c r="D17" s="2428"/>
      <c r="E17" s="2428"/>
      <c r="F17" s="2429"/>
      <c r="G17" s="1196" t="s">
        <v>1246</v>
      </c>
      <c r="H17" s="1194"/>
      <c r="I17" s="1194"/>
      <c r="J17" s="1194"/>
      <c r="K17" s="1198" t="s">
        <v>1245</v>
      </c>
      <c r="L17" s="1191"/>
      <c r="M17" s="1184"/>
    </row>
    <row r="18" spans="1:13" ht="12.4" customHeight="1" x14ac:dyDescent="0.2">
      <c r="A18" s="2411"/>
      <c r="B18" s="2412"/>
      <c r="C18" s="2412"/>
      <c r="D18" s="2412"/>
      <c r="E18" s="2412"/>
      <c r="F18" s="2413"/>
      <c r="G18" s="2421" t="str">
        <f>COVER!T21</f>
        <v>217-935-8871</v>
      </c>
      <c r="H18" s="2422"/>
      <c r="I18" s="2422"/>
      <c r="J18" s="2422"/>
      <c r="K18" s="2421" t="str">
        <f>COVER!X21</f>
        <v>217-935-5711</v>
      </c>
      <c r="L18" s="2426"/>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1231</v>
      </c>
      <c r="K20" s="1177" t="s">
        <v>1231</v>
      </c>
    </row>
    <row r="21" spans="1:13" ht="12.4" customHeight="1" x14ac:dyDescent="0.2">
      <c r="A21" s="1200" t="s">
        <v>1800</v>
      </c>
    </row>
    <row r="22" spans="1:13" ht="12.4" customHeight="1" x14ac:dyDescent="0.2">
      <c r="A22" s="1201"/>
    </row>
    <row r="23" spans="1:13" ht="12.4"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4" customHeight="1" x14ac:dyDescent="0.2">
      <c r="B26" s="1202"/>
      <c r="C26" s="1203" t="s">
        <v>1801</v>
      </c>
    </row>
    <row r="27" spans="1:13" s="1199" customFormat="1" ht="9" customHeight="1" x14ac:dyDescent="0.2">
      <c r="B27" s="1204"/>
      <c r="C27" s="1203"/>
    </row>
    <row r="28" spans="1:13" s="1199" customFormat="1" ht="12.4" customHeight="1" x14ac:dyDescent="0.2">
      <c r="A28" s="1206"/>
      <c r="B28" s="1202"/>
      <c r="C28" s="1203" t="s">
        <v>1802</v>
      </c>
    </row>
    <row r="29" spans="1:13" s="1199" customFormat="1" ht="9" customHeight="1" x14ac:dyDescent="0.2">
      <c r="A29" s="1206"/>
      <c r="B29" s="1204"/>
      <c r="C29" s="1203"/>
    </row>
    <row r="30" spans="1:13" s="1199" customFormat="1" ht="12.4" customHeight="1" x14ac:dyDescent="0.2">
      <c r="B30" s="1202"/>
      <c r="C30" s="1203" t="s">
        <v>1643</v>
      </c>
      <c r="D30" s="1197"/>
      <c r="E30" s="1197"/>
    </row>
    <row r="31" spans="1:13" s="1199" customFormat="1" ht="9" customHeight="1" x14ac:dyDescent="0.2">
      <c r="B31" s="1204"/>
      <c r="C31" s="1203"/>
      <c r="D31" s="1197"/>
      <c r="E31" s="1197"/>
    </row>
    <row r="32" spans="1:13" s="1199" customFormat="1" ht="12.4"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4"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1649</v>
      </c>
      <c r="D46" s="1197"/>
      <c r="E46" s="1197"/>
      <c r="F46" s="1197"/>
      <c r="G46" s="1197"/>
      <c r="H46" s="1197"/>
    </row>
    <row r="47" spans="1:8" ht="9" customHeight="1" x14ac:dyDescent="0.2"/>
    <row r="48" spans="1:8" ht="12.4" customHeight="1" x14ac:dyDescent="0.2">
      <c r="B48" s="1211"/>
      <c r="C48" s="1212" t="s">
        <v>1650</v>
      </c>
    </row>
    <row r="49" spans="1:12" ht="9" customHeight="1" x14ac:dyDescent="0.2"/>
    <row r="50" spans="1:12" ht="6" customHeight="1" x14ac:dyDescent="0.2">
      <c r="C50" s="1212"/>
    </row>
    <row r="51" spans="1:12" ht="12.4" customHeight="1" x14ac:dyDescent="0.2">
      <c r="A51" s="1214" t="s">
        <v>1804</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7" zoomScale="125" zoomScaleNormal="125" workbookViewId="0">
      <selection activeCell="L32" sqref="L3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28515625" style="1222" customWidth="1"/>
    <col min="6" max="16384" width="10.7109375" style="1222"/>
  </cols>
  <sheetData>
    <row r="1" spans="1:11" s="1215" customFormat="1" ht="12.75" x14ac:dyDescent="0.2">
      <c r="A1" s="2443" t="str">
        <f>'Single Audit Cover'!A7</f>
        <v>Prairie Central CUSD 8</v>
      </c>
      <c r="B1" s="2420"/>
      <c r="C1" s="2420"/>
      <c r="D1" s="2420"/>
    </row>
    <row r="2" spans="1:11" s="1215" customFormat="1" ht="12.75" x14ac:dyDescent="0.2">
      <c r="A2" s="2444">
        <f>'Single Audit Cover'!E7</f>
        <v>17053008026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L32" sqref="L32"/>
    </sheetView>
  </sheetViews>
  <sheetFormatPr defaultColWidth="15.7109375" defaultRowHeight="12.75" x14ac:dyDescent="0.2"/>
  <cols>
    <col min="1" max="1" width="31.71093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Prairie Central CUSD 8</v>
      </c>
      <c r="B1" s="2447"/>
      <c r="C1" s="2447"/>
      <c r="D1" s="2447"/>
      <c r="E1" s="2447"/>
    </row>
    <row r="2" spans="1:5" x14ac:dyDescent="0.2">
      <c r="A2" s="2448">
        <f>'Single Audit Cover'!E7</f>
        <v>17053008026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1072086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88910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-45796</v>
      </c>
    </row>
    <row r="19" spans="1:4" ht="13.5" thickBot="1" x14ac:dyDescent="0.25">
      <c r="A19" s="1265" t="s">
        <v>1297</v>
      </c>
      <c r="D19" s="1266">
        <f>SUM(D10:D17)</f>
        <v>1115200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1115200</v>
      </c>
    </row>
    <row r="33" spans="1:4" x14ac:dyDescent="0.2">
      <c r="D33" s="1269"/>
    </row>
    <row r="34" spans="1:4" x14ac:dyDescent="0.2">
      <c r="A34" s="317" t="s">
        <v>1294</v>
      </c>
    </row>
    <row r="35" spans="1:4" x14ac:dyDescent="0.2">
      <c r="A35" s="317" t="s">
        <v>1293</v>
      </c>
      <c r="B35" s="1258" t="s">
        <v>1292</v>
      </c>
      <c r="D35" s="1270">
        <v>1115200</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1115200</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8" zoomScaleNormal="100" workbookViewId="0">
      <selection activeCell="L32" sqref="L32"/>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Prairie Central CUSD 8</v>
      </c>
      <c r="C1" s="2451"/>
      <c r="D1" s="2451"/>
      <c r="E1" s="2451"/>
      <c r="F1" s="2451"/>
      <c r="G1" s="2451"/>
      <c r="H1" s="2451"/>
      <c r="I1" s="2451"/>
      <c r="J1" s="2451"/>
      <c r="K1" s="2451"/>
      <c r="L1" s="2451"/>
      <c r="M1" s="2451"/>
    </row>
    <row r="2" spans="2:14" ht="15" x14ac:dyDescent="0.2">
      <c r="B2" s="2452">
        <f>'Single Audit Cover'!E7</f>
        <v>17053008026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2099</v>
      </c>
      <c r="C11" s="1338"/>
      <c r="D11" s="1339"/>
      <c r="E11" s="1340"/>
      <c r="F11" s="1340"/>
      <c r="G11" s="1340"/>
      <c r="H11" s="1340"/>
      <c r="I11" s="1340"/>
      <c r="J11" s="1340"/>
      <c r="K11" s="1340"/>
      <c r="L11" s="1340">
        <f>+G11+I11+K11</f>
        <v>0</v>
      </c>
      <c r="M11" s="1340"/>
    </row>
    <row r="12" spans="2:14" ht="20.100000000000001" customHeight="1" x14ac:dyDescent="0.2">
      <c r="B12" s="1337" t="s">
        <v>2094</v>
      </c>
      <c r="C12" s="1341"/>
      <c r="D12" s="1342"/>
      <c r="E12" s="1343"/>
      <c r="F12" s="1343"/>
      <c r="G12" s="1343"/>
      <c r="H12" s="1343"/>
      <c r="I12" s="1343"/>
      <c r="J12" s="1343"/>
      <c r="K12" s="1343"/>
      <c r="L12" s="1340">
        <f t="shared" ref="L12:L27" si="0">+G12+I12+K12</f>
        <v>0</v>
      </c>
      <c r="M12" s="1343"/>
    </row>
    <row r="13" spans="2:14" ht="20.100000000000001" customHeight="1" x14ac:dyDescent="0.2">
      <c r="B13" s="1337" t="s">
        <v>2095</v>
      </c>
      <c r="C13" s="1341">
        <v>10.555</v>
      </c>
      <c r="D13" s="1342" t="s">
        <v>2106</v>
      </c>
      <c r="E13" s="1343">
        <v>293502</v>
      </c>
      <c r="F13" s="1343">
        <v>62388</v>
      </c>
      <c r="G13" s="1343">
        <v>293502</v>
      </c>
      <c r="H13" s="1343"/>
      <c r="I13" s="1343">
        <v>62388</v>
      </c>
      <c r="J13" s="1343"/>
      <c r="K13" s="1343"/>
      <c r="L13" s="1340">
        <f t="shared" si="0"/>
        <v>355890</v>
      </c>
      <c r="M13" s="1343" t="s">
        <v>2112</v>
      </c>
    </row>
    <row r="14" spans="2:14" ht="20.100000000000001" customHeight="1" x14ac:dyDescent="0.2">
      <c r="B14" s="1337" t="s">
        <v>2095</v>
      </c>
      <c r="C14" s="1341">
        <v>10.555</v>
      </c>
      <c r="D14" s="1342" t="s">
        <v>2107</v>
      </c>
      <c r="E14" s="1343"/>
      <c r="F14" s="1343">
        <v>287993</v>
      </c>
      <c r="G14" s="1343"/>
      <c r="H14" s="1343"/>
      <c r="I14" s="1343">
        <v>287993</v>
      </c>
      <c r="J14" s="1343"/>
      <c r="K14" s="1343"/>
      <c r="L14" s="1340">
        <f t="shared" si="0"/>
        <v>287993</v>
      </c>
      <c r="M14" s="1343" t="s">
        <v>2112</v>
      </c>
    </row>
    <row r="15" spans="2:14" ht="20.100000000000001" customHeight="1" x14ac:dyDescent="0.2">
      <c r="B15" s="1337" t="s">
        <v>1107</v>
      </c>
      <c r="C15" s="1341">
        <v>10.555999999999999</v>
      </c>
      <c r="D15" s="1342" t="s">
        <v>2108</v>
      </c>
      <c r="E15" s="1343">
        <v>1658</v>
      </c>
      <c r="F15" s="1343">
        <v>269</v>
      </c>
      <c r="G15" s="1343">
        <v>1658</v>
      </c>
      <c r="H15" s="1343"/>
      <c r="I15" s="1343">
        <v>269</v>
      </c>
      <c r="J15" s="1343"/>
      <c r="K15" s="1343"/>
      <c r="L15" s="1340">
        <f t="shared" si="0"/>
        <v>1927</v>
      </c>
      <c r="M15" s="1343" t="s">
        <v>2112</v>
      </c>
    </row>
    <row r="16" spans="2:14" ht="20.100000000000001" customHeight="1" x14ac:dyDescent="0.2">
      <c r="B16" s="1337" t="s">
        <v>1107</v>
      </c>
      <c r="C16" s="1341">
        <v>10.555999999999999</v>
      </c>
      <c r="D16" s="1342" t="s">
        <v>2109</v>
      </c>
      <c r="E16" s="1343"/>
      <c r="F16" s="1343">
        <v>1398</v>
      </c>
      <c r="G16" s="1343"/>
      <c r="H16" s="1343"/>
      <c r="I16" s="1343">
        <v>1398</v>
      </c>
      <c r="J16" s="1343"/>
      <c r="K16" s="1343"/>
      <c r="L16" s="1340">
        <f t="shared" si="0"/>
        <v>1398</v>
      </c>
      <c r="M16" s="1343" t="s">
        <v>2112</v>
      </c>
    </row>
    <row r="17" spans="2:14" ht="20.100000000000001" customHeight="1" x14ac:dyDescent="0.2">
      <c r="B17" s="1337" t="s">
        <v>1119</v>
      </c>
      <c r="C17" s="1341">
        <v>10.553000000000001</v>
      </c>
      <c r="D17" s="1342" t="s">
        <v>2110</v>
      </c>
      <c r="E17" s="1343">
        <v>67861</v>
      </c>
      <c r="F17" s="1343">
        <v>11819</v>
      </c>
      <c r="G17" s="1343">
        <v>67861</v>
      </c>
      <c r="H17" s="1343"/>
      <c r="I17" s="1343">
        <v>11819</v>
      </c>
      <c r="J17" s="1343"/>
      <c r="K17" s="1343"/>
      <c r="L17" s="1340">
        <f t="shared" si="0"/>
        <v>79680</v>
      </c>
      <c r="M17" s="1343" t="s">
        <v>2112</v>
      </c>
    </row>
    <row r="18" spans="2:14" ht="20.100000000000001" customHeight="1" x14ac:dyDescent="0.2">
      <c r="B18" s="1337" t="s">
        <v>1119</v>
      </c>
      <c r="C18" s="1341">
        <v>10.553000000000001</v>
      </c>
      <c r="D18" s="1342" t="s">
        <v>2111</v>
      </c>
      <c r="E18" s="1343"/>
      <c r="F18" s="1343">
        <v>69374</v>
      </c>
      <c r="G18" s="1343"/>
      <c r="H18" s="1343"/>
      <c r="I18" s="1343">
        <v>69374</v>
      </c>
      <c r="J18" s="1343"/>
      <c r="K18" s="1343"/>
      <c r="L18" s="1340">
        <f t="shared" si="0"/>
        <v>69374</v>
      </c>
      <c r="M18" s="1343" t="s">
        <v>2112</v>
      </c>
    </row>
    <row r="19" spans="2:14" ht="20.100000000000001" customHeight="1" x14ac:dyDescent="0.2">
      <c r="B19" s="1337" t="s">
        <v>2096</v>
      </c>
      <c r="C19" s="1341">
        <v>10.555</v>
      </c>
      <c r="D19" s="1342" t="s">
        <v>2112</v>
      </c>
      <c r="E19" s="1343"/>
      <c r="F19" s="1343">
        <v>49526</v>
      </c>
      <c r="G19" s="1343"/>
      <c r="H19" s="1343"/>
      <c r="I19" s="1343">
        <v>49526</v>
      </c>
      <c r="J19" s="1343"/>
      <c r="K19" s="1343"/>
      <c r="L19" s="1340">
        <f t="shared" si="0"/>
        <v>49526</v>
      </c>
      <c r="M19" s="1343" t="s">
        <v>2112</v>
      </c>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2097</v>
      </c>
      <c r="C21" s="1341"/>
      <c r="D21" s="1342"/>
      <c r="E21" s="1343">
        <v>363021</v>
      </c>
      <c r="F21" s="1343">
        <v>482767</v>
      </c>
      <c r="G21" s="1343">
        <v>363021</v>
      </c>
      <c r="H21" s="1343"/>
      <c r="I21" s="1343">
        <v>482767</v>
      </c>
      <c r="J21" s="1343"/>
      <c r="K21" s="1343"/>
      <c r="L21" s="1340">
        <f t="shared" si="0"/>
        <v>845788</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2098</v>
      </c>
      <c r="C23" s="1341"/>
      <c r="D23" s="1342"/>
      <c r="E23" s="1343"/>
      <c r="F23" s="1343"/>
      <c r="G23" s="1343"/>
      <c r="H23" s="1343"/>
      <c r="I23" s="1343"/>
      <c r="J23" s="1343"/>
      <c r="K23" s="1343"/>
      <c r="L23" s="1340">
        <f t="shared" si="0"/>
        <v>0</v>
      </c>
      <c r="M23" s="1343"/>
    </row>
    <row r="24" spans="2:14" ht="20.100000000000001" customHeight="1" x14ac:dyDescent="0.2">
      <c r="B24" s="1337" t="s">
        <v>2139</v>
      </c>
      <c r="C24" s="1341">
        <v>10.555</v>
      </c>
      <c r="D24" s="1342" t="s">
        <v>2112</v>
      </c>
      <c r="E24" s="1343"/>
      <c r="F24" s="1343">
        <v>39384</v>
      </c>
      <c r="G24" s="1343"/>
      <c r="H24" s="1343"/>
      <c r="I24" s="1343">
        <v>39384</v>
      </c>
      <c r="J24" s="1343"/>
      <c r="K24" s="1343"/>
      <c r="L24" s="1340">
        <f t="shared" si="0"/>
        <v>39384</v>
      </c>
      <c r="M24" s="1343" t="s">
        <v>2112</v>
      </c>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L32" sqref="L32"/>
    </sheetView>
  </sheetViews>
  <sheetFormatPr defaultColWidth="33.5703125" defaultRowHeight="12.75" x14ac:dyDescent="0.2"/>
  <cols>
    <col min="1" max="1" width="0.28515625" style="317" customWidth="1"/>
    <col min="2" max="2" width="32.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Prairie Central CUSD 8</v>
      </c>
      <c r="C1" s="2451"/>
      <c r="D1" s="2451"/>
      <c r="E1" s="2451"/>
      <c r="F1" s="2451"/>
      <c r="G1" s="2451"/>
      <c r="H1" s="2451"/>
      <c r="I1" s="2451"/>
      <c r="J1" s="2451"/>
      <c r="K1" s="2451"/>
      <c r="L1" s="2451"/>
      <c r="M1" s="2451"/>
    </row>
    <row r="2" spans="2:14" ht="15" x14ac:dyDescent="0.2">
      <c r="B2" s="2452">
        <f>'Single Audit Cover'!E7</f>
        <v>17053008026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2100</v>
      </c>
      <c r="C11" s="1338"/>
      <c r="D11" s="1339"/>
      <c r="E11" s="1340"/>
      <c r="F11" s="1340"/>
      <c r="G11" s="1340"/>
      <c r="H11" s="1340"/>
      <c r="I11" s="1340"/>
      <c r="J11" s="1340"/>
      <c r="K11" s="1340"/>
      <c r="L11" s="1340">
        <f>+G11+I11+K11</f>
        <v>0</v>
      </c>
      <c r="M11" s="1340"/>
    </row>
    <row r="12" spans="2:14" ht="20.100000000000001" customHeight="1" x14ac:dyDescent="0.2">
      <c r="B12" s="1337" t="s">
        <v>2101</v>
      </c>
      <c r="C12" s="1341"/>
      <c r="D12" s="1342"/>
      <c r="E12" s="1343"/>
      <c r="F12" s="1343"/>
      <c r="G12" s="1343"/>
      <c r="H12" s="1343"/>
      <c r="I12" s="1343"/>
      <c r="J12" s="1343"/>
      <c r="K12" s="1343"/>
      <c r="L12" s="1340">
        <f t="shared" ref="L12:L27" si="0">+G12+I12+K12</f>
        <v>0</v>
      </c>
      <c r="M12" s="1343"/>
    </row>
    <row r="13" spans="2:14" ht="20.100000000000001" customHeight="1" x14ac:dyDescent="0.2">
      <c r="B13" s="1337" t="s">
        <v>2102</v>
      </c>
      <c r="C13" s="1341" t="s">
        <v>2104</v>
      </c>
      <c r="D13" s="1342" t="s">
        <v>2113</v>
      </c>
      <c r="E13" s="1343">
        <v>249032</v>
      </c>
      <c r="F13" s="1343">
        <v>116150</v>
      </c>
      <c r="G13" s="1343">
        <v>431692</v>
      </c>
      <c r="H13" s="1343"/>
      <c r="I13" s="1343"/>
      <c r="J13" s="1343"/>
      <c r="K13" s="1343"/>
      <c r="L13" s="1340">
        <f t="shared" si="0"/>
        <v>431692</v>
      </c>
      <c r="M13" s="1343">
        <v>431692</v>
      </c>
    </row>
    <row r="14" spans="2:14" ht="20.100000000000001" customHeight="1" x14ac:dyDescent="0.2">
      <c r="B14" s="1337" t="s">
        <v>2102</v>
      </c>
      <c r="C14" s="1341" t="s">
        <v>2104</v>
      </c>
      <c r="D14" s="1342" t="s">
        <v>2114</v>
      </c>
      <c r="E14" s="1343"/>
      <c r="F14" s="1343">
        <v>288478</v>
      </c>
      <c r="G14" s="1343"/>
      <c r="H14" s="1343"/>
      <c r="I14" s="1343">
        <v>353608</v>
      </c>
      <c r="J14" s="1343"/>
      <c r="K14" s="1343"/>
      <c r="L14" s="1340">
        <f t="shared" si="0"/>
        <v>353608</v>
      </c>
      <c r="M14" s="1343">
        <v>357498</v>
      </c>
    </row>
    <row r="15" spans="2:14" ht="20.100000000000001" customHeight="1" x14ac:dyDescent="0.2">
      <c r="B15" s="1337" t="s">
        <v>2103</v>
      </c>
      <c r="C15" s="1341">
        <v>84.027000000000001</v>
      </c>
      <c r="D15" s="1342" t="s">
        <v>2115</v>
      </c>
      <c r="E15" s="1343"/>
      <c r="F15" s="1343">
        <v>125000</v>
      </c>
      <c r="G15" s="1343"/>
      <c r="H15" s="1343"/>
      <c r="I15" s="1343">
        <v>125000</v>
      </c>
      <c r="J15" s="1343"/>
      <c r="K15" s="1343"/>
      <c r="L15" s="1340">
        <f t="shared" si="0"/>
        <v>125000</v>
      </c>
      <c r="M15" s="1343">
        <v>125000</v>
      </c>
    </row>
    <row r="16" spans="2:14" ht="20.100000000000001" customHeight="1" x14ac:dyDescent="0.2">
      <c r="B16" s="1337" t="s">
        <v>782</v>
      </c>
      <c r="C16" s="1341" t="s">
        <v>2105</v>
      </c>
      <c r="D16" s="1342" t="s">
        <v>2116</v>
      </c>
      <c r="E16" s="1343">
        <v>39427</v>
      </c>
      <c r="F16" s="1343">
        <v>19756</v>
      </c>
      <c r="G16" s="1343">
        <v>59183</v>
      </c>
      <c r="H16" s="1343"/>
      <c r="I16" s="1343"/>
      <c r="J16" s="1343"/>
      <c r="K16" s="1343"/>
      <c r="L16" s="1340">
        <f t="shared" si="0"/>
        <v>59183</v>
      </c>
      <c r="M16" s="1343">
        <v>71911</v>
      </c>
    </row>
    <row r="17" spans="2:14" ht="20.100000000000001" customHeight="1" x14ac:dyDescent="0.2">
      <c r="B17" s="1337" t="s">
        <v>782</v>
      </c>
      <c r="C17" s="1341" t="s">
        <v>2105</v>
      </c>
      <c r="D17" s="1342" t="s">
        <v>2117</v>
      </c>
      <c r="E17" s="1343"/>
      <c r="F17" s="1343">
        <v>43665</v>
      </c>
      <c r="G17" s="1343"/>
      <c r="H17" s="1343"/>
      <c r="I17" s="1343">
        <v>62450</v>
      </c>
      <c r="J17" s="1343"/>
      <c r="K17" s="1343"/>
      <c r="L17" s="1340">
        <f t="shared" si="0"/>
        <v>62450</v>
      </c>
      <c r="M17" s="1343">
        <v>83679</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2147</v>
      </c>
      <c r="C19" s="1341"/>
      <c r="D19" s="1342"/>
      <c r="E19" s="1343">
        <v>288459</v>
      </c>
      <c r="F19" s="1343">
        <v>593049</v>
      </c>
      <c r="G19" s="1343">
        <v>490875</v>
      </c>
      <c r="H19" s="1343"/>
      <c r="I19" s="1343">
        <v>541058</v>
      </c>
      <c r="J19" s="1343"/>
      <c r="K19" s="1343"/>
      <c r="L19" s="1340">
        <f t="shared" si="0"/>
        <v>1031933</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t="s">
        <v>2146</v>
      </c>
      <c r="C21" s="1341"/>
      <c r="D21" s="1342"/>
      <c r="E21" s="1343">
        <v>651480</v>
      </c>
      <c r="F21" s="1343">
        <v>1115200</v>
      </c>
      <c r="G21" s="1343">
        <v>853896</v>
      </c>
      <c r="H21" s="1343"/>
      <c r="I21" s="1343">
        <v>1063209</v>
      </c>
      <c r="J21" s="1343"/>
      <c r="K21" s="1343"/>
      <c r="L21" s="1340">
        <f t="shared" si="0"/>
        <v>1917105</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4.1500000000000004"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4.1500000000000004"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4.1500000000000004"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L32" sqref="L32"/>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2074</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49" sqref="I4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Prairie Central CUSD 8</v>
      </c>
      <c r="B1" s="2464"/>
      <c r="C1" s="2464"/>
      <c r="D1" s="2464"/>
      <c r="E1" s="2464"/>
      <c r="F1" s="2464"/>
    </row>
    <row r="2" spans="1:7" ht="13.5" customHeight="1" x14ac:dyDescent="0.2">
      <c r="A2" s="2452">
        <f>'Single Audit Cover'!E7</f>
        <v>17053008026</v>
      </c>
      <c r="B2" s="2452"/>
      <c r="C2" s="2452"/>
      <c r="D2" s="2452"/>
      <c r="E2" s="2452"/>
      <c r="F2" s="2452"/>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1.15" customHeight="1" x14ac:dyDescent="0.2">
      <c r="A7" s="2463" t="s">
        <v>2140</v>
      </c>
      <c r="B7" s="2463"/>
      <c r="C7" s="2463"/>
      <c r="D7" s="2463"/>
      <c r="E7" s="2463"/>
      <c r="F7" s="246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3" t="s">
        <v>2141</v>
      </c>
      <c r="B13" s="2463"/>
      <c r="C13" s="2463"/>
      <c r="D13" s="2463"/>
      <c r="E13" s="2463"/>
      <c r="F13" s="2463"/>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65" customHeight="1" x14ac:dyDescent="0.2">
      <c r="A17" s="1283"/>
      <c r="B17" s="1284" t="s">
        <v>2142</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2143</v>
      </c>
      <c r="B32" s="2457"/>
      <c r="C32" s="2457"/>
      <c r="D32" s="2457"/>
      <c r="E32" s="2457"/>
      <c r="F32" s="2457"/>
    </row>
    <row r="33" spans="1:6" ht="13.5" customHeight="1" x14ac:dyDescent="0.2">
      <c r="A33" s="328" t="s">
        <v>1509</v>
      </c>
      <c r="B33" s="328"/>
      <c r="C33" s="1288">
        <v>88910</v>
      </c>
      <c r="D33" s="1928"/>
      <c r="E33" s="1286"/>
    </row>
    <row r="34" spans="1:6" ht="13.5" customHeight="1" x14ac:dyDescent="0.2">
      <c r="A34" s="328" t="s">
        <v>1946</v>
      </c>
      <c r="B34" s="328"/>
      <c r="C34" s="1289">
        <v>0</v>
      </c>
      <c r="D34" s="1928" t="s">
        <v>1671</v>
      </c>
      <c r="E34" s="2458">
        <f>+C33+C34</f>
        <v>88910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L32" sqref="L32"/>
    </sheetView>
  </sheetViews>
  <sheetFormatPr defaultColWidth="9.28515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8" t="str">
        <f>'Single Audit Cover'!A7</f>
        <v>Prairie Central CUSD 8</v>
      </c>
      <c r="C1" s="2479"/>
      <c r="D1" s="2479"/>
      <c r="E1" s="2479"/>
      <c r="F1" s="2479"/>
      <c r="G1" s="2479"/>
      <c r="H1" s="2479"/>
      <c r="I1" s="2479"/>
      <c r="J1" s="1422"/>
    </row>
    <row r="2" spans="2:10" s="317" customFormat="1" ht="12.75" customHeight="1" x14ac:dyDescent="0.2">
      <c r="B2" s="2480">
        <f>'Single Audit Cover'!E7</f>
        <v>17053008026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4" customHeight="1" x14ac:dyDescent="0.2">
      <c r="B5" s="1424" t="s">
        <v>1231</v>
      </c>
      <c r="C5" s="1294"/>
      <c r="D5" s="1294"/>
      <c r="E5" s="1383"/>
      <c r="F5" s="322"/>
      <c r="G5" s="322"/>
      <c r="H5" s="322"/>
      <c r="I5" s="322"/>
    </row>
    <row r="6" spans="2:10" s="317" customFormat="1" ht="6.4"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4"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1226</v>
      </c>
      <c r="D11" s="2484"/>
      <c r="E11" s="1432"/>
      <c r="F11" s="1432"/>
      <c r="G11" s="1432"/>
    </row>
    <row r="12" spans="2:10" s="317" customFormat="1" ht="11.6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2075</v>
      </c>
      <c r="H15" s="1300" t="s">
        <v>1338</v>
      </c>
      <c r="I15" s="1300"/>
    </row>
    <row r="16" spans="2:10" s="317" customFormat="1" ht="8.65"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2075</v>
      </c>
      <c r="H18" s="1300" t="s">
        <v>1338</v>
      </c>
      <c r="I18" s="1300"/>
    </row>
    <row r="19" spans="2:9" s="317" customFormat="1" ht="8.65"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2075</v>
      </c>
      <c r="H24" s="1300" t="s">
        <v>1338</v>
      </c>
      <c r="I24" s="1300"/>
    </row>
    <row r="25" spans="2:9" s="317" customFormat="1" ht="8.65"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2144</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10.15"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t="s">
        <v>2104</v>
      </c>
      <c r="C38" s="2474" t="s">
        <v>2145</v>
      </c>
      <c r="D38" s="2475"/>
      <c r="E38" s="2475"/>
      <c r="F38" s="2476"/>
      <c r="G38" s="2489">
        <v>353608</v>
      </c>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353608</v>
      </c>
      <c r="H43" s="2470"/>
      <c r="I43" s="2470"/>
    </row>
    <row r="44" spans="2:9" ht="12.75" customHeight="1" x14ac:dyDescent="0.2"/>
    <row r="45" spans="2:9" ht="12.75" customHeight="1" x14ac:dyDescent="0.2">
      <c r="B45" s="1435" t="s">
        <v>1949</v>
      </c>
      <c r="D45" s="2471">
        <v>1063209</v>
      </c>
      <c r="E45" s="2472"/>
    </row>
    <row r="46" spans="2:9" ht="5.25" customHeight="1" x14ac:dyDescent="0.2">
      <c r="B46" s="1445"/>
      <c r="D46" s="1446"/>
      <c r="E46" s="1447"/>
    </row>
    <row r="47" spans="2:9" ht="12.75" customHeight="1" x14ac:dyDescent="0.2">
      <c r="B47" s="1300" t="s">
        <v>1676</v>
      </c>
      <c r="C47" s="1300"/>
      <c r="D47" s="1448">
        <f>+G43/D45</f>
        <v>0.33258559699927298</v>
      </c>
      <c r="E47" s="1449"/>
      <c r="F47" s="1450"/>
      <c r="I47" s="1451"/>
    </row>
    <row r="48" spans="2:9" ht="10.15"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t="s">
        <v>2075</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4.1500000000000004" customHeight="1" x14ac:dyDescent="0.2">
      <c r="A57" s="1458"/>
      <c r="B57" s="1462"/>
      <c r="C57" s="1458"/>
      <c r="D57" s="1458"/>
    </row>
    <row r="58" spans="1:9" s="1461" customFormat="1" ht="13.5" customHeight="1" x14ac:dyDescent="0.2">
      <c r="A58" s="1458"/>
      <c r="B58" s="1463" t="s">
        <v>1853</v>
      </c>
      <c r="C58" s="1464"/>
      <c r="D58" s="1464"/>
    </row>
    <row r="59" spans="1:9" s="1461" customFormat="1" ht="4.1500000000000004" customHeight="1" x14ac:dyDescent="0.2">
      <c r="A59" s="1458"/>
      <c r="B59" s="1463"/>
      <c r="C59" s="1464"/>
      <c r="D59" s="1464"/>
    </row>
    <row r="60" spans="1:9" s="1461" customFormat="1" ht="13.5" customHeight="1" x14ac:dyDescent="0.2">
      <c r="A60" s="1458"/>
      <c r="B60" s="1463" t="s">
        <v>1854</v>
      </c>
      <c r="C60" s="1464"/>
      <c r="D60" s="1464"/>
    </row>
    <row r="61" spans="1:9" s="1461" customFormat="1" ht="4.1500000000000004"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2" sqref="L32"/>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8" t="str">
        <f>'Single Audit Cover'!A7</f>
        <v>Prairie Central CUSD 8</v>
      </c>
      <c r="C1" s="2478"/>
      <c r="D1" s="2478"/>
      <c r="E1" s="2478"/>
      <c r="F1" s="2478"/>
      <c r="G1" s="2478"/>
      <c r="H1" s="2478"/>
      <c r="I1" s="2478"/>
      <c r="J1" s="2478"/>
      <c r="K1" s="2478"/>
      <c r="L1" s="1374"/>
      <c r="M1" s="1374"/>
    </row>
    <row r="2" spans="1:13" ht="12" customHeight="1" x14ac:dyDescent="0.2">
      <c r="B2" s="2480">
        <f>'Single Audit Cover'!E7</f>
        <v>17053008026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L32" sqref="L32"/>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501" t="str">
        <f>'Single Audit Cover'!A7</f>
        <v>Prairie Central CUSD 8</v>
      </c>
      <c r="C1" s="2501"/>
      <c r="D1" s="2501"/>
      <c r="E1" s="2501"/>
      <c r="F1" s="2501"/>
      <c r="G1" s="2501"/>
      <c r="H1" s="2501"/>
      <c r="I1" s="2501"/>
      <c r="J1" s="2501"/>
      <c r="K1" s="2501"/>
      <c r="L1" s="1465"/>
    </row>
    <row r="2" spans="1:12" ht="12.75" customHeight="1" x14ac:dyDescent="0.2">
      <c r="B2" s="2502">
        <f>'Single Audit Cover'!E7</f>
        <v>17053008026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L32" sqref="L32"/>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82" customFormat="1" ht="12.75" customHeight="1" x14ac:dyDescent="0.2">
      <c r="B1" s="2478" t="str">
        <f>'Single Audit Cover'!A7</f>
        <v>Prairie Central CUSD 8</v>
      </c>
      <c r="C1" s="2478"/>
      <c r="D1" s="2478"/>
      <c r="E1" s="1491"/>
    </row>
    <row r="2" spans="2:5" s="1282" customFormat="1" ht="12.75" customHeight="1" x14ac:dyDescent="0.2">
      <c r="B2" s="2480">
        <f>'Single Audit Cover'!E7</f>
        <v>17053008026</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2142</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4" customHeight="1" x14ac:dyDescent="0.2">
      <c r="B44" s="1257" t="s">
        <v>1380</v>
      </c>
      <c r="C44" s="322"/>
    </row>
    <row r="45" spans="2:5" ht="12.4" customHeight="1" x14ac:dyDescent="0.2">
      <c r="B45" s="1505" t="s">
        <v>1869</v>
      </c>
    </row>
    <row r="46" spans="2:5" ht="12.4" customHeight="1" x14ac:dyDescent="0.2">
      <c r="B46" s="1505" t="s">
        <v>1870</v>
      </c>
    </row>
    <row r="47" spans="2:5" ht="12.4" customHeight="1" x14ac:dyDescent="0.2">
      <c r="B47" s="1506" t="s">
        <v>1379</v>
      </c>
    </row>
    <row r="48" spans="2:5" ht="12.4" customHeight="1" x14ac:dyDescent="0.2">
      <c r="B48" s="1506" t="s">
        <v>1378</v>
      </c>
    </row>
    <row r="49" spans="2:5" ht="12.4" customHeight="1" x14ac:dyDescent="0.2">
      <c r="B49" s="1506" t="s">
        <v>1377</v>
      </c>
    </row>
    <row r="50" spans="2:5" ht="12.4"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L32" sqref="L32"/>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223521031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3.3000000000000002E-2</v>
      </c>
      <c r="E10" s="356" t="s">
        <v>1062</v>
      </c>
      <c r="F10" s="355">
        <v>5.0000000000000001E-3</v>
      </c>
      <c r="G10" s="356" t="s">
        <v>1062</v>
      </c>
      <c r="H10" s="355">
        <v>2E-3</v>
      </c>
      <c r="I10" s="356" t="s">
        <v>1063</v>
      </c>
      <c r="J10" s="1754">
        <f>ROUND(D10+F10+H10,5)</f>
        <v>0.04</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19473894</v>
      </c>
      <c r="E16" s="356"/>
      <c r="F16" s="1755">
        <f>SUM('Acct Summary 7-8'!C17,'Acct Summary 7-8'!D17,'Acct Summary 7-8'!F17)</f>
        <v>19451896</v>
      </c>
      <c r="G16" s="356"/>
      <c r="H16" s="1755">
        <f>SUM(D16-F16)</f>
        <v>21998</v>
      </c>
      <c r="I16" s="222"/>
      <c r="J16" s="1755">
        <f>SUM('Acct Summary 7-8'!C81,'Acct Summary 7-8'!D81,'Acct Summary 7-8'!F81,'Acct Summary 7-8'!I81)</f>
        <v>5250377</v>
      </c>
      <c r="K16" s="222"/>
      <c r="L16" s="222"/>
      <c r="M16" s="222"/>
    </row>
    <row r="17" spans="1:13" ht="12.4" customHeight="1" x14ac:dyDescent="0.2">
      <c r="A17" s="349"/>
      <c r="B17" s="260" t="s">
        <v>8</v>
      </c>
      <c r="C17" s="237" t="s">
        <v>1463</v>
      </c>
      <c r="D17" s="222"/>
      <c r="E17" s="222"/>
      <c r="F17" s="222"/>
      <c r="G17" s="222"/>
      <c r="H17" s="222"/>
      <c r="I17" s="222"/>
      <c r="J17" s="222"/>
      <c r="K17" s="222"/>
      <c r="L17" s="222"/>
      <c r="M17" s="222"/>
    </row>
    <row r="18" spans="1:13" ht="12.4"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30845902.278000001</v>
      </c>
      <c r="I31" s="368"/>
      <c r="J31" s="222"/>
      <c r="K31" s="222"/>
      <c r="L31" s="222"/>
      <c r="M31" s="222"/>
    </row>
    <row r="32" spans="1:13" ht="13.35" customHeight="1" x14ac:dyDescent="0.2">
      <c r="B32" s="369" t="s">
        <v>2075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1570000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4"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L32" sqref="L32"/>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Prairie Central CUSD 8</v>
      </c>
      <c r="E7" s="391"/>
      <c r="G7" s="252"/>
      <c r="H7" s="387"/>
      <c r="I7" s="387"/>
      <c r="J7" s="387"/>
      <c r="K7" s="387"/>
      <c r="L7" s="329"/>
      <c r="M7" s="329"/>
      <c r="N7" s="329"/>
      <c r="O7" s="329"/>
      <c r="P7" s="329"/>
    </row>
    <row r="8" spans="1:18" ht="12.75" x14ac:dyDescent="0.2">
      <c r="A8" s="329"/>
      <c r="B8" s="329"/>
      <c r="C8" s="389" t="s">
        <v>1187</v>
      </c>
      <c r="D8" s="392">
        <f>COVER!A13</f>
        <v>17053008026</v>
      </c>
      <c r="E8" s="393"/>
      <c r="G8" s="329"/>
      <c r="H8" s="329"/>
      <c r="I8" s="329"/>
      <c r="J8" s="329"/>
      <c r="K8" s="329"/>
      <c r="L8" s="329"/>
      <c r="M8" s="329"/>
      <c r="N8" s="329"/>
      <c r="O8" s="329"/>
      <c r="P8" s="329"/>
    </row>
    <row r="9" spans="1:18" ht="12.75" x14ac:dyDescent="0.2">
      <c r="A9" s="329"/>
      <c r="B9" s="329"/>
      <c r="C9" s="389" t="s">
        <v>737</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5250377</v>
      </c>
      <c r="I12" s="404"/>
      <c r="J12" s="404"/>
      <c r="K12" s="405">
        <f>TRUNC((H12/H13*100000),5)/100000</f>
        <v>0.26961104950000003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19473894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19451896</v>
      </c>
      <c r="I17" s="404"/>
      <c r="J17" s="416"/>
      <c r="K17" s="405">
        <f>TRUNC((H17/H18*100000),5)/100000</f>
        <v>0.99887038510000004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19473894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65" customHeight="1" x14ac:dyDescent="0.2">
      <c r="A21" s="216"/>
      <c r="B21" s="396"/>
      <c r="C21" s="218" t="s">
        <v>496</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5242888</v>
      </c>
      <c r="I24" s="422"/>
      <c r="J24" s="422"/>
      <c r="K24" s="423">
        <f>TRUNC(((H24/H25*100000)/100000),2)</f>
        <v>97.03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54033.044439999998</v>
      </c>
      <c r="I25" s="425"/>
      <c r="J25" s="425"/>
      <c r="K25" s="410"/>
      <c r="L25" s="218"/>
      <c r="M25" s="360" t="s">
        <v>1207</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7599715.0539999995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1570000</v>
      </c>
      <c r="I32" s="420"/>
      <c r="J32" s="420"/>
      <c r="K32" s="423">
        <f>TRUNC(100-((((H32/H33*100))*100)/100),2)</f>
        <v>94.91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30845902.278000001</v>
      </c>
      <c r="I33" s="420"/>
      <c r="J33" s="420"/>
      <c r="K33" s="403"/>
      <c r="L33" s="218"/>
      <c r="M33" s="435" t="s">
        <v>1207</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28" activePane="bottomLeft" state="frozen"/>
      <selection activeCell="L32" sqref="L32"/>
      <selection pane="bottomLeft" activeCell="L32" sqref="L32"/>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93507</v>
      </c>
      <c r="D4" s="466">
        <v>53</v>
      </c>
      <c r="E4" s="466">
        <v>19132</v>
      </c>
      <c r="F4" s="466">
        <v>26409</v>
      </c>
      <c r="G4" s="466">
        <v>17389</v>
      </c>
      <c r="H4" s="466">
        <v>17357</v>
      </c>
      <c r="I4" s="466">
        <v>1337</v>
      </c>
      <c r="J4" s="467">
        <v>4307</v>
      </c>
      <c r="K4" s="466">
        <v>11147</v>
      </c>
      <c r="L4" s="466">
        <v>582107</v>
      </c>
      <c r="M4" s="468"/>
      <c r="N4" s="469"/>
    </row>
    <row r="5" spans="1:14" x14ac:dyDescent="0.2">
      <c r="A5" s="463" t="s">
        <v>1049</v>
      </c>
      <c r="B5" s="470">
        <v>120</v>
      </c>
      <c r="C5" s="465">
        <v>237096</v>
      </c>
      <c r="D5" s="466">
        <v>120000</v>
      </c>
      <c r="E5" s="466">
        <v>50422</v>
      </c>
      <c r="F5" s="466">
        <v>180000</v>
      </c>
      <c r="G5" s="466">
        <v>754028</v>
      </c>
      <c r="H5" s="466">
        <v>804451</v>
      </c>
      <c r="I5" s="466">
        <v>4584486</v>
      </c>
      <c r="J5" s="467">
        <v>241571</v>
      </c>
      <c r="K5" s="471">
        <v>222191</v>
      </c>
      <c r="L5" s="472">
        <v>481639</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7489</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330603</v>
      </c>
      <c r="D13" s="1759">
        <f t="shared" ref="D13:L13" si="0">SUM(D4:D12)</f>
        <v>120053</v>
      </c>
      <c r="E13" s="1759">
        <f t="shared" si="0"/>
        <v>69554</v>
      </c>
      <c r="F13" s="1759">
        <f t="shared" si="0"/>
        <v>206409</v>
      </c>
      <c r="G13" s="1759">
        <f t="shared" si="0"/>
        <v>771417</v>
      </c>
      <c r="H13" s="1759">
        <f t="shared" si="0"/>
        <v>821808</v>
      </c>
      <c r="I13" s="1759">
        <f t="shared" si="0"/>
        <v>4593312</v>
      </c>
      <c r="J13" s="1759">
        <f t="shared" si="0"/>
        <v>245878</v>
      </c>
      <c r="K13" s="1759">
        <f t="shared" si="0"/>
        <v>233338</v>
      </c>
      <c r="L13" s="1759">
        <f t="shared" si="0"/>
        <v>1063746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441852</v>
      </c>
      <c r="N16" s="484"/>
    </row>
    <row r="17" spans="1:14" s="485" customFormat="1" ht="12.75" customHeight="1" x14ac:dyDescent="0.2">
      <c r="A17" s="482" t="s">
        <v>1470</v>
      </c>
      <c r="B17" s="483">
        <v>230</v>
      </c>
      <c r="C17" s="477"/>
      <c r="D17" s="477"/>
      <c r="E17" s="477"/>
      <c r="F17" s="477"/>
      <c r="G17" s="477"/>
      <c r="H17" s="477"/>
      <c r="I17" s="477"/>
      <c r="J17" s="477"/>
      <c r="K17" s="477"/>
      <c r="L17" s="477"/>
      <c r="M17" s="467">
        <v>27078696</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7594745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62065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1507935</v>
      </c>
    </row>
    <row r="23" spans="1:14" ht="13.5" customHeight="1" thickBot="1" x14ac:dyDescent="0.25">
      <c r="A23" s="1758" t="s">
        <v>664</v>
      </c>
      <c r="B23" s="1763"/>
      <c r="C23" s="468"/>
      <c r="D23" s="468"/>
      <c r="E23" s="468"/>
      <c r="F23" s="468"/>
      <c r="G23" s="468"/>
      <c r="H23" s="468"/>
      <c r="I23" s="468"/>
      <c r="J23" s="468"/>
      <c r="K23" s="468"/>
      <c r="L23" s="468"/>
      <c r="M23" s="1710">
        <f>SUM(M15:M22)</f>
        <v>35115293</v>
      </c>
      <c r="N23" s="1710">
        <f>SUM(N21:N22)</f>
        <v>1570000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v>7489</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1063746</v>
      </c>
      <c r="M33" s="468"/>
      <c r="N33" s="469"/>
    </row>
    <row r="34" spans="1:14" ht="13.5" customHeight="1" thickBot="1" x14ac:dyDescent="0.25">
      <c r="A34" s="1760" t="s">
        <v>675</v>
      </c>
      <c r="B34" s="1761"/>
      <c r="C34" s="1762">
        <f>SUM(C25:C33)</f>
        <v>0</v>
      </c>
      <c r="D34" s="1762">
        <f t="shared" ref="D34:K34" si="1">SUM(D25:D33)</f>
        <v>0</v>
      </c>
      <c r="E34" s="1762">
        <f t="shared" si="1"/>
        <v>7489</v>
      </c>
      <c r="F34" s="1762">
        <f t="shared" si="1"/>
        <v>0</v>
      </c>
      <c r="G34" s="1762">
        <f t="shared" si="1"/>
        <v>0</v>
      </c>
      <c r="H34" s="1762">
        <f t="shared" si="1"/>
        <v>0</v>
      </c>
      <c r="I34" s="1762">
        <f t="shared" si="1"/>
        <v>0</v>
      </c>
      <c r="J34" s="1762">
        <f t="shared" si="1"/>
        <v>0</v>
      </c>
      <c r="K34" s="1762">
        <f t="shared" si="1"/>
        <v>0</v>
      </c>
      <c r="L34" s="1743">
        <f>SUM(L33)</f>
        <v>1063746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1570000</v>
      </c>
    </row>
    <row r="37" spans="1:14" ht="13.5" thickBot="1" x14ac:dyDescent="0.25">
      <c r="A37" s="1758" t="s">
        <v>674</v>
      </c>
      <c r="B37" s="1763"/>
      <c r="C37" s="477"/>
      <c r="D37" s="477"/>
      <c r="E37" s="477"/>
      <c r="F37" s="477"/>
      <c r="G37" s="477"/>
      <c r="H37" s="477"/>
      <c r="I37" s="477"/>
      <c r="J37" s="477"/>
      <c r="K37" s="477"/>
      <c r="L37" s="480"/>
      <c r="M37" s="468"/>
      <c r="N37" s="1710">
        <f>SUM(N36:N36)</f>
        <v>1570000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330603</v>
      </c>
      <c r="D39" s="466">
        <v>120053</v>
      </c>
      <c r="E39" s="466">
        <v>62065</v>
      </c>
      <c r="F39" s="466">
        <v>206409</v>
      </c>
      <c r="G39" s="466">
        <v>771417</v>
      </c>
      <c r="H39" s="466">
        <v>821808</v>
      </c>
      <c r="I39" s="466">
        <v>4593312</v>
      </c>
      <c r="J39" s="467">
        <v>245878</v>
      </c>
      <c r="K39" s="466">
        <v>233338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35115293</v>
      </c>
      <c r="N40" s="497"/>
    </row>
    <row r="41" spans="1:14" ht="13.5" customHeight="1" thickBot="1" x14ac:dyDescent="0.25">
      <c r="A41" s="1758" t="s">
        <v>676</v>
      </c>
      <c r="B41" s="1728"/>
      <c r="C41" s="1710">
        <f>(SUM(C34,C37,C38,C39))</f>
        <v>330603</v>
      </c>
      <c r="D41" s="1710">
        <f t="shared" ref="D41:L41" si="2">SUM(D34,D37,D38:D39)</f>
        <v>120053</v>
      </c>
      <c r="E41" s="1710">
        <f t="shared" si="2"/>
        <v>69554</v>
      </c>
      <c r="F41" s="1710">
        <f t="shared" si="2"/>
        <v>206409</v>
      </c>
      <c r="G41" s="1710">
        <f t="shared" si="2"/>
        <v>771417</v>
      </c>
      <c r="H41" s="1710">
        <f t="shared" si="2"/>
        <v>821808</v>
      </c>
      <c r="I41" s="1710">
        <f t="shared" si="2"/>
        <v>4593312</v>
      </c>
      <c r="J41" s="1710">
        <f t="shared" si="2"/>
        <v>245878</v>
      </c>
      <c r="K41" s="1710">
        <f t="shared" si="2"/>
        <v>233338</v>
      </c>
      <c r="L41" s="1710">
        <f t="shared" si="2"/>
        <v>1063746</v>
      </c>
      <c r="M41" s="1710">
        <f>SUM(M40)</f>
        <v>35115293</v>
      </c>
      <c r="N41" s="1710">
        <f>SUM(N37)</f>
        <v>1570000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2" activePane="bottomLeft" state="frozenSplit"/>
      <selection activeCell="L32" sqref="L32"/>
      <selection pane="bottomLeft" activeCell="L32" sqref="L32"/>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899999999999999"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8836937</v>
      </c>
      <c r="D4" s="1764">
        <f>'Revenues 9-14'!D109</f>
        <v>1092015</v>
      </c>
      <c r="E4" s="1764">
        <f>'Revenues 9-14'!E109</f>
        <v>1521898</v>
      </c>
      <c r="F4" s="1764">
        <f>'Revenues 9-14'!F109</f>
        <v>526108</v>
      </c>
      <c r="G4" s="1764">
        <f>'Revenues 9-14'!G109</f>
        <v>833213</v>
      </c>
      <c r="H4" s="1764">
        <f>'Revenues 9-14'!H109</f>
        <v>746171</v>
      </c>
      <c r="I4" s="1764">
        <f>'Revenues 9-14'!I109</f>
        <v>131050</v>
      </c>
      <c r="J4" s="1764">
        <f>'Revenues 9-14'!J109</f>
        <v>728537</v>
      </c>
      <c r="K4" s="1764">
        <f>'Revenues 9-14'!K109</f>
        <v>110197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6901601</v>
      </c>
      <c r="D6" s="1765">
        <f>'Revenues 9-14'!D173</f>
        <v>0</v>
      </c>
      <c r="E6" s="1765">
        <f>'Revenues 9-14'!E173</f>
        <v>0</v>
      </c>
      <c r="F6" s="1765">
        <f>'Revenues 9-14'!F173</f>
        <v>914097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1072086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16810624</v>
      </c>
      <c r="D8" s="1710">
        <f t="shared" ref="D8:K8" si="0">SUM(D4:D7)</f>
        <v>1092015</v>
      </c>
      <c r="E8" s="1710">
        <f t="shared" si="0"/>
        <v>1521898</v>
      </c>
      <c r="F8" s="1710">
        <f t="shared" si="0"/>
        <v>1440205</v>
      </c>
      <c r="G8" s="1710">
        <f t="shared" si="0"/>
        <v>833213</v>
      </c>
      <c r="H8" s="1710">
        <f t="shared" si="0"/>
        <v>746171</v>
      </c>
      <c r="I8" s="1710">
        <f t="shared" si="0"/>
        <v>131050</v>
      </c>
      <c r="J8" s="1710">
        <f t="shared" si="0"/>
        <v>728537</v>
      </c>
      <c r="K8" s="1710">
        <f t="shared" si="0"/>
        <v>110197</v>
      </c>
      <c r="L8" s="347"/>
    </row>
    <row r="9" spans="1:13" ht="15.75" thickTop="1" x14ac:dyDescent="0.2">
      <c r="A9" s="514" t="s">
        <v>1752</v>
      </c>
      <c r="B9" s="515">
        <v>3998</v>
      </c>
      <c r="C9" s="481">
        <v>7827575</v>
      </c>
      <c r="D9" s="516"/>
      <c r="E9" s="481"/>
      <c r="F9" s="481"/>
      <c r="G9" s="517"/>
      <c r="H9" s="481"/>
      <c r="I9" s="509" t="s">
        <v>1231</v>
      </c>
      <c r="J9" s="478"/>
      <c r="K9" s="481"/>
      <c r="L9" s="347"/>
    </row>
    <row r="10" spans="1:13" s="519" customFormat="1" ht="13.5" thickBot="1" x14ac:dyDescent="0.25">
      <c r="A10" s="1758" t="s">
        <v>1235</v>
      </c>
      <c r="B10" s="1731"/>
      <c r="C10" s="1710">
        <f>SUM(C8:C9)</f>
        <v>24638199</v>
      </c>
      <c r="D10" s="1710">
        <f t="shared" ref="D10:K10" si="1">SUM(D8:D9)</f>
        <v>1092015</v>
      </c>
      <c r="E10" s="1710">
        <f t="shared" si="1"/>
        <v>1521898</v>
      </c>
      <c r="F10" s="1710">
        <f t="shared" si="1"/>
        <v>1440205</v>
      </c>
      <c r="G10" s="1710">
        <f t="shared" si="1"/>
        <v>833213</v>
      </c>
      <c r="H10" s="1710">
        <f t="shared" si="1"/>
        <v>746171</v>
      </c>
      <c r="I10" s="1710">
        <f t="shared" si="1"/>
        <v>131050</v>
      </c>
      <c r="J10" s="1710">
        <f t="shared" si="1"/>
        <v>728537</v>
      </c>
      <c r="K10" s="1710">
        <f t="shared" si="1"/>
        <v>110197</v>
      </c>
      <c r="L10" s="518"/>
    </row>
    <row r="11" spans="1:13" s="519" customFormat="1" ht="16.899999999999999"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11986677</v>
      </c>
      <c r="D12" s="520" t="s">
        <v>1231</v>
      </c>
      <c r="E12" s="468" t="s">
        <v>1231</v>
      </c>
      <c r="F12" s="468" t="s">
        <v>1231</v>
      </c>
      <c r="G12" s="1764">
        <f>'Expenditures 15-22'!K229</f>
        <v>274002</v>
      </c>
      <c r="H12" s="521"/>
      <c r="I12" s="468" t="s">
        <v>1231</v>
      </c>
      <c r="J12" s="468" t="s">
        <v>1231</v>
      </c>
      <c r="K12" s="521" t="s">
        <v>1231</v>
      </c>
      <c r="L12" s="347"/>
    </row>
    <row r="13" spans="1:13" ht="15.75" customHeight="1" x14ac:dyDescent="0.2">
      <c r="A13" s="1598" t="s">
        <v>477</v>
      </c>
      <c r="B13" s="1600">
        <v>2000</v>
      </c>
      <c r="C13" s="1765">
        <f>'Expenditures 15-22'!K74</f>
        <v>3664768</v>
      </c>
      <c r="D13" s="1765">
        <f>'Expenditures 15-22'!K129</f>
        <v>1252236</v>
      </c>
      <c r="E13" s="469" t="s">
        <v>1231</v>
      </c>
      <c r="F13" s="1765">
        <f>'Expenditures 15-22'!K184</f>
        <v>1522982</v>
      </c>
      <c r="G13" s="1765">
        <f>'Expenditures 15-22'!K279</f>
        <v>438847</v>
      </c>
      <c r="H13" s="1765">
        <f>'Expenditures 15-22'!K303</f>
        <v>416227</v>
      </c>
      <c r="I13" s="468" t="s">
        <v>1231</v>
      </c>
      <c r="J13" s="1765">
        <f>'Expenditures 15-22'!K330</f>
        <v>483161</v>
      </c>
      <c r="K13" s="1769">
        <f>'Expenditures 15-22'!K352</f>
        <v>14448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1025233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1580750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16676678</v>
      </c>
      <c r="D17" s="1710">
        <f t="shared" si="2"/>
        <v>1252236</v>
      </c>
      <c r="E17" s="1710">
        <f t="shared" si="2"/>
        <v>1580750</v>
      </c>
      <c r="F17" s="1710">
        <f t="shared" si="2"/>
        <v>1522982</v>
      </c>
      <c r="G17" s="1710">
        <f t="shared" si="2"/>
        <v>712849</v>
      </c>
      <c r="H17" s="1710">
        <f t="shared" si="2"/>
        <v>416227</v>
      </c>
      <c r="I17" s="468"/>
      <c r="J17" s="1710">
        <f>SUM(J12:J16)</f>
        <v>483161</v>
      </c>
      <c r="K17" s="1710">
        <f>SUM(K12:K16)</f>
        <v>14448</v>
      </c>
      <c r="L17" s="347"/>
    </row>
    <row r="18" spans="1:12" ht="15" customHeight="1" thickTop="1" x14ac:dyDescent="0.2">
      <c r="A18" s="1766" t="s">
        <v>1753</v>
      </c>
      <c r="B18" s="1767">
        <v>4180</v>
      </c>
      <c r="C18" s="1764">
        <f t="shared" ref="C18:H18" si="3">C9</f>
        <v>7827575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24504253</v>
      </c>
      <c r="D19" s="1710">
        <f t="shared" si="4"/>
        <v>1252236</v>
      </c>
      <c r="E19" s="1710">
        <f t="shared" si="4"/>
        <v>1580750</v>
      </c>
      <c r="F19" s="1710">
        <f t="shared" si="4"/>
        <v>1522982</v>
      </c>
      <c r="G19" s="1710">
        <f t="shared" si="4"/>
        <v>712849</v>
      </c>
      <c r="H19" s="1710">
        <f t="shared" si="4"/>
        <v>416227</v>
      </c>
      <c r="I19" s="468"/>
      <c r="J19" s="1710">
        <f>SUM(J17:J18)</f>
        <v>483161</v>
      </c>
      <c r="K19" s="1710">
        <f>SUM(K17:K18)</f>
        <v>14448</v>
      </c>
      <c r="L19" s="347"/>
    </row>
    <row r="20" spans="1:12" ht="16.5" thickTop="1" thickBot="1" x14ac:dyDescent="0.25">
      <c r="A20" s="2144" t="s">
        <v>1754</v>
      </c>
      <c r="B20" s="2145"/>
      <c r="C20" s="1768">
        <f>C8-C17</f>
        <v>133946</v>
      </c>
      <c r="D20" s="1768">
        <f t="shared" ref="D20:K20" si="5">D8-D17</f>
        <v>-160221</v>
      </c>
      <c r="E20" s="1768">
        <f t="shared" si="5"/>
        <v>-58852</v>
      </c>
      <c r="F20" s="1768">
        <f t="shared" si="5"/>
        <v>-82777</v>
      </c>
      <c r="G20" s="1768">
        <f t="shared" si="5"/>
        <v>120364</v>
      </c>
      <c r="H20" s="1768">
        <f t="shared" si="5"/>
        <v>329944</v>
      </c>
      <c r="I20" s="1768">
        <f t="shared" si="5"/>
        <v>131050</v>
      </c>
      <c r="J20" s="1768">
        <f t="shared" si="5"/>
        <v>245376</v>
      </c>
      <c r="K20" s="1768">
        <f t="shared" si="5"/>
        <v>95749</v>
      </c>
      <c r="L20" s="347"/>
    </row>
    <row r="21" spans="1:12" ht="16.899999999999999"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150000</v>
      </c>
      <c r="E25" s="467"/>
      <c r="F25" s="467">
        <v>150000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150000</v>
      </c>
      <c r="E44" s="1725">
        <f t="shared" si="6"/>
        <v>0</v>
      </c>
      <c r="F44" s="1725">
        <f t="shared" si="6"/>
        <v>150000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300000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300000</v>
      </c>
      <c r="J76" s="1725">
        <f t="shared" si="7"/>
        <v>0</v>
      </c>
      <c r="K76" s="1725">
        <f t="shared" si="7"/>
        <v>0</v>
      </c>
      <c r="L76" s="524"/>
    </row>
    <row r="77" spans="1:12" ht="14.25" thickTop="1" thickBot="1" x14ac:dyDescent="0.25">
      <c r="A77" s="2136" t="s">
        <v>1239</v>
      </c>
      <c r="B77" s="2137"/>
      <c r="C77" s="1725">
        <f t="shared" ref="C77:K77" si="8">C44-C76</f>
        <v>0</v>
      </c>
      <c r="D77" s="1725">
        <f t="shared" si="8"/>
        <v>150000</v>
      </c>
      <c r="E77" s="1725">
        <f t="shared" si="8"/>
        <v>0</v>
      </c>
      <c r="F77" s="1725">
        <f t="shared" si="8"/>
        <v>150000</v>
      </c>
      <c r="G77" s="1725">
        <f t="shared" si="8"/>
        <v>0</v>
      </c>
      <c r="H77" s="1725">
        <f t="shared" si="8"/>
        <v>0</v>
      </c>
      <c r="I77" s="1725">
        <f t="shared" si="8"/>
        <v>-300000</v>
      </c>
      <c r="J77" s="1725">
        <f t="shared" si="8"/>
        <v>0</v>
      </c>
      <c r="K77" s="1725">
        <f t="shared" si="8"/>
        <v>0</v>
      </c>
      <c r="L77" s="347"/>
    </row>
    <row r="78" spans="1:12" ht="21.75" customHeight="1" thickTop="1" thickBot="1" x14ac:dyDescent="0.25">
      <c r="A78" s="2140" t="s">
        <v>618</v>
      </c>
      <c r="B78" s="2141"/>
      <c r="C78" s="1724">
        <f t="shared" ref="C78:K78" si="9">C20+C77</f>
        <v>133946</v>
      </c>
      <c r="D78" s="1724">
        <f t="shared" si="9"/>
        <v>-10221</v>
      </c>
      <c r="E78" s="1724">
        <f t="shared" si="9"/>
        <v>-58852</v>
      </c>
      <c r="F78" s="1724">
        <f t="shared" si="9"/>
        <v>67223</v>
      </c>
      <c r="G78" s="1724">
        <f t="shared" si="9"/>
        <v>120364</v>
      </c>
      <c r="H78" s="1724">
        <f t="shared" si="9"/>
        <v>329944</v>
      </c>
      <c r="I78" s="1724">
        <f t="shared" si="9"/>
        <v>-168950</v>
      </c>
      <c r="J78" s="1724">
        <f t="shared" si="9"/>
        <v>245376</v>
      </c>
      <c r="K78" s="1724">
        <f t="shared" si="9"/>
        <v>95749</v>
      </c>
      <c r="L78" s="533"/>
    </row>
    <row r="79" spans="1:12" ht="13.5" thickTop="1" x14ac:dyDescent="0.2">
      <c r="A79" s="1516" t="s">
        <v>2070</v>
      </c>
      <c r="B79" s="534"/>
      <c r="C79" s="478">
        <v>196657</v>
      </c>
      <c r="D79" s="535">
        <v>130274</v>
      </c>
      <c r="E79" s="535">
        <v>120917</v>
      </c>
      <c r="F79" s="535">
        <v>139186</v>
      </c>
      <c r="G79" s="535">
        <v>651053</v>
      </c>
      <c r="H79" s="535">
        <v>491864</v>
      </c>
      <c r="I79" s="535">
        <v>4762262</v>
      </c>
      <c r="J79" s="535">
        <v>502</v>
      </c>
      <c r="K79" s="535">
        <v>137589</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710">
        <f>(SUM(C78:C80))</f>
        <v>330603</v>
      </c>
      <c r="D81" s="1710">
        <f>SUM(D78:D80)</f>
        <v>120053</v>
      </c>
      <c r="E81" s="1710">
        <f t="shared" ref="E81:K81" si="10">SUM(E78:E80)</f>
        <v>62065</v>
      </c>
      <c r="F81" s="1710">
        <f t="shared" si="10"/>
        <v>206409</v>
      </c>
      <c r="G81" s="1710">
        <f t="shared" si="10"/>
        <v>771417</v>
      </c>
      <c r="H81" s="1710">
        <f t="shared" si="10"/>
        <v>821808</v>
      </c>
      <c r="I81" s="1710">
        <f t="shared" si="10"/>
        <v>4593312</v>
      </c>
      <c r="J81" s="1710">
        <f t="shared" si="10"/>
        <v>245878</v>
      </c>
      <c r="K81" s="1710">
        <f t="shared" si="10"/>
        <v>233338</v>
      </c>
      <c r="L81" s="347"/>
    </row>
    <row r="82" spans="1:12" ht="0.75" customHeight="1" thickTop="1" thickBot="1" x14ac:dyDescent="0.25">
      <c r="A82" s="536" t="s">
        <v>361</v>
      </c>
      <c r="B82" s="537"/>
      <c r="C82" s="538">
        <f>(C81-C79)</f>
        <v>133946</v>
      </c>
      <c r="D82" s="538">
        <f t="shared" ref="D82:K82" si="11">(D81-D79)</f>
        <v>-10221</v>
      </c>
      <c r="E82" s="538">
        <f t="shared" si="11"/>
        <v>-58852</v>
      </c>
      <c r="F82" s="538">
        <f t="shared" si="11"/>
        <v>67223</v>
      </c>
      <c r="G82" s="538">
        <f t="shared" si="11"/>
        <v>120364</v>
      </c>
      <c r="H82" s="538">
        <f t="shared" si="11"/>
        <v>329944</v>
      </c>
      <c r="I82" s="538">
        <f t="shared" si="11"/>
        <v>-168950</v>
      </c>
      <c r="J82" s="538">
        <f t="shared" si="11"/>
        <v>245376</v>
      </c>
      <c r="K82" s="538">
        <f t="shared" si="11"/>
        <v>95749</v>
      </c>
    </row>
    <row r="83" spans="1:12" ht="14.25" hidden="1" thickTop="1" thickBot="1" x14ac:dyDescent="0.25">
      <c r="A83" s="539" t="s">
        <v>362</v>
      </c>
      <c r="B83" s="464"/>
      <c r="C83" s="540">
        <f>C82/C81</f>
        <v>0.4051566380220385</v>
      </c>
      <c r="D83" s="540">
        <f t="shared" ref="D83:K83" si="12">D82/D81</f>
        <v>-8.5137397649371532E-2</v>
      </c>
      <c r="E83" s="540">
        <f t="shared" si="12"/>
        <v>-0.94823169258035933</v>
      </c>
      <c r="F83" s="540">
        <f t="shared" si="12"/>
        <v>0.32567862835438377</v>
      </c>
      <c r="G83" s="540">
        <f t="shared" si="12"/>
        <v>0.15602974785362522</v>
      </c>
      <c r="H83" s="540">
        <f t="shared" si="12"/>
        <v>0.40148550513015208</v>
      </c>
      <c r="I83" s="540">
        <f t="shared" si="12"/>
        <v>-3.678173831866853E-2</v>
      </c>
      <c r="J83" s="540">
        <f t="shared" si="12"/>
        <v>0.99795833706146952</v>
      </c>
      <c r="K83" s="540">
        <f t="shared" si="12"/>
        <v>0.41034465024985217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42" activePane="bottomLeft" state="frozen"/>
      <selection activeCell="L32" sqref="L32"/>
      <selection pane="bottomLeft" activeCell="L32" sqref="L32"/>
    </sheetView>
  </sheetViews>
  <sheetFormatPr defaultColWidth="9.28515625" defaultRowHeight="12.75" x14ac:dyDescent="0.2"/>
  <cols>
    <col min="1" max="1" width="54.28515625" style="595" customWidth="1"/>
    <col min="2" max="2" width="4.7109375" style="596" customWidth="1"/>
    <col min="3" max="11" width="13.7109375" style="384" customWidth="1"/>
    <col min="12" max="16384" width="9.28515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899999999999999"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7242051</v>
      </c>
      <c r="D5" s="481">
        <v>1089148</v>
      </c>
      <c r="E5" s="466">
        <v>1520070</v>
      </c>
      <c r="F5" s="548">
        <v>435661</v>
      </c>
      <c r="G5" s="466">
        <v>401743</v>
      </c>
      <c r="H5" s="466"/>
      <c r="I5" s="466">
        <v>108918</v>
      </c>
      <c r="J5" s="467">
        <v>726858</v>
      </c>
      <c r="K5" s="466">
        <v>108903</v>
      </c>
    </row>
    <row r="6" spans="1:12" ht="15" x14ac:dyDescent="0.2">
      <c r="A6" s="463" t="s">
        <v>1761</v>
      </c>
      <c r="B6" s="470">
        <v>1130</v>
      </c>
      <c r="C6" s="466">
        <v>108918</v>
      </c>
      <c r="D6" s="466"/>
      <c r="E6" s="475"/>
      <c r="F6" s="475"/>
      <c r="G6" s="468"/>
      <c r="H6" s="468"/>
      <c r="I6" s="468"/>
      <c r="J6" s="468"/>
      <c r="K6" s="468"/>
    </row>
    <row r="7" spans="1:12" x14ac:dyDescent="0.2">
      <c r="A7" s="463" t="s">
        <v>112</v>
      </c>
      <c r="B7" s="549">
        <v>1140</v>
      </c>
      <c r="C7" s="466">
        <v>87130</v>
      </c>
      <c r="D7" s="466"/>
      <c r="E7" s="468"/>
      <c r="F7" s="467"/>
      <c r="G7" s="467"/>
      <c r="H7" s="467"/>
      <c r="I7" s="468"/>
      <c r="J7" s="468"/>
      <c r="K7" s="468"/>
    </row>
    <row r="8" spans="1:12" x14ac:dyDescent="0.2">
      <c r="A8" s="463" t="s">
        <v>433</v>
      </c>
      <c r="B8" s="470">
        <v>1150</v>
      </c>
      <c r="C8" s="475"/>
      <c r="D8" s="475"/>
      <c r="E8" s="477"/>
      <c r="F8" s="477"/>
      <c r="G8" s="481">
        <v>425220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7438099</v>
      </c>
      <c r="D12" s="1729">
        <f t="shared" si="0"/>
        <v>1089148</v>
      </c>
      <c r="E12" s="1729">
        <f t="shared" si="0"/>
        <v>1520070</v>
      </c>
      <c r="F12" s="1729">
        <f t="shared" si="0"/>
        <v>435661</v>
      </c>
      <c r="G12" s="1729">
        <f t="shared" si="0"/>
        <v>826963</v>
      </c>
      <c r="H12" s="1729">
        <f t="shared" si="0"/>
        <v>0</v>
      </c>
      <c r="I12" s="1729">
        <f t="shared" si="0"/>
        <v>108918</v>
      </c>
      <c r="J12" s="1729">
        <f t="shared" si="0"/>
        <v>726858</v>
      </c>
      <c r="K12" s="1710">
        <f t="shared" si="0"/>
        <v>108903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708994</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708994</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9446</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9446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80568</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80568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8824</v>
      </c>
      <c r="D65" s="466">
        <v>2385</v>
      </c>
      <c r="E65" s="466">
        <v>1828</v>
      </c>
      <c r="F65" s="467">
        <v>524</v>
      </c>
      <c r="G65" s="466">
        <v>6250</v>
      </c>
      <c r="H65" s="466">
        <v>4524</v>
      </c>
      <c r="I65" s="466">
        <v>22132</v>
      </c>
      <c r="J65" s="467">
        <v>1679</v>
      </c>
      <c r="K65" s="466">
        <v>1294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8824</v>
      </c>
      <c r="D67" s="1710">
        <f t="shared" ref="D67:K67" si="2">SUM(D65:D66)</f>
        <v>2385</v>
      </c>
      <c r="E67" s="1710">
        <f t="shared" si="2"/>
        <v>1828</v>
      </c>
      <c r="F67" s="1710">
        <f t="shared" si="2"/>
        <v>524</v>
      </c>
      <c r="G67" s="1710">
        <f t="shared" si="2"/>
        <v>6250</v>
      </c>
      <c r="H67" s="1710">
        <f t="shared" si="2"/>
        <v>4524</v>
      </c>
      <c r="I67" s="1710">
        <f t="shared" si="2"/>
        <v>22132</v>
      </c>
      <c r="J67" s="1710">
        <f t="shared" si="2"/>
        <v>1679</v>
      </c>
      <c r="K67" s="1710">
        <f t="shared" si="2"/>
        <v>1294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308165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13050</v>
      </c>
      <c r="D73" s="468"/>
      <c r="E73" s="468"/>
      <c r="F73" s="468"/>
      <c r="G73" s="468"/>
      <c r="H73" s="468"/>
      <c r="I73" s="468"/>
      <c r="J73" s="468"/>
      <c r="K73" s="468"/>
    </row>
    <row r="74" spans="1:11" ht="12.75" customHeight="1" x14ac:dyDescent="0.2">
      <c r="A74" s="463" t="s">
        <v>25</v>
      </c>
      <c r="B74" s="470">
        <v>1690</v>
      </c>
      <c r="C74" s="551">
        <v>12491</v>
      </c>
      <c r="D74" s="468"/>
      <c r="E74" s="468"/>
      <c r="F74" s="468"/>
      <c r="G74" s="468"/>
      <c r="H74" s="468"/>
      <c r="I74" s="468"/>
      <c r="J74" s="468"/>
      <c r="K74" s="468"/>
    </row>
    <row r="75" spans="1:11" ht="12.75" customHeight="1" thickBot="1" x14ac:dyDescent="0.25">
      <c r="A75" s="1730" t="s">
        <v>569</v>
      </c>
      <c r="B75" s="1731"/>
      <c r="C75" s="1710">
        <f>SUM(C69:C74)</f>
        <v>333706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45634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43188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88822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145274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145274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482</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17151</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741647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86621</v>
      </c>
      <c r="D107" s="466"/>
      <c r="E107" s="466"/>
      <c r="F107" s="466">
        <v>9355</v>
      </c>
      <c r="G107" s="466"/>
      <c r="H107" s="466"/>
      <c r="I107" s="466"/>
      <c r="J107" s="467"/>
      <c r="K107" s="466"/>
    </row>
    <row r="108" spans="1:12" ht="12.75" customHeight="1" thickBot="1" x14ac:dyDescent="0.25">
      <c r="A108" s="1730" t="s">
        <v>508</v>
      </c>
      <c r="B108" s="1734"/>
      <c r="C108" s="1729">
        <f>SUM(C95:C107)</f>
        <v>103772</v>
      </c>
      <c r="D108" s="1729">
        <f t="shared" ref="D108:K108" si="3">SUM(D95:D107)</f>
        <v>482</v>
      </c>
      <c r="E108" s="1729">
        <f t="shared" si="3"/>
        <v>0</v>
      </c>
      <c r="F108" s="1729">
        <f t="shared" si="3"/>
        <v>9355</v>
      </c>
      <c r="G108" s="1729">
        <f t="shared" si="3"/>
        <v>0</v>
      </c>
      <c r="H108" s="1729">
        <f t="shared" si="3"/>
        <v>741647</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8836937</v>
      </c>
      <c r="D109" s="1737">
        <f t="shared" si="4"/>
        <v>1092015</v>
      </c>
      <c r="E109" s="1737">
        <f t="shared" si="4"/>
        <v>1521898</v>
      </c>
      <c r="F109" s="1737">
        <f t="shared" si="4"/>
        <v>526108</v>
      </c>
      <c r="G109" s="1737">
        <f t="shared" si="4"/>
        <v>833213</v>
      </c>
      <c r="H109" s="1737">
        <f t="shared" si="4"/>
        <v>746171</v>
      </c>
      <c r="I109" s="1737">
        <f t="shared" si="4"/>
        <v>131050</v>
      </c>
      <c r="J109" s="1737">
        <f t="shared" si="4"/>
        <v>728537</v>
      </c>
      <c r="K109" s="1724">
        <f t="shared" si="4"/>
        <v>110197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899999999999999"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5977235</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5977235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135167</v>
      </c>
      <c r="D124" s="561"/>
      <c r="E124" s="468"/>
      <c r="F124" s="548"/>
      <c r="G124" s="468"/>
      <c r="H124" s="468"/>
      <c r="I124" s="468"/>
      <c r="J124" s="468"/>
      <c r="K124" s="468"/>
    </row>
    <row r="125" spans="1:11" ht="12.75" customHeight="1" x14ac:dyDescent="0.2">
      <c r="A125" s="463" t="s">
        <v>1521</v>
      </c>
      <c r="B125" s="562">
        <v>3105</v>
      </c>
      <c r="C125" s="466">
        <v>128645</v>
      </c>
      <c r="D125" s="561"/>
      <c r="E125" s="468"/>
      <c r="F125" s="466"/>
      <c r="G125" s="468"/>
      <c r="H125" s="468"/>
      <c r="I125" s="468"/>
      <c r="J125" s="468"/>
      <c r="K125" s="468"/>
    </row>
    <row r="126" spans="1:11" ht="12.75" customHeight="1" x14ac:dyDescent="0.2">
      <c r="A126" s="463" t="s">
        <v>922</v>
      </c>
      <c r="B126" s="562">
        <v>3110</v>
      </c>
      <c r="C126" s="551">
        <v>225214</v>
      </c>
      <c r="D126" s="466"/>
      <c r="E126" s="468"/>
      <c r="F126" s="466"/>
      <c r="G126" s="468"/>
      <c r="H126" s="468"/>
      <c r="I126" s="468"/>
      <c r="J126" s="468"/>
      <c r="K126" s="468"/>
    </row>
    <row r="127" spans="1:11" ht="12.75" customHeight="1" x14ac:dyDescent="0.2">
      <c r="A127" s="463" t="s">
        <v>107</v>
      </c>
      <c r="B127" s="562">
        <v>3120</v>
      </c>
      <c r="C127" s="466">
        <v>59006</v>
      </c>
      <c r="D127" s="561"/>
      <c r="E127" s="468"/>
      <c r="F127" s="466"/>
      <c r="G127" s="468"/>
      <c r="H127" s="468"/>
      <c r="I127" s="468"/>
      <c r="J127" s="468"/>
      <c r="K127" s="468"/>
    </row>
    <row r="128" spans="1:11" ht="12.75" customHeight="1" x14ac:dyDescent="0.2">
      <c r="A128" s="463" t="s">
        <v>1522</v>
      </c>
      <c r="B128" s="562">
        <v>3130</v>
      </c>
      <c r="C128" s="466">
        <v>10593</v>
      </c>
      <c r="D128" s="561"/>
      <c r="E128" s="468"/>
      <c r="F128" s="466"/>
      <c r="G128" s="468"/>
      <c r="H128" s="468"/>
      <c r="I128" s="468"/>
      <c r="J128" s="468"/>
      <c r="K128" s="468"/>
    </row>
    <row r="129" spans="1:11" ht="12.75" customHeight="1" x14ac:dyDescent="0.2">
      <c r="A129" s="463" t="s">
        <v>139</v>
      </c>
      <c r="B129" s="562">
        <v>3145</v>
      </c>
      <c r="C129" s="466">
        <v>10908</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569533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21686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21686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6430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28029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391569</v>
      </c>
      <c r="G151" s="467"/>
      <c r="H151" s="468"/>
      <c r="I151" s="468"/>
      <c r="J151" s="468"/>
      <c r="K151" s="468"/>
    </row>
    <row r="152" spans="1:11" ht="12.75" customHeight="1" x14ac:dyDescent="0.2">
      <c r="A152" s="463" t="s">
        <v>1117</v>
      </c>
      <c r="B152" s="562">
        <v>3510</v>
      </c>
      <c r="C152" s="551"/>
      <c r="D152" s="466"/>
      <c r="E152" s="561"/>
      <c r="F152" s="466">
        <v>522528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914097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292640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6048</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924366</v>
      </c>
      <c r="D172" s="1744">
        <f t="shared" si="6"/>
        <v>0</v>
      </c>
      <c r="E172" s="1744">
        <f t="shared" si="6"/>
        <v>0</v>
      </c>
      <c r="F172" s="1744">
        <f t="shared" si="6"/>
        <v>914097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6901601</v>
      </c>
      <c r="D173" s="1737">
        <f>SUM(D121,D172)</f>
        <v>0</v>
      </c>
      <c r="E173" s="1737">
        <f>SUM(E121,E172)</f>
        <v>0</v>
      </c>
      <c r="F173" s="1737">
        <f t="shared" ref="F173:K173" si="7">SUM(F121,F172)</f>
        <v>914097</v>
      </c>
      <c r="G173" s="1737">
        <f t="shared" si="7"/>
        <v>0</v>
      </c>
      <c r="H173" s="1737">
        <f t="shared" si="7"/>
        <v>0</v>
      </c>
      <c r="I173" s="1737">
        <f t="shared" si="7"/>
        <v>0</v>
      </c>
      <c r="J173" s="1737">
        <f t="shared" si="7"/>
        <v>0</v>
      </c>
      <c r="K173" s="1724">
        <f t="shared" si="7"/>
        <v>0</v>
      </c>
    </row>
    <row r="174" spans="1:11" ht="16.899999999999999"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350381</v>
      </c>
      <c r="D194" s="468"/>
      <c r="E194" s="561"/>
      <c r="F194" s="468"/>
      <c r="G194" s="585"/>
      <c r="H194" s="468"/>
      <c r="I194" s="468"/>
      <c r="J194" s="468"/>
      <c r="K194" s="468"/>
    </row>
    <row r="195" spans="1:11" ht="12.75" customHeight="1" x14ac:dyDescent="0.2">
      <c r="A195" s="463" t="s">
        <v>1107</v>
      </c>
      <c r="B195" s="470">
        <v>4215</v>
      </c>
      <c r="C195" s="551">
        <v>1667</v>
      </c>
      <c r="D195" s="468"/>
      <c r="E195" s="561"/>
      <c r="F195" s="468"/>
      <c r="G195" s="585"/>
      <c r="H195" s="468"/>
      <c r="I195" s="468"/>
      <c r="J195" s="468"/>
      <c r="K195" s="468"/>
    </row>
    <row r="196" spans="1:11" ht="12.75" customHeight="1" x14ac:dyDescent="0.2">
      <c r="A196" s="463" t="s">
        <v>1119</v>
      </c>
      <c r="B196" s="470">
        <v>4220</v>
      </c>
      <c r="C196" s="551">
        <v>81193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433241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404628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404628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125000</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125000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63421</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45796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1072086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1072086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16810624</v>
      </c>
      <c r="D275" s="1737">
        <f t="shared" si="12"/>
        <v>1092015</v>
      </c>
      <c r="E275" s="1737">
        <f t="shared" si="12"/>
        <v>1521898</v>
      </c>
      <c r="F275" s="1737">
        <f t="shared" si="12"/>
        <v>1440205</v>
      </c>
      <c r="G275" s="1737">
        <f t="shared" si="12"/>
        <v>833213</v>
      </c>
      <c r="H275" s="1737">
        <f t="shared" si="12"/>
        <v>746171</v>
      </c>
      <c r="I275" s="1737">
        <f t="shared" si="12"/>
        <v>131050</v>
      </c>
      <c r="J275" s="1737">
        <f t="shared" si="12"/>
        <v>728537</v>
      </c>
      <c r="K275" s="1724">
        <f t="shared" si="12"/>
        <v>110197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51" activePane="bottomLeft" state="frozen"/>
      <selection activeCell="L32" sqref="L32"/>
      <selection pane="bottomLeft" activeCell="L32" sqref="L32"/>
    </sheetView>
  </sheetViews>
  <sheetFormatPr defaultColWidth="9.28515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7109375" style="343" customWidth="1"/>
    <col min="13" max="13" width="1.5703125" style="210" customWidth="1"/>
    <col min="14" max="14" width="9.28515625" style="210"/>
    <col min="15" max="16384" width="9.28515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899999999999999"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5890196</v>
      </c>
      <c r="D5" s="466">
        <v>551329</v>
      </c>
      <c r="E5" s="466">
        <v>58750</v>
      </c>
      <c r="F5" s="466">
        <v>183119</v>
      </c>
      <c r="G5" s="466"/>
      <c r="H5" s="466"/>
      <c r="I5" s="467"/>
      <c r="J5" s="467"/>
      <c r="K5" s="1693">
        <f>SUM(C5:J5)</f>
        <v>6683394</v>
      </c>
      <c r="L5" s="466">
        <v>6846833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219129</v>
      </c>
      <c r="D7" s="467">
        <v>18653</v>
      </c>
      <c r="E7" s="467">
        <v>25</v>
      </c>
      <c r="F7" s="467">
        <v>9413</v>
      </c>
      <c r="G7" s="467">
        <v>17530</v>
      </c>
      <c r="H7" s="467"/>
      <c r="I7" s="467"/>
      <c r="J7" s="467"/>
      <c r="K7" s="1693">
        <f t="shared" ref="K7:K32" si="0">SUM(C7:J7)</f>
        <v>264750</v>
      </c>
      <c r="L7" s="466"/>
    </row>
    <row r="8" spans="1:14" x14ac:dyDescent="0.2">
      <c r="A8" s="1526" t="s">
        <v>166</v>
      </c>
      <c r="B8" s="615">
        <v>1200</v>
      </c>
      <c r="C8" s="466">
        <v>2481439</v>
      </c>
      <c r="D8" s="466">
        <v>305826</v>
      </c>
      <c r="E8" s="466">
        <v>486950</v>
      </c>
      <c r="F8" s="466">
        <v>11668</v>
      </c>
      <c r="G8" s="466">
        <v>1719</v>
      </c>
      <c r="H8" s="466">
        <v>1011</v>
      </c>
      <c r="I8" s="467"/>
      <c r="J8" s="467"/>
      <c r="K8" s="1693">
        <f t="shared" si="0"/>
        <v>3288613</v>
      </c>
      <c r="L8" s="466">
        <v>3262969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79486</v>
      </c>
      <c r="D10" s="466">
        <v>16795</v>
      </c>
      <c r="E10" s="466">
        <v>20306</v>
      </c>
      <c r="F10" s="466">
        <v>140208</v>
      </c>
      <c r="G10" s="466">
        <v>165451</v>
      </c>
      <c r="H10" s="466"/>
      <c r="I10" s="467"/>
      <c r="J10" s="467"/>
      <c r="K10" s="1693">
        <f t="shared" si="0"/>
        <v>422246</v>
      </c>
      <c r="L10" s="466">
        <v>307892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621351</v>
      </c>
      <c r="D13" s="466">
        <v>56616</v>
      </c>
      <c r="E13" s="466">
        <v>449</v>
      </c>
      <c r="F13" s="466">
        <v>29563</v>
      </c>
      <c r="G13" s="466"/>
      <c r="H13" s="466"/>
      <c r="I13" s="467"/>
      <c r="J13" s="467"/>
      <c r="K13" s="1693">
        <f t="shared" si="0"/>
        <v>707979</v>
      </c>
      <c r="L13" s="466">
        <v>698237</v>
      </c>
    </row>
    <row r="14" spans="1:14" x14ac:dyDescent="0.2">
      <c r="A14" s="1526" t="s">
        <v>1020</v>
      </c>
      <c r="B14" s="615">
        <v>1500</v>
      </c>
      <c r="C14" s="466">
        <v>483236</v>
      </c>
      <c r="D14" s="466">
        <v>32489</v>
      </c>
      <c r="E14" s="466">
        <v>33155</v>
      </c>
      <c r="F14" s="466">
        <v>53126</v>
      </c>
      <c r="G14" s="466"/>
      <c r="H14" s="466">
        <v>13121</v>
      </c>
      <c r="I14" s="467"/>
      <c r="J14" s="467"/>
      <c r="K14" s="1693">
        <f t="shared" si="0"/>
        <v>615127</v>
      </c>
      <c r="L14" s="466">
        <v>722271</v>
      </c>
    </row>
    <row r="15" spans="1:14" x14ac:dyDescent="0.2">
      <c r="A15" s="1526" t="s">
        <v>1021</v>
      </c>
      <c r="B15" s="615">
        <v>1600</v>
      </c>
      <c r="C15" s="466">
        <v>4510</v>
      </c>
      <c r="D15" s="466">
        <v>58</v>
      </c>
      <c r="E15" s="466"/>
      <c r="F15" s="466"/>
      <c r="G15" s="466"/>
      <c r="H15" s="466"/>
      <c r="I15" s="467"/>
      <c r="J15" s="467"/>
      <c r="K15" s="1693">
        <f t="shared" si="0"/>
        <v>4568</v>
      </c>
      <c r="L15" s="466">
        <v>6723</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9779347</v>
      </c>
      <c r="D33" s="1692">
        <f t="shared" ref="D33:L33" si="1">SUM(D5:D32)</f>
        <v>981766</v>
      </c>
      <c r="E33" s="1692">
        <f t="shared" si="1"/>
        <v>599635</v>
      </c>
      <c r="F33" s="1692">
        <f t="shared" si="1"/>
        <v>427097</v>
      </c>
      <c r="G33" s="1692">
        <f t="shared" si="1"/>
        <v>184700</v>
      </c>
      <c r="H33" s="1692">
        <f t="shared" si="1"/>
        <v>14132</v>
      </c>
      <c r="I33" s="1692">
        <f t="shared" si="1"/>
        <v>0</v>
      </c>
      <c r="J33" s="1692">
        <f t="shared" si="1"/>
        <v>0</v>
      </c>
      <c r="K33" s="1692">
        <f t="shared" si="1"/>
        <v>11986677</v>
      </c>
      <c r="L33" s="1692">
        <f t="shared" si="1"/>
        <v>11844925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186223</v>
      </c>
      <c r="D37" s="466">
        <v>18243</v>
      </c>
      <c r="E37" s="466">
        <v>22906</v>
      </c>
      <c r="F37" s="466">
        <v>910</v>
      </c>
      <c r="G37" s="466"/>
      <c r="H37" s="466"/>
      <c r="I37" s="467"/>
      <c r="J37" s="467"/>
      <c r="K37" s="1693">
        <f t="shared" si="2"/>
        <v>228282</v>
      </c>
      <c r="L37" s="466">
        <v>232032</v>
      </c>
    </row>
    <row r="38" spans="1:14" x14ac:dyDescent="0.2">
      <c r="A38" s="1526" t="s">
        <v>207</v>
      </c>
      <c r="B38" s="615">
        <v>2130</v>
      </c>
      <c r="C38" s="466"/>
      <c r="D38" s="466"/>
      <c r="E38" s="466">
        <v>45649</v>
      </c>
      <c r="F38" s="466">
        <v>2195</v>
      </c>
      <c r="G38" s="466"/>
      <c r="H38" s="466"/>
      <c r="I38" s="467"/>
      <c r="J38" s="467"/>
      <c r="K38" s="1693">
        <f t="shared" si="2"/>
        <v>47844</v>
      </c>
      <c r="L38" s="466">
        <v>31000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143133</v>
      </c>
      <c r="D40" s="466">
        <v>18577</v>
      </c>
      <c r="E40" s="466"/>
      <c r="F40" s="466"/>
      <c r="G40" s="466"/>
      <c r="H40" s="466"/>
      <c r="I40" s="467"/>
      <c r="J40" s="467"/>
      <c r="K40" s="1693">
        <f t="shared" si="2"/>
        <v>161710</v>
      </c>
      <c r="L40" s="466">
        <v>174754</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329356</v>
      </c>
      <c r="D42" s="1692">
        <f t="shared" ref="D42:L42" si="3">SUM(D36:D41)</f>
        <v>36820</v>
      </c>
      <c r="E42" s="1692">
        <f t="shared" si="3"/>
        <v>68555</v>
      </c>
      <c r="F42" s="1692">
        <f t="shared" si="3"/>
        <v>3105</v>
      </c>
      <c r="G42" s="1692">
        <f t="shared" si="3"/>
        <v>0</v>
      </c>
      <c r="H42" s="1692">
        <f t="shared" si="3"/>
        <v>0</v>
      </c>
      <c r="I42" s="1692">
        <f t="shared" si="3"/>
        <v>0</v>
      </c>
      <c r="J42" s="1692">
        <f t="shared" si="3"/>
        <v>0</v>
      </c>
      <c r="K42" s="1692">
        <f t="shared" si="3"/>
        <v>437836</v>
      </c>
      <c r="L42" s="1692">
        <f t="shared" si="3"/>
        <v>437786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152180</v>
      </c>
      <c r="D44" s="481">
        <v>14427</v>
      </c>
      <c r="E44" s="481">
        <v>233218</v>
      </c>
      <c r="F44" s="481">
        <v>107359</v>
      </c>
      <c r="G44" s="481">
        <v>24110</v>
      </c>
      <c r="H44" s="481"/>
      <c r="I44" s="467"/>
      <c r="J44" s="467"/>
      <c r="K44" s="1694">
        <f>SUM(C44:J44)</f>
        <v>531294</v>
      </c>
      <c r="L44" s="481">
        <v>620453</v>
      </c>
    </row>
    <row r="45" spans="1:14" x14ac:dyDescent="0.2">
      <c r="A45" s="1526" t="s">
        <v>869</v>
      </c>
      <c r="B45" s="615">
        <v>2220</v>
      </c>
      <c r="C45" s="466">
        <v>256464</v>
      </c>
      <c r="D45" s="466">
        <v>33327</v>
      </c>
      <c r="E45" s="466"/>
      <c r="F45" s="466">
        <v>8912</v>
      </c>
      <c r="G45" s="466"/>
      <c r="H45" s="466"/>
      <c r="I45" s="467"/>
      <c r="J45" s="467"/>
      <c r="K45" s="1694">
        <f>SUM(C45:J45)</f>
        <v>298703</v>
      </c>
      <c r="L45" s="466">
        <v>320517</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408644</v>
      </c>
      <c r="D47" s="1692">
        <f t="shared" ref="D47:K47" si="4">SUM(D44:D46)</f>
        <v>47754</v>
      </c>
      <c r="E47" s="1692">
        <f t="shared" si="4"/>
        <v>233218</v>
      </c>
      <c r="F47" s="1692">
        <f t="shared" si="4"/>
        <v>116271</v>
      </c>
      <c r="G47" s="1692">
        <f t="shared" si="4"/>
        <v>24110</v>
      </c>
      <c r="H47" s="1692">
        <f t="shared" si="4"/>
        <v>0</v>
      </c>
      <c r="I47" s="1692">
        <f t="shared" si="4"/>
        <v>0</v>
      </c>
      <c r="J47" s="1692">
        <f t="shared" si="4"/>
        <v>0</v>
      </c>
      <c r="K47" s="1692">
        <f t="shared" si="4"/>
        <v>829997</v>
      </c>
      <c r="L47" s="1692">
        <f>SUM(L44:L46)</f>
        <v>940970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28421</v>
      </c>
      <c r="F49" s="481">
        <v>1365</v>
      </c>
      <c r="G49" s="481"/>
      <c r="H49" s="481">
        <v>13327</v>
      </c>
      <c r="I49" s="467"/>
      <c r="J49" s="467"/>
      <c r="K49" s="1694">
        <f>SUM(C49:J49)</f>
        <v>43113</v>
      </c>
      <c r="L49" s="481">
        <v>44000</v>
      </c>
    </row>
    <row r="50" spans="1:14" x14ac:dyDescent="0.2">
      <c r="A50" s="1526" t="s">
        <v>872</v>
      </c>
      <c r="B50" s="615">
        <v>2320</v>
      </c>
      <c r="C50" s="466">
        <v>129596</v>
      </c>
      <c r="D50" s="466">
        <v>14329</v>
      </c>
      <c r="E50" s="466">
        <v>8143</v>
      </c>
      <c r="F50" s="466">
        <v>1734</v>
      </c>
      <c r="G50" s="466"/>
      <c r="H50" s="466">
        <v>2494</v>
      </c>
      <c r="I50" s="467"/>
      <c r="J50" s="467"/>
      <c r="K50" s="1694">
        <f>SUM(C50:J50)</f>
        <v>156296</v>
      </c>
      <c r="L50" s="466">
        <v>140290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129596</v>
      </c>
      <c r="D53" s="1692">
        <f t="shared" ref="D53:L53" si="5">SUM(D49:D52)</f>
        <v>14329</v>
      </c>
      <c r="E53" s="1692">
        <f t="shared" si="5"/>
        <v>36564</v>
      </c>
      <c r="F53" s="1692">
        <f t="shared" si="5"/>
        <v>3099</v>
      </c>
      <c r="G53" s="1692">
        <f t="shared" si="5"/>
        <v>0</v>
      </c>
      <c r="H53" s="1692">
        <f t="shared" si="5"/>
        <v>15821</v>
      </c>
      <c r="I53" s="1692">
        <f t="shared" si="5"/>
        <v>0</v>
      </c>
      <c r="J53" s="1692">
        <f t="shared" si="5"/>
        <v>0</v>
      </c>
      <c r="K53" s="1692">
        <f t="shared" si="5"/>
        <v>199409</v>
      </c>
      <c r="L53" s="1692">
        <f t="shared" si="5"/>
        <v>184290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1067168</v>
      </c>
      <c r="D55" s="481">
        <v>140189</v>
      </c>
      <c r="E55" s="481">
        <v>71207</v>
      </c>
      <c r="F55" s="481">
        <v>6739</v>
      </c>
      <c r="G55" s="481"/>
      <c r="H55" s="481"/>
      <c r="I55" s="467"/>
      <c r="J55" s="467"/>
      <c r="K55" s="1694">
        <f>SUM(C55:J55)</f>
        <v>1285303</v>
      </c>
      <c r="L55" s="481">
        <v>1176761</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1067168</v>
      </c>
      <c r="D57" s="1696">
        <f t="shared" ref="D57:K57" si="6">SUM(D55:D56)</f>
        <v>140189</v>
      </c>
      <c r="E57" s="1696">
        <f t="shared" si="6"/>
        <v>71207</v>
      </c>
      <c r="F57" s="1696">
        <f t="shared" si="6"/>
        <v>6739</v>
      </c>
      <c r="G57" s="1696">
        <f t="shared" si="6"/>
        <v>0</v>
      </c>
      <c r="H57" s="1696">
        <f t="shared" si="6"/>
        <v>0</v>
      </c>
      <c r="I57" s="1696">
        <f t="shared" si="6"/>
        <v>0</v>
      </c>
      <c r="J57" s="1696">
        <f t="shared" si="6"/>
        <v>0</v>
      </c>
      <c r="K57" s="1696">
        <f t="shared" si="6"/>
        <v>1285303</v>
      </c>
      <c r="L57" s="1692">
        <f>SUM(L55:L56)</f>
        <v>1176761</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163071</v>
      </c>
      <c r="D60" s="466">
        <v>18936</v>
      </c>
      <c r="E60" s="466">
        <v>18409</v>
      </c>
      <c r="F60" s="466">
        <v>1444</v>
      </c>
      <c r="G60" s="466"/>
      <c r="H60" s="466"/>
      <c r="I60" s="467"/>
      <c r="J60" s="467"/>
      <c r="K60" s="1694">
        <f t="shared" si="7"/>
        <v>201860</v>
      </c>
      <c r="L60" s="466">
        <v>209271</v>
      </c>
      <c r="M60" s="610"/>
      <c r="N60" s="610"/>
    </row>
    <row r="61" spans="1:14" s="343" customFormat="1" x14ac:dyDescent="0.2">
      <c r="A61" s="1526" t="s">
        <v>206</v>
      </c>
      <c r="B61" s="615">
        <v>2540</v>
      </c>
      <c r="C61" s="466">
        <v>5819</v>
      </c>
      <c r="D61" s="466"/>
      <c r="E61" s="466"/>
      <c r="F61" s="466"/>
      <c r="G61" s="466"/>
      <c r="H61" s="466"/>
      <c r="I61" s="467"/>
      <c r="J61" s="467"/>
      <c r="K61" s="1694">
        <f t="shared" si="7"/>
        <v>5819</v>
      </c>
      <c r="L61" s="466">
        <v>7979</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363352</v>
      </c>
      <c r="D63" s="466">
        <v>42908</v>
      </c>
      <c r="E63" s="466">
        <v>18904</v>
      </c>
      <c r="F63" s="466">
        <v>277740</v>
      </c>
      <c r="G63" s="466">
        <v>1640</v>
      </c>
      <c r="H63" s="466"/>
      <c r="I63" s="467"/>
      <c r="J63" s="467"/>
      <c r="K63" s="1694">
        <f t="shared" si="7"/>
        <v>704544</v>
      </c>
      <c r="L63" s="466">
        <v>728389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532242</v>
      </c>
      <c r="D65" s="1692">
        <f t="shared" ref="D65:L65" si="8">SUM(D59:D64)</f>
        <v>61844</v>
      </c>
      <c r="E65" s="1692">
        <f t="shared" si="8"/>
        <v>37313</v>
      </c>
      <c r="F65" s="1692">
        <f t="shared" si="8"/>
        <v>279184</v>
      </c>
      <c r="G65" s="1692">
        <f t="shared" si="8"/>
        <v>1640</v>
      </c>
      <c r="H65" s="1692">
        <f t="shared" si="8"/>
        <v>0</v>
      </c>
      <c r="I65" s="1692">
        <f t="shared" si="8"/>
        <v>0</v>
      </c>
      <c r="J65" s="1692">
        <f t="shared" si="8"/>
        <v>0</v>
      </c>
      <c r="K65" s="1692">
        <f t="shared" si="8"/>
        <v>912223</v>
      </c>
      <c r="L65" s="1692">
        <f t="shared" si="8"/>
        <v>945639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2467006</v>
      </c>
      <c r="D74" s="1699">
        <f t="shared" ref="D74:K74" si="10">SUM(D42,D47,D53,D57,D65,D72,D73)</f>
        <v>300936</v>
      </c>
      <c r="E74" s="1699">
        <f t="shared" si="10"/>
        <v>446857</v>
      </c>
      <c r="F74" s="1699">
        <f t="shared" si="10"/>
        <v>408398</v>
      </c>
      <c r="G74" s="1699">
        <f t="shared" si="10"/>
        <v>25750</v>
      </c>
      <c r="H74" s="1699">
        <f t="shared" si="10"/>
        <v>15821</v>
      </c>
      <c r="I74" s="1699">
        <f t="shared" si="10"/>
        <v>0</v>
      </c>
      <c r="J74" s="1699">
        <f t="shared" si="10"/>
        <v>0</v>
      </c>
      <c r="K74" s="1699">
        <f t="shared" si="10"/>
        <v>3664768</v>
      </c>
      <c r="L74" s="1699">
        <f>SUM(L42,L47,L53,L57,L65,L72,L73)</f>
        <v>3685446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1013953</v>
      </c>
      <c r="I79" s="477"/>
      <c r="J79" s="477"/>
      <c r="K79" s="1693">
        <f t="shared" si="11"/>
        <v>1013953</v>
      </c>
      <c r="L79" s="466">
        <v>1000000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11280</v>
      </c>
      <c r="I81" s="477"/>
      <c r="J81" s="477"/>
      <c r="K81" s="1693">
        <f t="shared" si="11"/>
        <v>11280</v>
      </c>
      <c r="L81" s="466">
        <v>12500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1025233</v>
      </c>
      <c r="I84" s="477"/>
      <c r="J84" s="477"/>
      <c r="K84" s="1692">
        <f>SUM(K78:K83)</f>
        <v>1025233</v>
      </c>
      <c r="L84" s="1692">
        <f>SUM(L78:L83)</f>
        <v>1012500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1025233</v>
      </c>
      <c r="I102" s="477"/>
      <c r="J102" s="477"/>
      <c r="K102" s="1699">
        <f>SUM(K84,K92,K100,K101)</f>
        <v>1025233</v>
      </c>
      <c r="L102" s="1699">
        <f>SUM(L84,L92,L100,L101)</f>
        <v>1012500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12246353</v>
      </c>
      <c r="D114" s="1692">
        <f t="shared" ref="D114:K114" si="13">SUM(D33,D74,D75,D102,D112,D113)</f>
        <v>1282702</v>
      </c>
      <c r="E114" s="1692">
        <f t="shared" si="13"/>
        <v>1046492</v>
      </c>
      <c r="F114" s="1692">
        <f t="shared" si="13"/>
        <v>835495</v>
      </c>
      <c r="G114" s="1692">
        <f t="shared" si="13"/>
        <v>210450</v>
      </c>
      <c r="H114" s="1692">
        <f>SUM(H33,H74,H75,H102,H112,H113)</f>
        <v>1055186</v>
      </c>
      <c r="I114" s="1692">
        <f t="shared" si="13"/>
        <v>0</v>
      </c>
      <c r="J114" s="1692">
        <f t="shared" si="13"/>
        <v>0</v>
      </c>
      <c r="K114" s="1692">
        <f t="shared" si="13"/>
        <v>16676678</v>
      </c>
      <c r="L114" s="1692">
        <f>SUM(L33,L74,L75,L102,L112,L113)</f>
        <v>16542871</v>
      </c>
    </row>
    <row r="115" spans="1:14" ht="13.5" thickTop="1" x14ac:dyDescent="0.2">
      <c r="A115" s="2199" t="s">
        <v>1053</v>
      </c>
      <c r="B115" s="2200"/>
      <c r="C115" s="619"/>
      <c r="D115" s="619"/>
      <c r="E115" s="619"/>
      <c r="F115" s="619"/>
      <c r="G115" s="619"/>
      <c r="H115" s="619"/>
      <c r="I115" s="619"/>
      <c r="J115" s="619"/>
      <c r="K115" s="1706">
        <f>'Revenues 9-14'!C275-'Expenditures 15-22'!K114</f>
        <v>133946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899999999999999"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628916</v>
      </c>
      <c r="D124" s="466">
        <v>76272</v>
      </c>
      <c r="E124" s="466">
        <v>162571</v>
      </c>
      <c r="F124" s="466">
        <v>359498</v>
      </c>
      <c r="G124" s="466">
        <v>24979</v>
      </c>
      <c r="H124" s="466"/>
      <c r="I124" s="467"/>
      <c r="J124" s="467"/>
      <c r="K124" s="1692">
        <f>SUM(C124:J124)</f>
        <v>1252236</v>
      </c>
      <c r="L124" s="466">
        <v>1086501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628916</v>
      </c>
      <c r="D127" s="1692">
        <f t="shared" ref="D127:L127" si="14">SUM(D122:D126)</f>
        <v>76272</v>
      </c>
      <c r="E127" s="1692">
        <f t="shared" si="14"/>
        <v>162571</v>
      </c>
      <c r="F127" s="1692">
        <f t="shared" si="14"/>
        <v>359498</v>
      </c>
      <c r="G127" s="1692">
        <f t="shared" si="14"/>
        <v>24979</v>
      </c>
      <c r="H127" s="1692">
        <f t="shared" si="14"/>
        <v>0</v>
      </c>
      <c r="I127" s="1692">
        <f t="shared" si="14"/>
        <v>0</v>
      </c>
      <c r="J127" s="1692">
        <f t="shared" si="14"/>
        <v>0</v>
      </c>
      <c r="K127" s="1692">
        <f t="shared" si="14"/>
        <v>1252236</v>
      </c>
      <c r="L127" s="1692">
        <f t="shared" si="14"/>
        <v>1086501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628916</v>
      </c>
      <c r="D129" s="1699">
        <f t="shared" ref="D129:L129" si="15">SUM(D120,D127,D128)</f>
        <v>76272</v>
      </c>
      <c r="E129" s="1699">
        <f t="shared" si="15"/>
        <v>162571</v>
      </c>
      <c r="F129" s="1699">
        <f t="shared" si="15"/>
        <v>359498</v>
      </c>
      <c r="G129" s="1699">
        <f t="shared" si="15"/>
        <v>24979</v>
      </c>
      <c r="H129" s="1699">
        <f t="shared" si="15"/>
        <v>0</v>
      </c>
      <c r="I129" s="1699">
        <f t="shared" si="15"/>
        <v>0</v>
      </c>
      <c r="J129" s="1699">
        <f t="shared" si="15"/>
        <v>0</v>
      </c>
      <c r="K129" s="1699">
        <f t="shared" si="15"/>
        <v>1252236</v>
      </c>
      <c r="L129" s="1699">
        <f t="shared" si="15"/>
        <v>1086501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628916</v>
      </c>
      <c r="D151" s="1692">
        <f t="shared" ref="D151:K151" si="16">SUM(D129,D130,D139,D149,D150)</f>
        <v>76272</v>
      </c>
      <c r="E151" s="1692">
        <f t="shared" si="16"/>
        <v>162571</v>
      </c>
      <c r="F151" s="1692">
        <f t="shared" si="16"/>
        <v>359498</v>
      </c>
      <c r="G151" s="1692">
        <f t="shared" si="16"/>
        <v>24979</v>
      </c>
      <c r="H151" s="1692">
        <f t="shared" si="16"/>
        <v>0</v>
      </c>
      <c r="I151" s="1692">
        <f t="shared" si="16"/>
        <v>0</v>
      </c>
      <c r="J151" s="1692">
        <f t="shared" si="16"/>
        <v>0</v>
      </c>
      <c r="K151" s="1692">
        <f t="shared" si="16"/>
        <v>1252236</v>
      </c>
      <c r="L151" s="1692">
        <f>SUM(L129,L130,L139,L149,L150)</f>
        <v>1086501</v>
      </c>
    </row>
    <row r="152" spans="1:14" ht="12.75" customHeight="1" thickTop="1" x14ac:dyDescent="0.2">
      <c r="A152" s="2192" t="s">
        <v>1240</v>
      </c>
      <c r="B152" s="2193"/>
      <c r="C152" s="619"/>
      <c r="D152" s="619"/>
      <c r="E152" s="619"/>
      <c r="F152" s="619"/>
      <c r="G152" s="619"/>
      <c r="H152" s="619"/>
      <c r="I152" s="619"/>
      <c r="J152" s="617"/>
      <c r="K152" s="1706">
        <f>'Revenues 9-14'!D275-'Expenditures 15-22'!K151</f>
        <v>-160221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899999999999999"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100250</v>
      </c>
      <c r="I169" s="617"/>
      <c r="J169" s="617"/>
      <c r="K169" s="1693">
        <f>SUM(C169:H169)</f>
        <v>100250</v>
      </c>
      <c r="L169" s="657">
        <v>100250</v>
      </c>
    </row>
    <row r="170" spans="1:14" ht="33.75" customHeight="1" x14ac:dyDescent="0.2">
      <c r="A170" s="670" t="s">
        <v>1769</v>
      </c>
      <c r="B170" s="672" t="s">
        <v>31</v>
      </c>
      <c r="C170" s="617"/>
      <c r="D170" s="617"/>
      <c r="E170" s="617"/>
      <c r="F170" s="617"/>
      <c r="G170" s="617"/>
      <c r="H170" s="569">
        <v>1480000</v>
      </c>
      <c r="I170" s="617"/>
      <c r="J170" s="617"/>
      <c r="K170" s="1693">
        <f>SUM(C170:J170)</f>
        <v>1480000</v>
      </c>
      <c r="L170" s="569">
        <v>1480000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1580750</v>
      </c>
      <c r="I172" s="639"/>
      <c r="J172" s="617"/>
      <c r="K172" s="1699">
        <f>SUM(K168,K169,K170,K171)</f>
        <v>1580750</v>
      </c>
      <c r="L172" s="1699">
        <f>SUM(L168,L169,L170,L171)</f>
        <v>1580750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1580750</v>
      </c>
      <c r="I174" s="639"/>
      <c r="J174" s="617"/>
      <c r="K174" s="1699">
        <f>SUM(K160,K172,K173)</f>
        <v>1580750</v>
      </c>
      <c r="L174" s="1699">
        <f>SUM(L160,L172,L173)</f>
        <v>1580750</v>
      </c>
    </row>
    <row r="175" spans="1:14" ht="13.5" thickTop="1" x14ac:dyDescent="0.2">
      <c r="A175" s="2199" t="s">
        <v>1053</v>
      </c>
      <c r="B175" s="2200"/>
      <c r="C175" s="617"/>
      <c r="D175" s="617"/>
      <c r="E175" s="617"/>
      <c r="F175" s="617"/>
      <c r="G175" s="617"/>
      <c r="H175" s="619"/>
      <c r="I175" s="617"/>
      <c r="J175" s="617"/>
      <c r="K175" s="1706">
        <f>'Revenues 9-14'!E275-'Expenditures 15-22'!K174</f>
        <v>-58852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899999999999999"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722156</v>
      </c>
      <c r="D182" s="466">
        <v>87536</v>
      </c>
      <c r="E182" s="466">
        <v>280208</v>
      </c>
      <c r="F182" s="466">
        <v>154290</v>
      </c>
      <c r="G182" s="466">
        <v>146509</v>
      </c>
      <c r="H182" s="466">
        <v>2341</v>
      </c>
      <c r="I182" s="467">
        <v>129942</v>
      </c>
      <c r="J182" s="467"/>
      <c r="K182" s="1693">
        <f>SUM(C182:J182)</f>
        <v>1522982</v>
      </c>
      <c r="L182" s="466">
        <v>1627757</v>
      </c>
    </row>
    <row r="183" spans="1:14" ht="12.75" customHeight="1" thickBot="1" x14ac:dyDescent="0.25">
      <c r="A183" s="1531" t="s">
        <v>1037</v>
      </c>
      <c r="B183" s="678">
        <v>2900</v>
      </c>
      <c r="C183" s="573"/>
      <c r="D183" s="573"/>
      <c r="E183" s="573"/>
      <c r="F183" s="573"/>
      <c r="G183" s="573"/>
      <c r="H183" s="573"/>
      <c r="I183" s="532"/>
      <c r="J183" s="532"/>
      <c r="K183" s="1699">
        <f>SUM(C183:J183)</f>
        <v>0</v>
      </c>
      <c r="L183" s="573">
        <v>2500</v>
      </c>
    </row>
    <row r="184" spans="1:14" ht="12.75" customHeight="1" thickTop="1" thickBot="1" x14ac:dyDescent="0.25">
      <c r="A184" s="1713" t="s">
        <v>865</v>
      </c>
      <c r="B184" s="1691" t="s">
        <v>590</v>
      </c>
      <c r="C184" s="1699">
        <f>SUM(C180,C182,C183)</f>
        <v>722156</v>
      </c>
      <c r="D184" s="1699">
        <f t="shared" ref="D184:J184" si="17">SUM(D180,D182,D183)</f>
        <v>87536</v>
      </c>
      <c r="E184" s="1699">
        <f t="shared" si="17"/>
        <v>280208</v>
      </c>
      <c r="F184" s="1699">
        <f t="shared" si="17"/>
        <v>154290</v>
      </c>
      <c r="G184" s="1699">
        <f t="shared" si="17"/>
        <v>146509</v>
      </c>
      <c r="H184" s="1699">
        <f t="shared" si="17"/>
        <v>2341</v>
      </c>
      <c r="I184" s="1699">
        <f t="shared" si="17"/>
        <v>129942</v>
      </c>
      <c r="J184" s="1699">
        <f t="shared" si="17"/>
        <v>0</v>
      </c>
      <c r="K184" s="1699">
        <f>SUM(K180,K182,K183)</f>
        <v>1522982</v>
      </c>
      <c r="L184" s="1699">
        <f>SUM(L180, L182:L183)</f>
        <v>1630257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722156</v>
      </c>
      <c r="D210" s="1692">
        <f>SUM(D184,D185)</f>
        <v>87536</v>
      </c>
      <c r="E210" s="1692">
        <f>SUM(E184,E185,E196)</f>
        <v>280208</v>
      </c>
      <c r="F210" s="1692">
        <f>SUM(F184,F185)</f>
        <v>154290</v>
      </c>
      <c r="G210" s="1692">
        <f>SUM(G184,G185)</f>
        <v>146509</v>
      </c>
      <c r="H210" s="1692">
        <f>SUM(H184,H185,H196,H208,H209)</f>
        <v>2341</v>
      </c>
      <c r="I210" s="1692">
        <f>SUM(I184,I185)</f>
        <v>129942</v>
      </c>
      <c r="J210" s="1692">
        <f>SUM(J184,J185)</f>
        <v>0</v>
      </c>
      <c r="K210" s="1693">
        <f>SUM(K184,K185,K196,K208,K209)</f>
        <v>1522982</v>
      </c>
      <c r="L210" s="1692">
        <f>SUM(L184,L185,L196,L208,L209)</f>
        <v>1630257</v>
      </c>
    </row>
    <row r="211" spans="1:14" ht="13.5" thickTop="1" x14ac:dyDescent="0.2">
      <c r="A211" s="2199" t="s">
        <v>1053</v>
      </c>
      <c r="B211" s="2200"/>
      <c r="C211" s="619"/>
      <c r="D211" s="619"/>
      <c r="E211" s="619"/>
      <c r="F211" s="619"/>
      <c r="G211" s="619"/>
      <c r="H211" s="619"/>
      <c r="I211" s="617"/>
      <c r="J211" s="617"/>
      <c r="K211" s="1706">
        <f>'Revenues 9-14'!F275-'Expenditures 15-22'!K210</f>
        <v>-82777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899999999999999"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84965</v>
      </c>
      <c r="E215" s="617"/>
      <c r="F215" s="617"/>
      <c r="G215" s="617"/>
      <c r="H215" s="617"/>
      <c r="I215" s="617"/>
      <c r="J215" s="617"/>
      <c r="K215" s="1693">
        <f>D215</f>
        <v>84965</v>
      </c>
      <c r="L215" s="466">
        <v>89366</v>
      </c>
    </row>
    <row r="216" spans="1:14" x14ac:dyDescent="0.2">
      <c r="A216" s="1526" t="s">
        <v>165</v>
      </c>
      <c r="B216" s="615" t="s">
        <v>1024</v>
      </c>
      <c r="C216" s="617"/>
      <c r="D216" s="467">
        <v>14650</v>
      </c>
      <c r="E216" s="617"/>
      <c r="F216" s="617"/>
      <c r="G216" s="617"/>
      <c r="H216" s="617"/>
      <c r="I216" s="617"/>
      <c r="J216" s="617"/>
      <c r="K216" s="1693">
        <f t="shared" ref="K216:K228" si="19">D216</f>
        <v>14650</v>
      </c>
      <c r="L216" s="466"/>
    </row>
    <row r="217" spans="1:14" x14ac:dyDescent="0.2">
      <c r="A217" s="1526" t="s">
        <v>166</v>
      </c>
      <c r="B217" s="615">
        <v>1200</v>
      </c>
      <c r="C217" s="617"/>
      <c r="D217" s="466">
        <v>152491</v>
      </c>
      <c r="E217" s="617"/>
      <c r="F217" s="617"/>
      <c r="G217" s="617"/>
      <c r="H217" s="617"/>
      <c r="I217" s="617"/>
      <c r="J217" s="617"/>
      <c r="K217" s="1693">
        <f t="shared" si="19"/>
        <v>152491</v>
      </c>
      <c r="L217" s="466">
        <v>166844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1153</v>
      </c>
      <c r="E219" s="617"/>
      <c r="F219" s="617"/>
      <c r="G219" s="617"/>
      <c r="H219" s="617"/>
      <c r="I219" s="617"/>
      <c r="J219" s="617"/>
      <c r="K219" s="1693">
        <f t="shared" si="19"/>
        <v>1153</v>
      </c>
      <c r="L219" s="466">
        <v>1025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8835</v>
      </c>
      <c r="E222" s="617"/>
      <c r="F222" s="617"/>
      <c r="G222" s="617"/>
      <c r="H222" s="617"/>
      <c r="I222" s="617"/>
      <c r="J222" s="617"/>
      <c r="K222" s="1693">
        <f t="shared" si="19"/>
        <v>8835</v>
      </c>
      <c r="L222" s="466">
        <v>10248</v>
      </c>
    </row>
    <row r="223" spans="1:14" x14ac:dyDescent="0.2">
      <c r="A223" s="1526" t="s">
        <v>1020</v>
      </c>
      <c r="B223" s="615">
        <v>1500</v>
      </c>
      <c r="C223" s="617"/>
      <c r="D223" s="466">
        <v>11715</v>
      </c>
      <c r="E223" s="617"/>
      <c r="F223" s="617"/>
      <c r="G223" s="617"/>
      <c r="H223" s="617"/>
      <c r="I223" s="617"/>
      <c r="J223" s="617"/>
      <c r="K223" s="1693">
        <f t="shared" si="19"/>
        <v>11715</v>
      </c>
      <c r="L223" s="466">
        <v>12708</v>
      </c>
    </row>
    <row r="224" spans="1:14" x14ac:dyDescent="0.2">
      <c r="A224" s="1526" t="s">
        <v>1021</v>
      </c>
      <c r="B224" s="615">
        <v>1600</v>
      </c>
      <c r="C224" s="617"/>
      <c r="D224" s="466">
        <v>193</v>
      </c>
      <c r="E224" s="617"/>
      <c r="F224" s="617"/>
      <c r="G224" s="617"/>
      <c r="H224" s="617"/>
      <c r="I224" s="617"/>
      <c r="J224" s="617"/>
      <c r="K224" s="1693">
        <f t="shared" si="19"/>
        <v>193</v>
      </c>
      <c r="L224" s="466">
        <v>564</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274002</v>
      </c>
      <c r="E229" s="617"/>
      <c r="F229" s="617"/>
      <c r="G229" s="617"/>
      <c r="H229" s="617"/>
      <c r="I229" s="617"/>
      <c r="J229" s="617"/>
      <c r="K229" s="1692">
        <f>SUM(K215:K228)</f>
        <v>274002</v>
      </c>
      <c r="L229" s="1692">
        <f>SUM(L215:L228)</f>
        <v>280755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5884</v>
      </c>
      <c r="E233" s="617"/>
      <c r="F233" s="617"/>
      <c r="G233" s="617"/>
      <c r="H233" s="617"/>
      <c r="I233" s="617"/>
      <c r="J233" s="617"/>
      <c r="K233" s="1693">
        <f t="shared" si="20"/>
        <v>5884</v>
      </c>
      <c r="L233" s="466">
        <v>6559</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2017</v>
      </c>
      <c r="E236" s="617"/>
      <c r="F236" s="617"/>
      <c r="G236" s="617"/>
      <c r="H236" s="617"/>
      <c r="I236" s="617"/>
      <c r="J236" s="617"/>
      <c r="K236" s="1693">
        <f t="shared" si="20"/>
        <v>2017</v>
      </c>
      <c r="L236" s="466">
        <v>3587</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7901</v>
      </c>
      <c r="E238" s="617"/>
      <c r="F238" s="617"/>
      <c r="G238" s="617"/>
      <c r="H238" s="617"/>
      <c r="I238" s="617"/>
      <c r="J238" s="617"/>
      <c r="K238" s="1692">
        <f>SUM(K232:K237)</f>
        <v>7901</v>
      </c>
      <c r="L238" s="1692">
        <f>SUM(L232:L237)</f>
        <v>10146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24711</v>
      </c>
      <c r="E240" s="617"/>
      <c r="F240" s="617"/>
      <c r="G240" s="617"/>
      <c r="H240" s="617"/>
      <c r="I240" s="617"/>
      <c r="J240" s="617"/>
      <c r="K240" s="1694">
        <f>D240</f>
        <v>24711</v>
      </c>
      <c r="L240" s="481">
        <v>22700</v>
      </c>
    </row>
    <row r="241" spans="1:12" x14ac:dyDescent="0.2">
      <c r="A241" s="1526" t="s">
        <v>869</v>
      </c>
      <c r="B241" s="615">
        <v>2220</v>
      </c>
      <c r="C241" s="617"/>
      <c r="D241" s="466">
        <v>7728</v>
      </c>
      <c r="E241" s="617"/>
      <c r="F241" s="617"/>
      <c r="G241" s="617"/>
      <c r="H241" s="617"/>
      <c r="I241" s="617"/>
      <c r="J241" s="617"/>
      <c r="K241" s="1694">
        <f>D241</f>
        <v>7728</v>
      </c>
      <c r="L241" s="466">
        <v>11786</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32439</v>
      </c>
      <c r="E243" s="617"/>
      <c r="F243" s="617"/>
      <c r="G243" s="617"/>
      <c r="H243" s="617"/>
      <c r="I243" s="617"/>
      <c r="J243" s="617"/>
      <c r="K243" s="1692">
        <f>SUM(K240:K242)</f>
        <v>32439</v>
      </c>
      <c r="L243" s="1692">
        <f>SUM(L240:L242)</f>
        <v>34486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1614</v>
      </c>
      <c r="E246" s="617"/>
      <c r="F246" s="617"/>
      <c r="G246" s="617"/>
      <c r="H246" s="617"/>
      <c r="I246" s="617"/>
      <c r="J246" s="617"/>
      <c r="K246" s="1694">
        <f t="shared" ref="K246:K256" si="21">D246</f>
        <v>1614</v>
      </c>
      <c r="L246" s="466">
        <v>1537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1614</v>
      </c>
      <c r="E257" s="617"/>
      <c r="F257" s="617"/>
      <c r="G257" s="617"/>
      <c r="H257" s="617"/>
      <c r="I257" s="617"/>
      <c r="J257" s="617"/>
      <c r="K257" s="1692">
        <f>SUM(K245:K256)</f>
        <v>1614</v>
      </c>
      <c r="L257" s="1692">
        <f>SUM(L245:L256)</f>
        <v>1537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55764</v>
      </c>
      <c r="E259" s="617"/>
      <c r="F259" s="617"/>
      <c r="G259" s="617"/>
      <c r="H259" s="617"/>
      <c r="I259" s="617"/>
      <c r="J259" s="617"/>
      <c r="K259" s="1694">
        <f>D259</f>
        <v>55764</v>
      </c>
      <c r="L259" s="481">
        <v>64667</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55764</v>
      </c>
      <c r="E261" s="617"/>
      <c r="F261" s="617"/>
      <c r="G261" s="617"/>
      <c r="H261" s="617"/>
      <c r="I261" s="617"/>
      <c r="J261" s="617"/>
      <c r="K261" s="1692">
        <f>SUM(K259:K260)</f>
        <v>55764</v>
      </c>
      <c r="L261" s="1692">
        <f>SUM(L259:L260)</f>
        <v>64667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30017</v>
      </c>
      <c r="E264" s="617"/>
      <c r="F264" s="617"/>
      <c r="G264" s="617"/>
      <c r="H264" s="617"/>
      <c r="I264" s="617"/>
      <c r="J264" s="617"/>
      <c r="K264" s="1694">
        <f t="shared" ref="K264:K269" si="22">D264</f>
        <v>30017</v>
      </c>
      <c r="L264" s="466">
        <v>41506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119937</v>
      </c>
      <c r="E266" s="617"/>
      <c r="F266" s="617"/>
      <c r="G266" s="617"/>
      <c r="H266" s="617"/>
      <c r="I266" s="617"/>
      <c r="J266" s="617"/>
      <c r="K266" s="1694">
        <f t="shared" si="22"/>
        <v>119937</v>
      </c>
      <c r="L266" s="466">
        <v>124416</v>
      </c>
    </row>
    <row r="267" spans="1:14" x14ac:dyDescent="0.2">
      <c r="A267" s="1526" t="s">
        <v>1010</v>
      </c>
      <c r="B267" s="615">
        <v>2550</v>
      </c>
      <c r="C267" s="617"/>
      <c r="D267" s="466">
        <v>124983</v>
      </c>
      <c r="E267" s="617"/>
      <c r="F267" s="617"/>
      <c r="G267" s="617"/>
      <c r="H267" s="617"/>
      <c r="I267" s="617"/>
      <c r="J267" s="617"/>
      <c r="K267" s="1694">
        <f t="shared" si="22"/>
        <v>124983</v>
      </c>
      <c r="L267" s="466">
        <v>119906</v>
      </c>
    </row>
    <row r="268" spans="1:14" x14ac:dyDescent="0.2">
      <c r="A268" s="1526" t="s">
        <v>102</v>
      </c>
      <c r="B268" s="615">
        <v>2560</v>
      </c>
      <c r="C268" s="617"/>
      <c r="D268" s="466">
        <v>66192</v>
      </c>
      <c r="E268" s="617"/>
      <c r="F268" s="617"/>
      <c r="G268" s="617"/>
      <c r="H268" s="617"/>
      <c r="I268" s="617"/>
      <c r="J268" s="617"/>
      <c r="K268" s="1694">
        <f t="shared" si="22"/>
        <v>66192</v>
      </c>
      <c r="L268" s="466">
        <v>69894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341129</v>
      </c>
      <c r="E270" s="617"/>
      <c r="F270" s="617"/>
      <c r="G270" s="617"/>
      <c r="H270" s="617"/>
      <c r="I270" s="617"/>
      <c r="J270" s="617"/>
      <c r="K270" s="1692">
        <f>SUM(K263:K269)</f>
        <v>341129</v>
      </c>
      <c r="L270" s="1692">
        <f>SUM(L263:L269)</f>
        <v>355722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438847</v>
      </c>
      <c r="E279" s="617"/>
      <c r="F279" s="617"/>
      <c r="G279" s="617"/>
      <c r="H279" s="617"/>
      <c r="I279" s="617"/>
      <c r="J279" s="617"/>
      <c r="K279" s="1699">
        <f>SUM(K238,K243,K257,K261,K270,K277,K278)</f>
        <v>438847</v>
      </c>
      <c r="L279" s="1699">
        <f>SUM(L238,L243,L257,L261,L270,L277,L278)</f>
        <v>466558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712849</v>
      </c>
      <c r="E295" s="617"/>
      <c r="F295" s="617"/>
      <c r="G295" s="617"/>
      <c r="H295" s="1692">
        <f>H293</f>
        <v>0</v>
      </c>
      <c r="I295" s="617"/>
      <c r="J295" s="617"/>
      <c r="K295" s="1692">
        <f>SUM(K229,K279,K280,K285,K293,K294)</f>
        <v>712849</v>
      </c>
      <c r="L295" s="1692">
        <f>SUM(L229,L279,L280,L285,L293,L294)</f>
        <v>747313</v>
      </c>
    </row>
    <row r="296" spans="1:14" ht="13.5" thickTop="1" x14ac:dyDescent="0.2">
      <c r="A296" s="2199" t="s">
        <v>1053</v>
      </c>
      <c r="B296" s="2200"/>
      <c r="C296" s="617"/>
      <c r="D296" s="619"/>
      <c r="E296" s="617"/>
      <c r="F296" s="617"/>
      <c r="G296" s="617"/>
      <c r="H296" s="688"/>
      <c r="I296" s="617"/>
      <c r="J296" s="617"/>
      <c r="K296" s="1706">
        <f>'Revenues 9-14'!G275-'Expenditures 15-22'!K295</f>
        <v>120364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899999999999999"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299439</v>
      </c>
      <c r="F301" s="466"/>
      <c r="G301" s="466">
        <v>116788</v>
      </c>
      <c r="H301" s="466"/>
      <c r="I301" s="467"/>
      <c r="J301" s="467"/>
      <c r="K301" s="1693">
        <f>SUM(C301:J301)</f>
        <v>416227</v>
      </c>
      <c r="L301" s="467">
        <v>705000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299439</v>
      </c>
      <c r="F303" s="1699">
        <f t="shared" si="23"/>
        <v>0</v>
      </c>
      <c r="G303" s="1699">
        <f t="shared" si="23"/>
        <v>116788</v>
      </c>
      <c r="H303" s="1699">
        <f t="shared" si="23"/>
        <v>0</v>
      </c>
      <c r="I303" s="1699">
        <f t="shared" si="23"/>
        <v>0</v>
      </c>
      <c r="J303" s="1699">
        <f t="shared" si="23"/>
        <v>0</v>
      </c>
      <c r="K303" s="1699">
        <f t="shared" si="23"/>
        <v>416227</v>
      </c>
      <c r="L303" s="1699">
        <f t="shared" si="23"/>
        <v>705000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299439</v>
      </c>
      <c r="F312" s="1692">
        <f>SUM(F303)</f>
        <v>0</v>
      </c>
      <c r="G312" s="1692">
        <f>SUM(G303)</f>
        <v>116788</v>
      </c>
      <c r="H312" s="1692">
        <f>SUM(H303,H310)</f>
        <v>0</v>
      </c>
      <c r="I312" s="1692">
        <f>SUM(I303)</f>
        <v>0</v>
      </c>
      <c r="J312" s="1692">
        <f>SUM(J303)</f>
        <v>0</v>
      </c>
      <c r="K312" s="1692">
        <f>SUM(K303,K310,K311)</f>
        <v>416227</v>
      </c>
      <c r="L312" s="1692">
        <f>SUM(L303,L310,L311)</f>
        <v>705000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329944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899999999999999"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899999999999999"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156348</v>
      </c>
      <c r="F320" s="467"/>
      <c r="G320" s="467"/>
      <c r="H320" s="467"/>
      <c r="I320" s="467"/>
      <c r="J320" s="467"/>
      <c r="K320" s="1693">
        <f t="shared" ref="K320:K327" si="24">SUM(C320:J320)</f>
        <v>156348</v>
      </c>
      <c r="L320" s="467"/>
      <c r="M320" s="666"/>
      <c r="N320" s="666"/>
    </row>
    <row r="321" spans="1:14" s="675" customFormat="1" x14ac:dyDescent="0.2">
      <c r="A321" s="1541" t="s">
        <v>318</v>
      </c>
      <c r="B321" s="698" t="s">
        <v>301</v>
      </c>
      <c r="C321" s="467"/>
      <c r="D321" s="467"/>
      <c r="E321" s="467">
        <v>1178</v>
      </c>
      <c r="F321" s="467"/>
      <c r="G321" s="467"/>
      <c r="H321" s="467"/>
      <c r="I321" s="467"/>
      <c r="J321" s="467"/>
      <c r="K321" s="1693">
        <f t="shared" si="24"/>
        <v>1178</v>
      </c>
      <c r="L321" s="467"/>
      <c r="M321" s="666"/>
      <c r="N321" s="666"/>
    </row>
    <row r="322" spans="1:14" s="675" customFormat="1" x14ac:dyDescent="0.2">
      <c r="A322" s="1541" t="s">
        <v>256</v>
      </c>
      <c r="B322" s="698" t="s">
        <v>302</v>
      </c>
      <c r="C322" s="467"/>
      <c r="D322" s="467"/>
      <c r="E322" s="467">
        <v>58902</v>
      </c>
      <c r="F322" s="467"/>
      <c r="G322" s="467"/>
      <c r="H322" s="467"/>
      <c r="I322" s="467"/>
      <c r="J322" s="467"/>
      <c r="K322" s="1693">
        <f t="shared" si="24"/>
        <v>58902</v>
      </c>
      <c r="L322" s="467">
        <v>344000</v>
      </c>
      <c r="M322" s="666"/>
      <c r="N322" s="666"/>
    </row>
    <row r="323" spans="1:14" s="675" customFormat="1" x14ac:dyDescent="0.2">
      <c r="A323" s="1541" t="s">
        <v>726</v>
      </c>
      <c r="B323" s="698" t="s">
        <v>303</v>
      </c>
      <c r="C323" s="467"/>
      <c r="D323" s="467"/>
      <c r="E323" s="467">
        <v>4799</v>
      </c>
      <c r="F323" s="467"/>
      <c r="G323" s="467"/>
      <c r="H323" s="467"/>
      <c r="I323" s="467"/>
      <c r="J323" s="467"/>
      <c r="K323" s="1693">
        <f t="shared" si="24"/>
        <v>4799</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159322</v>
      </c>
      <c r="F325" s="467"/>
      <c r="G325" s="467"/>
      <c r="H325" s="467"/>
      <c r="I325" s="467"/>
      <c r="J325" s="467"/>
      <c r="K325" s="1693">
        <f t="shared" si="24"/>
        <v>159322</v>
      </c>
      <c r="L325" s="467">
        <v>426548</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9292</v>
      </c>
      <c r="F327" s="467"/>
      <c r="G327" s="467"/>
      <c r="H327" s="467"/>
      <c r="I327" s="467"/>
      <c r="J327" s="467"/>
      <c r="K327" s="1693">
        <f t="shared" si="24"/>
        <v>9292</v>
      </c>
      <c r="L327" s="467">
        <v>10400</v>
      </c>
      <c r="M327" s="666"/>
      <c r="N327" s="666"/>
    </row>
    <row r="328" spans="1:14" s="675" customFormat="1" x14ac:dyDescent="0.2">
      <c r="A328" s="1542" t="s">
        <v>492</v>
      </c>
      <c r="B328" s="691" t="s">
        <v>1194</v>
      </c>
      <c r="C328" s="474"/>
      <c r="D328" s="474"/>
      <c r="E328" s="474">
        <v>60901</v>
      </c>
      <c r="F328" s="474"/>
      <c r="G328" s="474"/>
      <c r="H328" s="474"/>
      <c r="I328" s="474"/>
      <c r="J328" s="474"/>
      <c r="K328" s="1721">
        <f>SUM(C328:J328)</f>
        <v>60901</v>
      </c>
      <c r="L328" s="474"/>
      <c r="M328" s="666"/>
      <c r="N328" s="666"/>
    </row>
    <row r="329" spans="1:14" s="675" customFormat="1" x14ac:dyDescent="0.2">
      <c r="A329" s="1542" t="s">
        <v>1195</v>
      </c>
      <c r="B329" s="691" t="s">
        <v>1196</v>
      </c>
      <c r="C329" s="474"/>
      <c r="D329" s="474"/>
      <c r="E329" s="474">
        <v>32419</v>
      </c>
      <c r="F329" s="474"/>
      <c r="G329" s="474"/>
      <c r="H329" s="474"/>
      <c r="I329" s="474"/>
      <c r="J329" s="474"/>
      <c r="K329" s="1721">
        <f>SUM(C329:J329)</f>
        <v>32419</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483161</v>
      </c>
      <c r="F330" s="1692">
        <f t="shared" si="25"/>
        <v>0</v>
      </c>
      <c r="G330" s="1692">
        <f t="shared" si="25"/>
        <v>0</v>
      </c>
      <c r="H330" s="1692">
        <f t="shared" si="25"/>
        <v>0</v>
      </c>
      <c r="I330" s="1692">
        <f t="shared" si="25"/>
        <v>0</v>
      </c>
      <c r="J330" s="1692">
        <f t="shared" si="25"/>
        <v>0</v>
      </c>
      <c r="K330" s="1692">
        <f>SUM(K319:K329)</f>
        <v>483161</v>
      </c>
      <c r="L330" s="1692">
        <f>SUM(L319:L329)</f>
        <v>780948</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483161</v>
      </c>
      <c r="F342" s="1692">
        <f>SUM(F330)</f>
        <v>0</v>
      </c>
      <c r="G342" s="1692">
        <f>SUM(G330)</f>
        <v>0</v>
      </c>
      <c r="H342" s="1692">
        <f>SUM(H330,H334,H340)</f>
        <v>0</v>
      </c>
      <c r="I342" s="1692">
        <f>SUM(I330)</f>
        <v>0</v>
      </c>
      <c r="J342" s="1692">
        <f>SUM(J330)</f>
        <v>0</v>
      </c>
      <c r="K342" s="1692">
        <f>SUM(K330,K334,K340)</f>
        <v>483161</v>
      </c>
      <c r="L342" s="1699">
        <f>SUM(L330,L340,L341)</f>
        <v>780948</v>
      </c>
    </row>
    <row r="343" spans="1:14" ht="12.75" customHeight="1" thickTop="1" x14ac:dyDescent="0.2">
      <c r="A343" s="2185" t="s">
        <v>1053</v>
      </c>
      <c r="B343" s="2186"/>
      <c r="C343" s="617"/>
      <c r="D343" s="617"/>
      <c r="E343" s="617"/>
      <c r="F343" s="617"/>
      <c r="G343" s="617"/>
      <c r="H343" s="617"/>
      <c r="I343" s="617"/>
      <c r="J343" s="617"/>
      <c r="K343" s="1706">
        <f>'Revenues 9-14'!J275-'Expenditures 15-22'!K342</f>
        <v>245376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899999999999999"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11175</v>
      </c>
      <c r="F348" s="466">
        <v>3273</v>
      </c>
      <c r="G348" s="466"/>
      <c r="H348" s="466"/>
      <c r="I348" s="467"/>
      <c r="J348" s="467"/>
      <c r="K348" s="1693">
        <f>SUM(C348:J348)</f>
        <v>14448</v>
      </c>
      <c r="L348" s="466">
        <v>160000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11175</v>
      </c>
      <c r="F350" s="1692">
        <f t="shared" si="26"/>
        <v>3273</v>
      </c>
      <c r="G350" s="1692">
        <f t="shared" si="26"/>
        <v>0</v>
      </c>
      <c r="H350" s="1692">
        <f t="shared" si="26"/>
        <v>0</v>
      </c>
      <c r="I350" s="1692">
        <f t="shared" si="26"/>
        <v>0</v>
      </c>
      <c r="J350" s="1692">
        <f t="shared" si="26"/>
        <v>0</v>
      </c>
      <c r="K350" s="1692">
        <f t="shared" si="26"/>
        <v>14448</v>
      </c>
      <c r="L350" s="1692">
        <f t="shared" si="26"/>
        <v>160000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11175</v>
      </c>
      <c r="F352" s="1692">
        <f t="shared" si="27"/>
        <v>3273</v>
      </c>
      <c r="G352" s="1692">
        <f t="shared" si="27"/>
        <v>0</v>
      </c>
      <c r="H352" s="1692">
        <f t="shared" si="27"/>
        <v>0</v>
      </c>
      <c r="I352" s="1692">
        <f t="shared" si="27"/>
        <v>0</v>
      </c>
      <c r="J352" s="1692">
        <f t="shared" si="27"/>
        <v>0</v>
      </c>
      <c r="K352" s="1692">
        <f t="shared" si="27"/>
        <v>14448</v>
      </c>
      <c r="L352" s="1692">
        <f t="shared" si="27"/>
        <v>160000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11175</v>
      </c>
      <c r="F367" s="1692">
        <f t="shared" si="28"/>
        <v>3273</v>
      </c>
      <c r="G367" s="1692">
        <f t="shared" si="28"/>
        <v>0</v>
      </c>
      <c r="H367" s="1692">
        <f t="shared" si="28"/>
        <v>0</v>
      </c>
      <c r="I367" s="1692">
        <f t="shared" si="28"/>
        <v>0</v>
      </c>
      <c r="J367" s="1692">
        <f t="shared" si="28"/>
        <v>0</v>
      </c>
      <c r="K367" s="1692">
        <f t="shared" si="28"/>
        <v>14448</v>
      </c>
      <c r="L367" s="1692">
        <f t="shared" si="28"/>
        <v>160000</v>
      </c>
    </row>
    <row r="368" spans="1:14" ht="13.5" thickTop="1" x14ac:dyDescent="0.2">
      <c r="A368" s="2199" t="s">
        <v>1053</v>
      </c>
      <c r="B368" s="2200"/>
      <c r="C368" s="655"/>
      <c r="D368" s="655"/>
      <c r="E368" s="627"/>
      <c r="F368" s="627"/>
      <c r="G368" s="627"/>
      <c r="H368" s="627"/>
      <c r="I368" s="627"/>
      <c r="J368" s="624"/>
      <c r="K368" s="1693">
        <f>'Revenues 9-14'!K275-'Expenditures 15-22'!K367</f>
        <v>95749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http://purl.org/dc/dcmitype/"/>
    <ds:schemaRef ds:uri="http://www.w3.org/XML/1998/namespace"/>
    <ds:schemaRef ds:uri="http://schemas.microsoft.com/office/infopath/2007/PartnerControls"/>
    <ds:schemaRef ds:uri="http://schemas.microsoft.com/sharepoint/v3"/>
    <ds:schemaRef ds:uri="http://purl.org/dc/elements/1.1/"/>
    <ds:schemaRef ds:uri="http://schemas.openxmlformats.org/package/2006/metadata/core-properties"/>
    <ds:schemaRef ds:uri="http://schemas.microsoft.com/office/2006/metadata/properties"/>
    <ds:schemaRef ds:uri="6ce3111e-7420-4802-b50a-75d4e9a0b980"/>
    <ds:schemaRef ds:uri="http://schemas.microsoft.com/office/2006/documentManagement/type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2018-10-05T15:18:03Z</cp:lastPrinted>
  <dcterms:created xsi:type="dcterms:W3CDTF">2003-10-29T19:06:34Z</dcterms:created>
  <dcterms:modified xsi:type="dcterms:W3CDTF">2018-10-12T16:09:20Z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