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6500" windowHeight="110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31'!$A$1:$K$43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 i="3" l="1"/>
  <c r="E322" i="29" l="1"/>
  <c r="D237" i="29"/>
  <c r="K4" i="3"/>
  <c r="I4" i="3"/>
  <c r="H4" i="3"/>
  <c r="F4" i="3"/>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c r="B6630" i="106"/>
  <c r="D6630" i="106" s="1"/>
  <c r="B6631" i="106"/>
  <c r="D6631" i="106" s="1"/>
  <c r="B6632" i="106"/>
  <c r="D6632" i="106" s="1"/>
  <c r="B6633" i="106"/>
  <c r="D6633" i="106" s="1"/>
  <c r="B6634" i="106"/>
  <c r="D6634" i="106" s="1"/>
  <c r="B6635" i="106"/>
  <c r="D6635" i="106" s="1"/>
  <c r="B6636" i="106"/>
  <c r="D6636" i="106" s="1"/>
  <c r="B6637" i="106"/>
  <c r="D6637" i="106"/>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c r="B6694" i="106"/>
  <c r="D6694" i="106" s="1"/>
  <c r="B6695" i="106"/>
  <c r="D6695" i="106"/>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E29" i="108"/>
  <c r="G29"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28" i="118"/>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H173" i="5"/>
  <c r="B5906" i="106" s="1"/>
  <c r="D5906" i="106" s="1"/>
  <c r="D17" i="7"/>
  <c r="B4104" i="106" s="1"/>
  <c r="D4104" i="106" s="1"/>
  <c r="D11" i="37" l="1"/>
  <c r="L367" i="29"/>
  <c r="H29" i="118"/>
  <c r="K28" i="118" s="1"/>
  <c r="O27" i="118" s="1"/>
  <c r="O29" i="118" s="1"/>
  <c r="F172" i="5"/>
  <c r="B5644" i="106" s="1"/>
  <c r="D5644" i="106" s="1"/>
  <c r="J352" i="29"/>
  <c r="J367" i="29" s="1"/>
  <c r="B7245" i="106" s="1"/>
  <c r="D7245" i="106" s="1"/>
  <c r="K24" i="12"/>
  <c r="B7733" i="106" s="1"/>
  <c r="D7733" i="106" s="1"/>
  <c r="D7" i="7"/>
  <c r="B1763" i="106" s="1"/>
  <c r="D1763" i="106" s="1"/>
  <c r="F127" i="34"/>
  <c r="G5" i="4"/>
  <c r="B3409" i="106" s="1"/>
  <c r="D3409" i="106" s="1"/>
  <c r="K274" i="5"/>
  <c r="D31" i="36"/>
  <c r="F28" i="108"/>
  <c r="G30" i="108"/>
  <c r="E30" i="108"/>
  <c r="D12" i="7"/>
  <c r="B1769" i="106" s="1"/>
  <c r="D1769" i="106" s="1"/>
  <c r="B5096" i="106"/>
  <c r="D5096" i="106" s="1"/>
  <c r="H6" i="4"/>
  <c r="B2656" i="106" s="1"/>
  <c r="D2656" i="106" s="1"/>
  <c r="D22" i="37"/>
  <c r="F35" i="34"/>
  <c r="D37" i="108"/>
  <c r="F37" i="108"/>
  <c r="E28" i="108"/>
  <c r="D26" i="108"/>
  <c r="F77" i="4"/>
  <c r="B3255" i="106" s="1"/>
  <c r="D3255" i="106" s="1"/>
  <c r="K184" i="29"/>
  <c r="F13" i="4" s="1"/>
  <c r="B2596" i="106" s="1"/>
  <c r="D2596" i="106" s="1"/>
  <c r="E174" i="29"/>
  <c r="B1309" i="106" s="1"/>
  <c r="D1309" i="106" s="1"/>
  <c r="F106" i="34"/>
  <c r="F14" i="4"/>
  <c r="B2597" i="106" s="1"/>
  <c r="D2597" i="106" s="1"/>
  <c r="B4373" i="106"/>
  <c r="D4373" i="106" s="1"/>
  <c r="K173" i="5"/>
  <c r="K6" i="4" s="1"/>
  <c r="B3570" i="106" s="1"/>
  <c r="D3570" i="106" s="1"/>
  <c r="H109" i="5"/>
  <c r="B6025" i="106" s="1"/>
  <c r="D6025" i="106" s="1"/>
  <c r="F62" i="34"/>
  <c r="F49" i="34"/>
  <c r="F41" i="34"/>
  <c r="G39" i="108"/>
  <c r="B7047" i="106"/>
  <c r="D7047" i="106" s="1"/>
  <c r="L15" i="11"/>
  <c r="B3459" i="106" s="1"/>
  <c r="D3459" i="106" s="1"/>
  <c r="B1223" i="106"/>
  <c r="D1223" i="106" s="1"/>
  <c r="B1126" i="106"/>
  <c r="D1126" i="106" s="1"/>
  <c r="C172" i="5"/>
  <c r="B5214" i="106" s="1"/>
  <c r="D5214" i="106" s="1"/>
  <c r="H33" i="118"/>
  <c r="F128" i="34"/>
  <c r="B4951" i="106"/>
  <c r="D4951" i="106" s="1"/>
  <c r="G172" i="5"/>
  <c r="G173" i="5" s="1"/>
  <c r="B5778" i="106" s="1"/>
  <c r="D5778" i="106" s="1"/>
  <c r="C109" i="5"/>
  <c r="B5121" i="106" s="1"/>
  <c r="D5121" i="106" s="1"/>
  <c r="F19" i="7"/>
  <c r="B1807" i="106" s="1"/>
  <c r="D1807" i="106" s="1"/>
  <c r="F71" i="34"/>
  <c r="F26" i="108"/>
  <c r="K350" i="29"/>
  <c r="K352" i="29" s="1"/>
  <c r="L342" i="29"/>
  <c r="B5770" i="106"/>
  <c r="D5770" i="106" s="1"/>
  <c r="B3565" i="106"/>
  <c r="D3565" i="106" s="1"/>
  <c r="K41" i="3"/>
  <c r="B6191" i="106"/>
  <c r="D6191" i="106" s="1"/>
  <c r="J41" i="3"/>
  <c r="B6216" i="106" s="1"/>
  <c r="D6216" i="106" s="1"/>
  <c r="D15" i="7"/>
  <c r="B1772" i="106" s="1"/>
  <c r="D1772" i="106" s="1"/>
  <c r="B1746" i="106"/>
  <c r="D1746" i="106" s="1"/>
  <c r="D109" i="5"/>
  <c r="F130" i="34"/>
  <c r="G109" i="5"/>
  <c r="H342" i="29"/>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19" i="106"/>
  <c r="D3619" i="106" s="1"/>
  <c r="C352" i="29"/>
  <c r="F21" i="8"/>
  <c r="B3689" i="106"/>
  <c r="D3689" i="106" s="1"/>
  <c r="J77" i="4"/>
  <c r="B6262" i="106" s="1"/>
  <c r="D6262" i="106" s="1"/>
  <c r="B3670" i="106"/>
  <c r="D3670"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D19" i="7"/>
  <c r="B1775" i="106" s="1"/>
  <c r="D1775" i="106" s="1"/>
  <c r="B7270" i="106"/>
  <c r="L16" i="11" l="1"/>
  <c r="B2061" i="106" s="1"/>
  <c r="D2061" i="106" s="1"/>
  <c r="K26" i="12"/>
  <c r="B7743" i="106" s="1"/>
  <c r="D7743" i="106" s="1"/>
  <c r="D7253" i="106"/>
  <c r="B7235" i="106"/>
  <c r="D7235" i="106" s="1"/>
  <c r="D7254" i="106"/>
  <c r="D7250" i="106"/>
  <c r="D51" i="36"/>
  <c r="B1328" i="106"/>
  <c r="D1328" i="106" s="1"/>
  <c r="K13" i="4"/>
  <c r="B3572" i="106" s="1"/>
  <c r="D3572" i="106" s="1"/>
  <c r="B3672" i="106"/>
  <c r="D3672" i="106" s="1"/>
  <c r="K367" i="29"/>
  <c r="C114" i="29"/>
  <c r="B757" i="106" s="1"/>
  <c r="D757" i="106" s="1"/>
  <c r="H77" i="4"/>
  <c r="B3299" i="106" s="1"/>
  <c r="D3299" i="106" s="1"/>
  <c r="H4" i="4"/>
  <c r="F6" i="4"/>
  <c r="B2593" i="106" s="1"/>
  <c r="D2593" i="106" s="1"/>
  <c r="C173" i="5"/>
  <c r="B5223" i="106" s="1"/>
  <c r="D5223" i="106" s="1"/>
  <c r="C4" i="4"/>
  <c r="B2551" i="106" s="1"/>
  <c r="D2551" i="106" s="1"/>
  <c r="F274" i="5"/>
  <c r="F275" i="5" s="1"/>
  <c r="B5720" i="106" s="1"/>
  <c r="D5720" i="106" s="1"/>
  <c r="K342" i="29"/>
  <c r="F13" i="34" s="1"/>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J17" i="4" l="1"/>
  <c r="B7224" i="106"/>
  <c r="D7224" i="106" s="1"/>
  <c r="G41" i="108"/>
  <c r="G44" i="108" s="1"/>
  <c r="G45" i="108" s="1"/>
  <c r="B2655" i="106"/>
  <c r="D2655" i="106" s="1"/>
  <c r="H8" i="4"/>
  <c r="C6" i="4"/>
  <c r="B2553" i="106" s="1"/>
  <c r="D2553" i="106" s="1"/>
  <c r="J8" i="4"/>
  <c r="J10" i="4" s="1"/>
  <c r="B6225" i="106" s="1"/>
  <c r="D6225" i="106" s="1"/>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10" i="4" l="1"/>
  <c r="B4125" i="106" s="1"/>
  <c r="D4125" i="106" s="1"/>
  <c r="F76" i="34"/>
  <c r="B6223" i="106"/>
  <c r="D6223" i="106" s="1"/>
  <c r="J20" i="4"/>
  <c r="B6230" i="106" s="1"/>
  <c r="D6230"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<sst xmlns="http://schemas.openxmlformats.org/spreadsheetml/2006/main" count="5057" uniqueCount="2121">
  <si>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</si>
  <si>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</si>
  <si>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</si>
  <si>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</si>
  <si>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</si>
  <si>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</si>
  <si>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</si>
  <si>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</si>
  <si>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</si>
  <si>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</si>
  <si>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</si>
  <si>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</si>
  <si>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</si>
  <si>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</si>
  <si>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</si>
  <si>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</si>
  <si>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</si>
  <si>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</si>
  <si>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</si>
  <si>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</si>
  <si>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</si>
  <si>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</si>
  <si>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</si>
  <si>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</si>
  <si>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</si>
  <si>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</si>
  <si>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</si>
  <si>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</si>
  <si>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</si>
  <si>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</si>
  <si>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</si>
  <si>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</si>
  <si>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</si>
  <si>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</si>
  <si>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</si>
  <si>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</si>
  <si>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</si>
  <si>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</si>
  <si>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</si>
  <si>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</si>
  <si>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</si>
  <si>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</si>
  <si>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</si>
  <si>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</si>
  <si>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</si>
  <si>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</si>
  <si>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</si>
  <si>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</si>
  <si>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</si>
  <si>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</si>
  <si>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</si>
  <si>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</si>
  <si>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</si>
  <si>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</si>
  <si>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</si>
  <si>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</si>
  <si>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</si>
  <si>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</si>
  <si>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</si>
  <si>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</si>
  <si>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</si>
  <si>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</si>
  <si>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</si>
  <si>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</si>
  <si>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</si>
  <si>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</si>
  <si>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</si>
  <si>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</si>
  <si>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</si>
  <si>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</si>
  <si>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</si>
  <si>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</si>
  <si>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</si>
  <si>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</si>
  <si>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</si>
  <si>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</si>
  <si>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</si>
  <si>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</si>
  <si>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</si>
  <si>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</si>
  <si>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</si>
  <si>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</si>
  <si>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</si>
  <si>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</si>
  <si>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</si>
  <si>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</si>
  <si>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</si>
  <si>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</si>
  <si>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</si>
  <si>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</si>
  <si>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</si>
  <si>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</si>
  <si>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</si>
  <si>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</si>
  <si>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</si>
  <si>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</si>
  <si>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</si>
  <si>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</si>
  <si>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</si>
  <si>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</si>
  <si>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</si>
  <si>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</si>
  <si>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</si>
  <si>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</si>
  <si>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</si>
  <si>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</si>
  <si>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</si>
  <si>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</si>
  <si>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</si>
  <si>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</si>
  <si>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</si>
  <si>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</si>
  <si>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</si>
  <si>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</si>
  <si>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</si>
  <si>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</si>
  <si>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</si>
  <si>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</si>
  <si>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</si>
  <si>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</si>
  <si>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</si>
  <si>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</si>
  <si>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</si>
  <si>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</si>
  <si>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</si>
  <si>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</si>
  <si>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</si>
  <si>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</si>
  <si>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</si>
  <si>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</si>
  <si>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</si>
  <si>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</si>
  <si>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</si>
  <si>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</si>
  <si>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</si>
  <si>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</si>
  <si>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</si>
  <si>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</si>
  <si>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</si>
  <si>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</si>
  <si>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</si>
  <si>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</si>
  <si>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</si>
  <si>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</si>
  <si>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</si>
  <si>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</si>
  <si>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</si>
  <si>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</si>
  <si>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</si>
  <si>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</si>
  <si>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</si>
  <si>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</si>
  <si>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</si>
  <si>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</si>
  <si>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</si>
  <si>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</si>
  <si>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</si>
  <si>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</si>
  <si>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</si>
  <si>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</si>
  <si>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</si>
  <si>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</si>
  <si>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</si>
  <si>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</si>
  <si>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</si>
  <si>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</si>
  <si>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</si>
  <si>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</si>
  <si>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</si>
  <si>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</si>
  <si>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</si>
  <si>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</si>
  <si>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</si>
  <si>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</si>
  <si>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</si>
  <si>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</si>
  <si>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</si>
  <si>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</si>
  <si>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</si>
  <si>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</si>
  <si>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</si>
  <si>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</si>
  <si>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</si>
  <si>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</si>
  <si>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</si>
  <si>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</si>
  <si>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</si>
  <si>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</si>
  <si>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</si>
  <si>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</si>
  <si>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</si>
  <si>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</si>
  <si>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</si>
  <si>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</si>
  <si>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</si>
  <si>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</si>
  <si>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</si>
  <si>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</si>
  <si>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</si>
  <si>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</si>
  <si>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</si>
  <si>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</si>
  <si>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</si>
  <si>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</si>
  <si>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</si>
  <si>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</si>
  <si>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</si>
  <si>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</si>
  <si>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</si>
  <si>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</si>
  <si>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</si>
  <si>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</si>
  <si>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</si>
  <si>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</si>
  <si>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</si>
  <si>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</si>
  <si>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</si>
  <si>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</si>
  <si>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</si>
  <si>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</si>
  <si>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</si>
  <si>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</si>
  <si>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</si>
  <si>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</si>
  <si>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</si>
  <si>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</si>
  <si>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</si>
  <si>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</si>
  <si>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</si>
  <si>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</si>
  <si>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</si>
  <si>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</si>
  <si>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</si>
  <si>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</si>
  <si>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</si>
  <si>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</si>
  <si>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</si>
  <si>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</si>
  <si>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</si>
  <si>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</si>
  <si>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</si>
  <si>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</si>
  <si>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</si>
  <si>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</si>
  <si>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</si>
  <si>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</si>
  <si>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</si>
  <si>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</si>
  <si>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</si>
  <si>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</si>
  <si>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</si>
  <si>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</si>
  <si>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</si>
  <si>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</si>
  <si>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</si>
  <si>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</si>
  <si>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</si>
  <si>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</si>
  <si>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</si>
  <si>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</si>
  <si>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</si>
  <si>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</si>
  <si>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</si>
  <si>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</si>
  <si>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</si>
  <si>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</si>
  <si>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</si>
  <si>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</si>
  <si>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</si>
  <si>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</si>
  <si>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</si>
  <si>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</si>
  <si>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</si>
  <si>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</si>
  <si>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</si>
  <si>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</si>
  <si>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</si>
  <si>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</si>
  <si>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</si>
  <si>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</si>
  <si>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</si>
  <si>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</si>
  <si>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</si>
  <si>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</si>
  <si>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</si>
  <si>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</si>
  <si>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</si>
  <si>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</si>
  <si>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</si>
  <si>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</si>
  <si>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</si>
  <si>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</si>
  <si>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</si>
  <si>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</si>
  <si>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</si>
  <si>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</si>
  <si>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</si>
  <si>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</si>
  <si>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</si>
  <si>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</si>
  <si>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</si>
  <si>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</si>
  <si>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</si>
  <si>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</si>
  <si>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</si>
  <si>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</si>
  <si>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</si>
  <si>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</si>
  <si>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</si>
  <si>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</si>
  <si>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</si>
  <si>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</si>
  <si>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</si>
  <si>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</si>
  <si>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</si>
  <si>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</si>
  <si>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</si>
  <si>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</si>
  <si>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</si>
  <si>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</si>
  <si>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</si>
  <si>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</si>
  <si>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</si>
  <si>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</si>
  <si>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</si>
  <si>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</si>
  <si>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</si>
  <si>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</si>
  <si>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</si>
  <si>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</si>
  <si>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</si>
  <si>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</si>
  <si>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</si>
  <si>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</si>
  <si>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</si>
  <si>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</si>
  <si>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</si>
  <si>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</si>
  <si>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</si>
  <si>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</si>
  <si>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</si>
  <si>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</si>
  <si>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</si>
  <si>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</si>
  <si>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</si>
  <si>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</si>
  <si>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</si>
  <si>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</si>
  <si>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</si>
  <si>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</si>
  <si>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</si>
  <si>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</si>
  <si>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</si>
  <si>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</si>
  <si>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</si>
  <si>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</si>
  <si>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</si>
  <si>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</si>
  <si>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</si>
  <si>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</si>
  <si>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</si>
  <si>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</si>
  <si>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</si>
  <si>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</si>
  <si>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</si>
  <si>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</si>
  <si>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</si>
  <si>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</si>
  <si>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</si>
  <si>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</si>
  <si>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</si>
  <si>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</si>
  <si>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</si>
  <si>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</si>
  <si>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</si>
  <si>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</si>
  <si>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</si>
  <si>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</si>
  <si>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</si>
  <si>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</si>
  <si>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</si>
  <si>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</si>
  <si>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</si>
  <si>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</si>
  <si>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</si>
  <si>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</si>
  <si>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</si>
  <si>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</si>
  <si>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</si>
  <si>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</si>
  <si>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</si>
  <si>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</si>
  <si>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</si>
  <si>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</si>
  <si>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</si>
  <si>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</si>
  <si>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</si>
  <si>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</si>
  <si>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</si>
  <si>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</si>
  <si>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</si>
  <si>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</si>
  <si>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</si>
  <si>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</si>
  <si>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</si>
  <si>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</si>
  <si>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</si>
  <si>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</si>
  <si>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</si>
  <si>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</si>
  <si>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</si>
  <si>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</si>
  <si>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</si>
  <si>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</si>
  <si>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</si>
  <si>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</si>
  <si>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</si>
  <si>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</si>
  <si>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</si>
  <si>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</si>
  <si>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</si>
  <si>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</si>
  <si>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</si>
  <si>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</si>
  <si>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</si>
  <si>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</si>
  <si>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</si>
  <si>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</si>
  <si>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</si>
  <si>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</si>
  <si>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</si>
  <si>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</si>
  <si>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</si>
  <si>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</si>
  <si>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</si>
  <si>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</si>
  <si>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</si>
  <si>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</si>
  <si>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</si>
  <si>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</si>
  <si>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</si>
  <si>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</si>
  <si>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</si>
  <si>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</si>
  <si>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</si>
  <si>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</si>
  <si>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</si>
  <si>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</si>
  <si>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</si>
  <si>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</si>
  <si>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</si>
  <si>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</si>
  <si>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</si>
  <si>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</si>
  <si>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</si>
  <si>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</si>
  <si>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</si>
  <si>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</si>
  <si>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</si>
  <si>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</si>
  <si>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</si>
  <si>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</si>
  <si>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</si>
  <si>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</si>
  <si>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</si>
  <si>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</si>
  <si>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</si>
  <si>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</si>
  <si>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</si>
  <si>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</si>
  <si>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</si>
  <si>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</si>
  <si>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</si>
  <si>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</si>
  <si>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</si>
  <si>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</si>
  <si>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</si>
  <si>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</si>
  <si>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</si>
  <si>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</si>
  <si>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</si>
  <si>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</si>
  <si>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</si>
  <si>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</si>
  <si>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</si>
  <si>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</si>
  <si>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</si>
  <si>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</si>
  <si>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</si>
  <si>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</si>
  <si>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</si>
  <si>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</si>
  <si>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</si>
  <si>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</si>
  <si>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</si>
  <si>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</si>
  <si>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</si>
  <si>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</si>
  <si>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</si>
  <si>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</si>
  <si>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</si>
  <si>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</si>
  <si>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</si>
  <si>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</si>
  <si>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</si>
  <si>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</si>
  <si>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</si>
  <si>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</si>
  <si>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</si>
  <si>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</si>
  <si>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</si>
  <si>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</si>
  <si>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</si>
  <si>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</si>
  <si>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</si>
  <si>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</si>
  <si>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</si>
  <si>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</si>
  <si>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</si>
  <si>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</si>
  <si>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</si>
  <si>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</si>
  <si>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</si>
  <si>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</si>
  <si>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</si>
  <si>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</si>
  <si>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</si>
  <si>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</si>
  <si>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</si>
  <si>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</si>
  <si>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</si>
  <si>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</si>
  <si>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</si>
  <si>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</si>
  <si>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</si>
  <si>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</si>
  <si>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</si>
  <si>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</si>
  <si>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</si>
  <si>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</si>
  <si>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</si>
  <si>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</si>
  <si>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</si>
  <si>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</si>
  <si>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</si>
  <si>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</si>
  <si>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</si>
  <si>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</si>
  <si>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</si>
  <si>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</si>
  <si>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</si>
  <si>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</si>
  <si>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</si>
  <si>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</si>
  <si>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</si>
  <si>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</si>
  <si>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</si>
  <si>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</si>
  <si>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</si>
  <si>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</si>
  <si>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</si>
  <si>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</si>
  <si>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</si>
  <si>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</si>
  <si>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</si>
  <si>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</si>
  <si>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</si>
  <si>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</si>
  <si>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</si>
  <si>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</si>
  <si>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</si>
  <si>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</si>
  <si>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</si>
  <si>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</si>
  <si>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</si>
  <si>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</si>
  <si>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</si>
  <si>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</si>
  <si>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</si>
  <si>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</si>
  <si>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</si>
  <si>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</si>
  <si>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</si>
  <si>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</si>
  <si>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</si>
  <si>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</si>
  <si>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</si>
  <si>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</si>
  <si>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</si>
  <si>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</si>
  <si>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</si>
  <si>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</si>
  <si>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</si>
  <si>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</si>
  <si>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</si>
  <si>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</si>
  <si>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</si>
  <si>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</si>
  <si>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</si>
  <si>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</si>
  <si>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</si>
  <si>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</si>
  <si>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</si>
  <si>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</si>
  <si>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</si>
  <si>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</si>
  <si>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</si>
  <si>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</si>
  <si>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</si>
  <si>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</si>
  <si>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</si>
  <si>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</si>
  <si>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</si>
  <si>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</si>
  <si>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</si>
  <si>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</si>
  <si>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</si>
  <si>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</si>
  <si>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</si>
  <si>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</si>
  <si>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</si>
  <si>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</si>
  <si>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</si>
  <si>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</si>
  <si>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</si>
  <si>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</si>
  <si>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</si>
  <si>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</si>
  <si>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</si>
  <si>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</si>
  <si>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</si>
  <si>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</si>
  <si>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</si>
  <si>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</si>
  <si>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</si>
  <si>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</si>
  <si>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</si>
  <si>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</si>
  <si>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</si>
  <si>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</si>
  <si>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</si>
  <si>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</si>
  <si>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</si>
  <si>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</si>
  <si>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</si>
  <si>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</si>
  <si>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</si>
  <si>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</si>
  <si>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</si>
  <si>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</si>
  <si>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</si>
  <si>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</si>
  <si>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</si>
  <si>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</si>
  <si>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</si>
  <si>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</si>
  <si>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</si>
  <si>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</si>
  <si>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</si>
  <si>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</si>
  <si>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</si>
  <si>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</si>
  <si>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</si>
  <si>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</si>
  <si>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</si>
  <si>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</si>
  <si>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</si>
  <si>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</si>
  <si>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</si>
  <si>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</si>
  <si>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</si>
  <si>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</si>
  <si>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</si>
  <si>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</si>
  <si>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</si>
  <si>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</si>
  <si>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</si>
  <si>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</si>
  <si>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</si>
  <si>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</si>
  <si>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</si>
  <si>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</si>
  <si>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</si>
  <si>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</si>
  <si>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</si>
  <si>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</si>
  <si>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</si>
  <si>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</si>
  <si>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</si>
  <si>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</si>
  <si>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</si>
  <si>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</si>
  <si>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</si>
  <si>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</si>
  <si>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</si>
  <si>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</si>
  <si>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</si>
  <si>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</si>
  <si>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</si>
  <si>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</si>
  <si>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</si>
  <si>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</si>
  <si>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</si>
  <si>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</si>
  <si>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</si>
  <si>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</si>
  <si>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</si>
  <si>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</si>
  <si>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</si>
  <si>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</si>
  <si>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</si>
  <si>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</si>
  <si>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</si>
  <si>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</si>
  <si>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</si>
  <si>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</si>
  <si>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</si>
  <si>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</si>
  <si>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</si>
  <si>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</si>
  <si>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</si>
  <si>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</si>
  <si>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</si>
  <si>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</si>
  <si>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</si>
  <si>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</si>
  <si>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</si>
  <si>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</si>
  <si>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</si>
  <si>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</si>
  <si>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</si>
  <si>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</si>
  <si>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</si>
  <si>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</si>
  <si>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</si>
  <si>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</si>
  <si>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</si>
  <si>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</si>
  <si>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</si>
  <si>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</si>
  <si>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</si>
  <si>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</si>
  <si>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</si>
  <si>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</si>
  <si>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</si>
  <si>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</si>
  <si>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</si>
  <si>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</si>
  <si>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</si>
  <si>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</si>
  <si>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</si>
  <si>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</si>
  <si>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</si>
  <si>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</si>
  <si>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</si>
  <si>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</si>
  <si>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</si>
  <si>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</si>
  <si>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</si>
  <si>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</si>
  <si>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</si>
  <si>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</si>
  <si>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</si>
  <si>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</si>
  <si>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</si>
  <si>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</si>
  <si>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</si>
  <si>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</si>
  <si>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</si>
  <si>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</si>
  <si>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</si>
  <si>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</si>
  <si>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</si>
  <si>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</si>
  <si>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</si>
  <si>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</si>
  <si>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</si>
  <si>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</si>
  <si>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</si>
  <si>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</si>
  <si>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</si>
  <si>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</si>
  <si>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</si>
  <si>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</si>
  <si>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</si>
  <si>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</si>
  <si>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</si>
  <si>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</si>
  <si>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</si>
  <si>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</si>
  <si>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</si>
  <si>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</si>
  <si>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</si>
  <si>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</si>
  <si>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</si>
  <si>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</si>
  <si>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</si>
  <si>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</si>
  <si>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</si>
  <si>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</si>
  <si>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</si>
  <si>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</si>
  <si>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</si>
  <si>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</si>
  <si>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</si>
  <si>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</si>
  <si>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</si>
  <si>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</si>
  <si>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</si>
  <si>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</si>
  <si>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</si>
  <si>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</si>
  <si>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</si>
  <si>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</si>
  <si>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</si>
  <si>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</si>
  <si>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</si>
  <si>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</si>
  <si>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</si>
  <si>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</si>
  <si>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</si>
  <si>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</si>
  <si>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</si>
  <si>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</si>
  <si>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</si>
  <si>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</si>
  <si>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</si>
  <si>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</si>
  <si>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</si>
  <si>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</si>
  <si>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</si>
  <si>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</si>
  <si>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</si>
  <si>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</si>
  <si>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</si>
  <si>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</si>
  <si>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</si>
  <si>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</si>
  <si>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</si>
  <si>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</si>
  <si>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</si>
  <si>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</si>
  <si>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</si>
  <si>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</si>
  <si>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</si>
  <si>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</si>
  <si>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</si>
  <si>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</si>
  <si>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</si>
  <si>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</si>
  <si>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</si>
  <si>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</si>
  <si>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</si>
  <si>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</si>
  <si>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</si>
  <si>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</si>
  <si>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</si>
  <si>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</si>
  <si>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</si>
  <si>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</si>
  <si>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</si>
  <si>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</si>
  <si>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</si>
  <si>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</si>
  <si>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</si>
  <si>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</si>
  <si>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</si>
  <si>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</si>
  <si>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</si>
  <si>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</si>
  <si>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</si>
  <si>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</si>
  <si>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</si>
  <si>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</si>
  <si>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</si>
  <si>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</si>
  <si>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</si>
  <si>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</si>
  <si>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</si>
  <si>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</si>
  <si>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</si>
  <si>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</si>
  <si>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</si>
  <si>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</si>
  <si>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</si>
  <si>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</si>
  <si>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</si>
  <si>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</si>
  <si>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</si>
  <si>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</si>
  <si>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</si>
  <si>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</si>
  <si>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</si>
  <si>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</si>
  <si>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</si>
  <si>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</si>
  <si>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</si>
  <si>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</si>
  <si>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</si>
  <si>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</si>
  <si>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</si>
  <si>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</si>
  <si>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</si>
  <si>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</si>
  <si>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</si>
  <si>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</si>
  <si>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</si>
  <si>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</si>
  <si>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</si>
  <si>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</si>
  <si>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</si>
  <si>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</si>
  <si>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</si>
  <si>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</si>
  <si>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</si>
  <si>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</si>
  <si>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</si>
  <si>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</si>
  <si>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</si>
  <si>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</si>
  <si>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</si>
  <si>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</si>
  <si>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</si>
  <si>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</si>
  <si>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</si>
  <si>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</si>
  <si>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</si>
  <si>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</si>
  <si>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</si>
  <si>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</si>
  <si>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</si>
  <si>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</si>
  <si>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</si>
  <si>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</si>
  <si>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</si>
  <si>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</si>
  <si>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</si>
  <si>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</si>
  <si>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</si>
  <si>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</si>
  <si>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</si>
  <si>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</si>
  <si>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</si>
  <si>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</si>
  <si>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</si>
  <si>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</si>
  <si>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</si>
  <si>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</si>
  <si>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</si>
  <si>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</si>
  <si>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</si>
  <si>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</si>
  <si>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</si>
  <si>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</si>
  <si>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</si>
  <si>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</si>
  <si>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</si>
  <si>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</si>
  <si>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</si>
  <si>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</si>
  <si>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</si>
  <si>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</si>
  <si>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</si>
  <si>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</si>
  <si>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</si>
  <si>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</si>
  <si>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</si>
  <si>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</si>
  <si>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</si>
  <si>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</si>
  <si>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</si>
  <si>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</si>
  <si>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</si>
  <si>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</si>
  <si>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</si>
  <si>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</si>
  <si>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</si>
  <si>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</si>
  <si>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</si>
  <si>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</si>
  <si>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</si>
  <si>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</si>
  <si>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</si>
  <si>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</si>
  <si>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</si>
  <si>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</si>
  <si>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</si>
  <si>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</si>
  <si>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</si>
  <si>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</si>
  <si>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</si>
  <si>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</si>
  <si>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</si>
  <si>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</si>
  <si>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</si>
  <si>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</si>
  <si>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</si>
  <si>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</si>
  <si>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</si>
  <si>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</si>
  <si>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</si>
  <si>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</si>
  <si>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</si>
  <si>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</si>
  <si>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</si>
  <si>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</si>
  <si>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</si>
  <si>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</si>
  <si>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</si>
  <si>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</si>
  <si>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</si>
  <si>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</si>
  <si>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</si>
  <si>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</si>
  <si>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</si>
  <si>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</si>
  <si>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</si>
  <si>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</si>
  <si>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</si>
  <si>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</si>
  <si>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</si>
  <si>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</si>
  <si>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</si>
  <si>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</si>
  <si>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</si>
  <si>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</si>
  <si>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</si>
  <si>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</si>
  <si>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</si>
  <si>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</si>
  <si>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</si>
  <si>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</si>
  <si>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</si>
  <si>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</si>
  <si>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</si>
  <si>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</si>
  <si>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</si>
  <si>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</si>
  <si>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</si>
  <si>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</si>
  <si>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</si>
  <si>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</si>
  <si>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</si>
  <si>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</si>
  <si>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</si>
  <si>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</si>
  <si>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</si>
  <si>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</si>
  <si>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</si>
  <si>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</si>
  <si>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</si>
  <si>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</si>
  <si>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</si>
  <si>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</si>
  <si>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</si>
  <si>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</si>
  <si>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</si>
  <si>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</si>
  <si>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</si>
  <si>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</si>
  <si>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</si>
  <si>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</si>
  <si>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</si>
  <si>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</si>
  <si>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</si>
  <si>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</si>
  <si>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</si>
  <si>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</si>
  <si>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</si>
  <si>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</si>
  <si>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</si>
  <si>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</si>
  <si>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</si>
  <si>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</si>
  <si>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</si>
  <si>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</si>
  <si>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</si>
  <si>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</si>
  <si>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</si>
  <si>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</si>
  <si>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</si>
  <si>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</si>
  <si>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</si>
  <si>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</si>
  <si>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</si>
  <si>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</si>
  <si>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</si>
  <si>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</si>
  <si>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</si>
  <si>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</si>
  <si>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</si>
  <si>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</si>
  <si>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</si>
  <si>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</si>
  <si>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</si>
  <si>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</si>
  <si>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</si>
  <si>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</si>
  <si>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</si>
  <si>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</si>
  <si>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</si>
  <si>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</si>
  <si>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</si>
  <si>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</si>
  <si>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</si>
  <si>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</si>
  <si>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</si>
  <si>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</si>
  <si>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</si>
  <si>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</si>
  <si>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</si>
  <si>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</si>
  <si>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</si>
  <si>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</si>
  <si>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</si>
  <si>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</si>
  <si>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</si>
  <si>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</si>
  <si>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</si>
  <si>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</si>
  <si>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</si>
  <si>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</si>
  <si>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</si>
  <si>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</si>
  <si>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</si>
  <si>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</si>
  <si>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</si>
  <si>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</si>
  <si>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</si>
  <si>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</si>
  <si>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</si>
  <si>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</si>
  <si>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</si>
  <si>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</si>
  <si>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</si>
  <si>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</si>
  <si>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</si>
  <si>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</si>
  <si>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</si>
  <si>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</si>
  <si>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</si>
  <si>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</si>
  <si>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</si>
  <si>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</si>
  <si>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</si>
  <si>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</si>
  <si>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</si>
  <si>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</si>
  <si>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</si>
  <si>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</si>
  <si>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</si>
  <si>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</si>
  <si>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</si>
  <si>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</si>
  <si>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</si>
  <si>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</si>
  <si>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</si>
  <si>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</si>
  <si>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</si>
  <si>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</si>
  <si>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</si>
  <si>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</si>
  <si>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</si>
  <si>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</si>
  <si>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</si>
  <si>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</si>
  <si>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</si>
  <si>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</si>
  <si>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</si>
  <si>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</si>
  <si>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</si>
  <si>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</si>
  <si>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</si>
  <si>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</si>
  <si>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</si>
  <si>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</si>
  <si>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</si>
  <si>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</si>
  <si>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</si>
  <si>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</si>
  <si>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</si>
  <si>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</si>
  <si>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</si>
  <si>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</si>
  <si>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</si>
  <si>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</si>
  <si>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</si>
  <si>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</si>
  <si>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</si>
  <si>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</si>
  <si>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</si>
  <si>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</si>
  <si>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</si>
  <si>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</si>
  <si>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</si>
  <si>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</si>
  <si>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</si>
  <si>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</si>
  <si>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</si>
  <si>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</si>
  <si>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</si>
  <si>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</si>
  <si>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</si>
  <si>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</si>
  <si>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</si>
  <si>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</si>
  <si>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</si>
  <si>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</si>
  <si>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</si>
  <si>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</si>
  <si>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</si>
  <si>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</si>
  <si>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</si>
  <si>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</si>
  <si>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</si>
  <si>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</si>
  <si>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</si>
  <si>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</si>
  <si>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</si>
  <si>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</si>
  <si>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</si>
  <si>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</si>
  <si>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</si>
  <si>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</si>
  <si>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</si>
  <si>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</si>
  <si>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</si>
  <si>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</si>
  <si>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</si>
  <si>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</si>
  <si>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</si>
  <si>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</si>
  <si>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</si>
  <si>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</si>
  <si>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</si>
  <si>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</si>
  <si>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</si>
  <si>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</si>
  <si>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</si>
  <si>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</si>
  <si>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</si>
  <si>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</si>
  <si>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</si>
  <si>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</si>
  <si>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</si>
  <si>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</si>
  <si>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</si>
  <si>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</si>
  <si>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</si>
  <si>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</si>
  <si>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</si>
  <si>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</si>
  <si>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</si>
  <si>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</si>
  <si>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</si>
  <si>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</si>
  <si>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</si>
  <si>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</si>
  <si>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</si>
  <si>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</si>
  <si>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</si>
  <si>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</si>
  <si>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</si>
  <si>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</si>
  <si>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</si>
  <si>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</si>
  <si>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</si>
  <si>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</si>
  <si>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</si>
  <si>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</si>
  <si>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</si>
  <si>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</si>
  <si>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</si>
  <si>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</si>
  <si>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</si>
  <si>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</si>
  <si>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</si>
  <si>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</si>
  <si>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</si>
  <si>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</si>
  <si>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</si>
  <si>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</si>
  <si>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</si>
  <si>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</si>
  <si>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</si>
  <si>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</si>
  <si>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</si>
  <si>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</si>
  <si>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</si>
  <si>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</si>
  <si>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</si>
  <si>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</si>
  <si>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</si>
  <si>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</si>
  <si>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</si>
  <si>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</si>
  <si>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</si>
  <si>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</si>
  <si>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</si>
  <si>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</si>
  <si>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</si>
  <si>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</si>
  <si>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</si>
  <si>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</si>
  <si>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</si>
  <si>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</si>
  <si>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</si>
  <si>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</si>
  <si>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</si>
  <si>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</si>
  <si>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</si>
  <si>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</si>
  <si>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</si>
  <si>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</si>
  <si>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</si>
  <si>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</si>
  <si>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</si>
  <si>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</si>
  <si>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</si>
  <si>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</si>
  <si>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</si>
  <si>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</si>
  <si>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</si>
  <si>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</si>
  <si>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</si>
  <si>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</si>
  <si>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</si>
  <si>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</si>
  <si>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</si>
  <si>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</si>
  <si>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</si>
  <si>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</si>
  <si>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</si>
  <si>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</si>
  <si>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</si>
  <si>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</si>
  <si>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</si>
  <si>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</si>
  <si>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</si>
  <si>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</si>
  <si>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</si>
  <si>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</si>
  <si>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</si>
  <si>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</si>
  <si>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</si>
  <si>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</si>
  <si>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</si>
  <si>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</si>
  <si>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</si>
  <si>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</si>
  <si>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</si>
  <si>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</si>
  <si>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</si>
  <si>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</si>
  <si>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</si>
  <si>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</si>
  <si>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</si>
  <si>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</si>
  <si>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</si>
  <si>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</si>
  <si>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</si>
  <si>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</si>
  <si>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</si>
  <si>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</si>
  <si>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</si>
  <si>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</si>
  <si>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</si>
  <si>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</si>
  <si>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</si>
  <si>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</si>
  <si>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</si>
  <si>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</si>
  <si>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</si>
  <si>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</si>
  <si>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</si>
  <si>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</si>
  <si>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</si>
  <si>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</si>
  <si>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</si>
  <si>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</si>
  <si>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</si>
  <si>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</si>
  <si>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</si>
  <si>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</si>
  <si>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</si>
  <si>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</si>
  <si>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</si>
  <si>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</si>
  <si>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</si>
  <si>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</si>
  <si>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</si>
  <si>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</si>
  <si>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</si>
  <si>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</si>
  <si>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</si>
  <si>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</si>
  <si>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</si>
  <si>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</si>
  <si>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</si>
  <si>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</si>
  <si>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</si>
  <si>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</si>
  <si>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</si>
  <si>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</si>
  <si>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</si>
  <si>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</si>
  <si>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</si>
  <si>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</si>
  <si>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</si>
  <si>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</si>
  <si>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</si>
  <si>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</si>
  <si>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</si>
  <si>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</si>
  <si>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</si>
  <si>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</si>
  <si>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</si>
  <si>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</si>
  <si>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</si>
  <si>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</si>
  <si>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</si>
  <si>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</si>
  <si>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</si>
  <si>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</si>
  <si>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</si>
  <si>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</si>
  <si>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</si>
  <si>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</si>
  <si>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</si>
  <si>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</si>
  <si>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</si>
  <si>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</si>
  <si>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</si>
  <si>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</si>
  <si>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</si>
  <si>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</si>
  <si>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</si>
  <si>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</si>
  <si>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</si>
  <si>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</si>
  <si>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</si>
  <si>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</si>
  <si>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</si>
  <si>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</si>
  <si>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</si>
  <si>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</si>
  <si>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</si>
  <si>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</si>
  <si>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</si>
  <si>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</si>
  <si>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</si>
  <si>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</si>
  <si>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</si>
  <si>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</si>
  <si>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</si>
  <si>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</si>
  <si>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</si>
  <si>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</si>
  <si>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</si>
  <si>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</si>
  <si>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</si>
  <si>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</si>
  <si>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</si>
  <si>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</si>
  <si>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</si>
  <si>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</si>
  <si>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</si>
  <si>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</si>
  <si>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</si>
  <si>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</si>
  <si>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</si>
  <si>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</si>
  <si>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</si>
  <si>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</si>
  <si>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</si>
  <si>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</si>
  <si>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</si>
  <si>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</si>
  <si>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</si>
  <si>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</si>
  <si>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</si>
  <si>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</si>
  <si>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</si>
  <si>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</si>
  <si>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</si>
  <si>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</si>
  <si>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</si>
  <si>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</si>
  <si>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</si>
  <si>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</si>
  <si>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</si>
  <si>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</si>
  <si>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</si>
  <si>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</si>
  <si>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</si>
  <si>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</si>
  <si>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</si>
  <si>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</si>
  <si>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</si>
  <si>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</si>
  <si>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</si>
  <si>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</si>
  <si>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</si>
  <si>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</si>
  <si>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</si>
  <si>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</si>
  <si>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</si>
  <si>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</si>
  <si>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</si>
  <si>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</si>
  <si>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</si>
  <si>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</si>
  <si>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</si>
  <si>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</si>
  <si>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</si>
  <si>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</si>
  <si>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</si>
  <si>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</si>
  <si>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</si>
  <si>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</si>
  <si>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</si>
  <si>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</si>
  <si>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</si>
  <si>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</si>
  <si>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</si>
  <si>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</si>
  <si>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</si>
  <si>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</si>
  <si>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</si>
  <si>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</si>
  <si>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</si>
  <si>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</si>
  <si>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</si>
  <si>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</si>
  <si>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</si>
  <si>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</si>
  <si>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</si>
  <si>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</si>
  <si>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</si>
  <si>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</si>
  <si>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</si>
  <si>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</si>
  <si>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</si>
  <si>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</si>
  <si>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</si>
  <si>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</si>
  <si>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</si>
  <si>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</si>
  <si>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</si>
  <si>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</si>
  <si>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</si>
  <si>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</si>
  <si>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</si>
  <si>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</si>
  <si>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</si>
  <si>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</si>
  <si>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</si>
  <si>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</si>
  <si>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</si>
  <si>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</si>
  <si>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</si>
  <si>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</si>
  <si>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</si>
  <si>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</si>
  <si>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</si>
  <si>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</si>
  <si>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</si>
  <si>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</si>
  <si>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</si>
  <si>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</si>
  <si>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</si>
  <si>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</si>
  <si>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</si>
  <si>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</si>
  <si>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</si>
  <si>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</si>
  <si>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</si>
  <si>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</si>
  <si>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</si>
  <si>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</si>
  <si>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</si>
  <si>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</si>
  <si>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</si>
  <si>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</si>
  <si>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</si>
  <si>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</si>
  <si>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</si>
  <si>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</si>
  <si>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</si>
  <si>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</si>
  <si>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</si>
  <si>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</si>
  <si>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</si>
  <si>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</si>
  <si>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</si>
  <si>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</si>
  <si>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</si>
  <si>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</si>
  <si>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</si>
  <si>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</si>
  <si>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</si>
  <si>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</si>
  <si>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</si>
  <si>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</si>
  <si>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</si>
  <si>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</si>
  <si>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</si>
  <si>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</si>
  <si>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</si>
  <si>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</si>
  <si>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</si>
  <si>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</si>
  <si>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</si>
  <si>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</si>
  <si>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</si>
  <si>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</si>
  <si>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</si>
  <si>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</si>
  <si>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</si>
  <si>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</si>
  <si>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</si>
  <si>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</si>
  <si>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</si>
  <si>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</si>
  <si>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</si>
  <si>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</si>
  <si>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</si>
  <si>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</si>
  <si>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</si>
  <si>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</si>
  <si>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</si>
  <si>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</si>
  <si>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</si>
  <si>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</si>
  <si>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</si>
  <si>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</si>
  <si>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</si>
  <si>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</si>
  <si>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</si>
  <si>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</si>
  <si>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</si>
  <si>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</si>
  <si>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</si>
  <si>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</si>
  <si>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</si>
  <si>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</si>
  <si>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</si>
  <si>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</si>
  <si>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</si>
  <si>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</si>
  <si>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</si>
  <si>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</si>
  <si>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</si>
  <si>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</si>
  <si>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</si>
  <si>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</si>
  <si>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</si>
  <si>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</si>
  <si>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</si>
  <si>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</si>
  <si>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</si>
  <si>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</si>
  <si>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</si>
  <si>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</si>
  <si>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</si>
  <si>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</si>
  <si>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</si>
  <si>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</si>
  <si>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</si>
  <si>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</si>
  <si>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</si>
  <si>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</si>
  <si>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</si>
  <si>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</si>
  <si>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</si>
  <si>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</si>
  <si>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</si>
  <si>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</si>
  <si>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</si>
  <si>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</si>
  <si>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</si>
  <si>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</si>
  <si>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</si>
  <si>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</si>
  <si>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</si>
  <si>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</si>
  <si>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</si>
  <si>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</si>
  <si>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</si>
  <si>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</si>
  <si>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</si>
  <si>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</si>
  <si>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</si>
  <si>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</si>
  <si>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</si>
  <si>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</si>
  <si>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</si>
  <si>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</si>
  <si>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</si>
  <si>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</si>
  <si>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</si>
  <si>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</si>
  <si>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</si>
  <si>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</si>
  <si>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</si>
  <si>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</si>
  <si>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</si>
  <si>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</si>
  <si>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</si>
  <si>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</si>
  <si>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</si>
  <si>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</si>
  <si>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</si>
  <si>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</si>
  <si>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</si>
  <si>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</si>
  <si>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</si>
  <si>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</si>
  <si>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</si>
  <si>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</si>
  <si>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</si>
  <si>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</si>
  <si>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</si>
  <si>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</si>
  <si>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</si>
  <si>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</si>
  <si>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</si>
  <si>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</si>
  <si>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</si>
  <si>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</si>
  <si>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</si>
  <si>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</si>
  <si>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</si>
  <si>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</si>
  <si>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</si>
  <si>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</si>
  <si>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</si>
  <si>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</si>
  <si>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</si>
  <si>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</si>
  <si>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</si>
  <si>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</si>
  <si>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</si>
  <si>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</si>
  <si>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</si>
  <si>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</si>
  <si>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</si>
  <si>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</si>
  <si>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</si>
  <si>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</si>
  <si>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</si>
  <si>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</si>
  <si>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</si>
  <si>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</si>
  <si>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</si>
  <si>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</si>
  <si>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</si>
  <si>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</si>
  <si>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</si>
  <si>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</si>
  <si>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</si>
  <si>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</si>
  <si>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</si>
  <si>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</si>
  <si>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</si>
  <si>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</si>
  <si>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</si>
  <si>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</si>
  <si>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</si>
  <si>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</si>
  <si>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</si>
  <si>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</si>
  <si>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</si>
  <si>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</si>
  <si>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</si>
  <si>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</si>
  <si>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</si>
  <si>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</si>
  <si>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</si>
  <si>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</si>
  <si>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</si>
  <si>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</si>
  <si>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</si>
  <si>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</si>
  <si>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</si>
  <si>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</si>
  <si>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</si>
  <si>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</si>
  <si>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</si>
  <si>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</si>
  <si>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</si>
  <si>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</si>
  <si>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</si>
  <si>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</si>
  <si>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</si>
  <si>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</si>
  <si>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</si>
  <si>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</si>
  <si>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</si>
  <si>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</si>
  <si>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</si>
  <si>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</si>
  <si>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</si>
  <si>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</si>
  <si>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</si>
  <si>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</si>
  <si>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</si>
  <si>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</si>
  <si>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</si>
  <si>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</si>
  <si>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</si>
  <si>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</si>
  <si>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</si>
  <si>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</si>
  <si>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</si>
  <si>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</si>
  <si>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</si>
  <si>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</si>
  <si>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</si>
  <si>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</si>
  <si>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</si>
  <si>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</si>
  <si>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</si>
  <si>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</si>
  <si>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</si>
  <si>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</si>
  <si>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</si>
  <si>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</si>
  <si>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</si>
  <si>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</si>
  <si>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</si>
  <si>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</si>
  <si>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</si>
  <si>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</si>
  <si>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</si>
  <si>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</si>
  <si>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</si>
  <si>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</si>
  <si>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</si>
  <si>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</si>
  <si>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</si>
  <si>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</si>
  <si>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</si>
  <si>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</si>
  <si>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</si>
  <si>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</si>
  <si>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</si>
  <si>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</si>
  <si>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</si>
  <si>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</si>
  <si>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</si>
  <si>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</si>
  <si>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</si>
  <si>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</si>
  <si>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</si>
  <si>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</si>
  <si>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</si>
  <si>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</si>
  <si>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</si>
  <si>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</si>
  <si>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</si>
  <si>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</si>
  <si>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</si>
  <si>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</si>
  <si>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</si>
  <si>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</si>
  <si>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</si>
  <si>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</si>
  <si>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</si>
  <si>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</si>
  <si>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</si>
  <si>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</si>
  <si>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</si>
  <si>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</si>
  <si>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</si>
  <si>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</si>
  <si>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</si>
  <si>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</si>
  <si>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</si>
  <si>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</si>
  <si>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</si>
  <si>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</si>
  <si>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</si>
  <si>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</si>
  <si>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</si>
  <si>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</si>
  <si>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</si>
  <si>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</si>
  <si>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</si>
  <si>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</si>
  <si>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</si>
  <si>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</si>
  <si>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</si>
  <si>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</si>
  <si>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</si>
  <si>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</si>
  <si>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</si>
  <si>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</si>
  <si>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</si>
  <si>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</si>
  <si>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</si>
  <si>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</si>
  <si>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</si>
  <si>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</si>
  <si>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</si>
  <si>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</si>
  <si>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</si>
  <si>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</si>
  <si>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</si>
  <si>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</si>
  <si>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</si>
  <si>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</si>
  <si>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</si>
  <si>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</si>
  <si>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</si>
  <si>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</si>
  <si>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</si>
  <si>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</si>
  <si>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</si>
  <si>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</si>
  <si>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</si>
  <si>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</si>
  <si>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</si>
  <si>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</si>
  <si>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</si>
  <si>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</si>
  <si>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</si>
  <si>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</si>
  <si>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</si>
  <si>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</si>
  <si>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</si>
  <si>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</si>
  <si>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</si>
  <si>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</si>
  <si>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</si>
  <si>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</si>
  <si>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</si>
  <si>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</si>
  <si>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</si>
  <si>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</si>
  <si>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</si>
  <si>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</si>
  <si>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</si>
  <si>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</si>
  <si>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</si>
  <si>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</si>
  <si>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</si>
  <si>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</si>
  <si>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</si>
  <si>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</si>
  <si>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</si>
  <si>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</si>
  <si>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</si>
  <si>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</si>
  <si>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</si>
  <si>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</si>
  <si>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</si>
  <si>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</si>
  <si>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</si>
  <si>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</si>
  <si>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</si>
  <si>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</si>
  <si>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</si>
  <si>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</si>
  <si>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</si>
  <si>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</si>
  <si>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</si>
  <si>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</si>
  <si>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</si>
  <si>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</si>
  <si>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</si>
  <si>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</si>
  <si>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</si>
  <si>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</si>
  <si>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</si>
  <si>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</si>
  <si>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</si>
  <si>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</si>
  <si>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</si>
  <si>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</si>
  <si>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</si>
  <si>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</si>
  <si>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</si>
  <si>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</si>
  <si>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</si>
  <si>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</si>
  <si>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</si>
  <si>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</si>
  <si>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</si>
  <si>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</si>
  <si>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</si>
  <si>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</si>
  <si>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</si>
  <si>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</si>
  <si>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</si>
  <si>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</si>
  <si>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</si>
  <si>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</si>
  <si>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</si>
  <si>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</si>
  <si>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</si>
  <si>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</si>
  <si>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</si>
  <si>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</si>
  <si>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</si>
  <si>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</si>
  <si>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</si>
  <si>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</si>
  <si>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</si>
  <si>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</si>
  <si>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</si>
  <si>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</si>
  <si>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</si>
  <si>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</si>
  <si>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</si>
  <si>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</si>
  <si>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</si>
  <si>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</si>
  <si>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</si>
  <si>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</si>
  <si>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</si>
  <si>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</si>
  <si>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</si>
  <si>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</si>
  <si>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</si>
  <si>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</si>
  <si>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</si>
  <si>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</si>
  <si>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</si>
  <si>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</si>
  <si>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</si>
  <si>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</si>
  <si>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</si>
  <si>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</si>
  <si>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</si>
  <si>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</si>
  <si>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</si>
  <si>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</si>
  <si>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</si>
  <si>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</si>
  <si>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</si>
  <si>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</si>
  <si>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</si>
  <si>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</si>
  <si>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</si>
  <si>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</si>
  <si>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</si>
  <si>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</si>
  <si>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</si>
  <si>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</si>
  <si>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</si>
  <si>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</si>
  <si>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</si>
  <si>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</si>
  <si>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</si>
  <si>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</si>
  <si>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</si>
  <si>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</si>
  <si>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</si>
  <si>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</si>
  <si>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</si>
  <si>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</si>
  <si>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</si>
  <si>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</si>
  <si>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</si>
  <si>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</si>
  <si>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</si>
  <si>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</si>
  <si>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</si>
  <si>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</si>
  <si>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</si>
  <si>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</si>
  <si>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</si>
  <si>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</si>
  <si>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</si>
  <si>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</si>
  <si>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</si>
  <si>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</si>
  <si>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LIVINGSTON </t>
  </si>
  <si>
    <t xml:space="preserve">5800 E 3000 ROAD </t>
  </si>
  <si>
    <t xml:space="preserve">STREATOR </t>
  </si>
  <si>
    <t xml:space="preserve">MCGUCKINR@WOODLAND5.ORG </t>
  </si>
  <si>
    <t>61364-8806</t>
  </si>
  <si>
    <t>X</t>
  </si>
  <si>
    <t xml:space="preserve">RYAN MCGUCKIN </t>
  </si>
  <si>
    <t>815-672-5974</t>
  </si>
  <si>
    <t>HOPKINS &amp; ASSOCIATES, CPAS</t>
  </si>
  <si>
    <t xml:space="preserve">JOEL HOPKINS </t>
  </si>
  <si>
    <t>314 S MCCOY STREET</t>
  </si>
  <si>
    <t>GRANVILLE</t>
  </si>
  <si>
    <t>IL</t>
  </si>
  <si>
    <t>815-339-6630</t>
  </si>
  <si>
    <t>815-339-6643</t>
  </si>
  <si>
    <t>JOELHOPKINS@MSN.COM</t>
  </si>
  <si>
    <t xml:space="preserve">GASB 75 DISCLOSURE </t>
  </si>
  <si>
    <t xml:space="preserve">HOPKINS &amp; ASSOCIATES, CPAS </t>
  </si>
  <si>
    <t>BUILDING BONDS</t>
  </si>
  <si>
    <t>BUILDING BONDS - WINDOWS 2018</t>
  </si>
  <si>
    <t xml:space="preserve">LIVINGSTON COUNTY SPECIAL SERVICES </t>
  </si>
  <si>
    <t>20-2540-300</t>
  </si>
  <si>
    <t xml:space="preserve">FRONTIER </t>
  </si>
  <si>
    <t xml:space="preserve">OPERATIONS &amp; MAINTENANCE - REPAIRS &amp; MAINTENANCE - PURCHASED SERVICES </t>
  </si>
  <si>
    <t xml:space="preserve">ILLINOIS AMERICAN WATER </t>
  </si>
  <si>
    <t>ILLINOIS VALLEY CELLULAR</t>
  </si>
  <si>
    <t>AUCA CHICAGO MC LOCKBOX</t>
  </si>
  <si>
    <t>MEDIACOM</t>
  </si>
  <si>
    <t xml:space="preserve">REPUBLIC SERVICES </t>
  </si>
  <si>
    <t>DAVID R DOLLINGER</t>
  </si>
  <si>
    <t>10-1690 - Other Food Revenue $500</t>
  </si>
  <si>
    <t>10-1999 Other Revenue $35,182</t>
  </si>
  <si>
    <t>10-3999 Hold Harmless Income $1,500</t>
  </si>
  <si>
    <t>10-2190-1 Tech Salaries $52,648</t>
  </si>
  <si>
    <t>10-2190-2 Tech Employee Benefits $7,366</t>
  </si>
  <si>
    <t>10-2190-3 Tech Purchased Services $24,967</t>
  </si>
  <si>
    <t>10-2190-4 Tech Supplies $26,065</t>
  </si>
  <si>
    <t>10-2190-5 Tech Capital Outlay $14,532</t>
  </si>
  <si>
    <t>20-1999 Other Revnue $80</t>
  </si>
  <si>
    <t>30-5400-6 Bond Bank Fees $500</t>
  </si>
  <si>
    <t>50-2190-2 Tech Employee Benefits $8,407</t>
  </si>
  <si>
    <t>60-1290 Sales Tax Income $247,975</t>
  </si>
  <si>
    <t>Woodland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</si>
</sst>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104775</xdr:rowOff>
        </xdr:from>
        <xdr:to>
          <xdr:col>1</xdr:col>
          <xdr:colOff>790575</xdr:colOff>
          <xdr:row>9</xdr:row>
          <xdr:rowOff>142875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1</xdr:row>
          <xdr:rowOff>9525</xdr:rowOff>
        </xdr:from>
        <xdr:to>
          <xdr:col>1</xdr:col>
          <xdr:colOff>2247900</xdr:colOff>
          <xdr:row>5</xdr:row>
          <xdr:rowOff>47625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BD2291BA-2998-4BBA-B545-FEC5BA88B1B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2077</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2083</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17053005026</v>
      </c>
      <c r="B13" s="2003"/>
      <c r="C13" s="2003"/>
      <c r="D13" s="2003"/>
      <c r="E13" s="2003"/>
      <c r="F13" s="2003"/>
      <c r="G13" s="2003"/>
      <c r="H13" s="2004"/>
      <c r="I13" s="31"/>
      <c r="J13" s="30"/>
      <c r="K13" s="28"/>
      <c r="L13" s="30"/>
      <c r="M13" s="30"/>
      <c r="N13" s="30"/>
      <c r="O13" s="30"/>
      <c r="P13" s="30"/>
      <c r="Q13" s="30"/>
      <c r="R13" s="30"/>
      <c r="S13" s="30"/>
      <c r="T13" s="2007" t="s">
        <v>2086</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2078</v>
      </c>
      <c r="B15" s="2005"/>
      <c r="C15" s="2005"/>
      <c r="D15" s="2005"/>
      <c r="E15" s="2005"/>
      <c r="F15" s="2005"/>
      <c r="G15" s="2005"/>
      <c r="H15" s="2006"/>
      <c r="T15" s="1968" t="s">
        <v>2087</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2120</v>
      </c>
      <c r="B17" s="2030"/>
      <c r="C17" s="2030"/>
      <c r="D17" s="2030"/>
      <c r="E17" s="2030"/>
      <c r="F17" s="2030"/>
      <c r="G17" s="2030"/>
      <c r="H17" s="2031"/>
      <c r="T17" s="2017" t="s">
        <v>2088</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2079</v>
      </c>
      <c r="B19" s="2001"/>
      <c r="C19" s="2001"/>
      <c r="D19" s="2001"/>
      <c r="E19" s="2001"/>
      <c r="F19" s="2001"/>
      <c r="G19" s="2001"/>
      <c r="H19" s="1999"/>
      <c r="I19" s="30"/>
      <c r="J19" s="99"/>
      <c r="K19" s="40"/>
      <c r="L19" s="38"/>
      <c r="M19" s="112" t="s">
        <v>333</v>
      </c>
      <c r="P19" s="27"/>
      <c r="Q19" s="27"/>
      <c r="R19" s="27"/>
      <c r="S19" s="31"/>
      <c r="T19" s="2000" t="s">
        <v>2089</v>
      </c>
      <c r="U19" s="1998"/>
      <c r="V19" s="1998"/>
      <c r="W19" s="1999"/>
      <c r="X19" s="2015" t="s">
        <v>2090</v>
      </c>
      <c r="Y19" s="2016"/>
      <c r="Z19" s="2013">
        <v>61326</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2080</v>
      </c>
      <c r="B21" s="1998"/>
      <c r="C21" s="1998"/>
      <c r="D21" s="1998"/>
      <c r="E21" s="1998"/>
      <c r="F21" s="1998"/>
      <c r="G21" s="1998"/>
      <c r="H21" s="1999"/>
      <c r="I21" s="2023" t="s">
        <v>699</v>
      </c>
      <c r="J21" s="1986"/>
      <c r="K21" s="1986"/>
      <c r="L21" s="1986"/>
      <c r="M21" s="1986"/>
      <c r="N21" s="1986"/>
      <c r="O21" s="1986"/>
      <c r="P21" s="1986"/>
      <c r="Q21" s="1986"/>
      <c r="R21" s="1986"/>
      <c r="S21" s="1987"/>
      <c r="T21" s="1965" t="s">
        <v>2091</v>
      </c>
      <c r="U21" s="1966"/>
      <c r="V21" s="1966"/>
      <c r="W21" s="1966"/>
      <c r="X21" s="1979" t="s">
        <v>2092</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2081</v>
      </c>
      <c r="B23" s="2021"/>
      <c r="C23" s="2021"/>
      <c r="D23" s="2021"/>
      <c r="E23" s="2021"/>
      <c r="F23" s="2021"/>
      <c r="G23" s="2021"/>
      <c r="H23" s="2022"/>
      <c r="T23" s="1960">
        <v>66.004501000000005</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t="s">
        <v>2082</v>
      </c>
      <c r="B25" s="1998"/>
      <c r="C25" s="1998"/>
      <c r="D25" s="1998"/>
      <c r="E25" s="1998"/>
      <c r="F25" s="1998"/>
      <c r="G25" s="1998"/>
      <c r="H25" s="1999"/>
      <c r="I25" s="113"/>
      <c r="J25" s="2064"/>
      <c r="K25" s="2064"/>
      <c r="L25" s="2064"/>
      <c r="M25" s="2064"/>
      <c r="N25" s="2064"/>
      <c r="O25" s="2064"/>
      <c r="P25" s="2064"/>
      <c r="Q25" s="2064"/>
      <c r="R25" s="2064"/>
      <c r="S25" s="2065"/>
      <c r="T25" s="1957" t="s">
        <v>2093</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t="s">
        <v>2083</v>
      </c>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2083</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2084</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2081</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2085</v>
      </c>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1" colorId="8" zoomScale="110" zoomScaleNormal="110" workbookViewId="0">
      <selection activeCell="P65" sqref="P6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2083</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2094</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2095</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49006495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3.9282999999999998E-2</v>
      </c>
      <c r="E10" s="356" t="s">
        <v>1062</v>
      </c>
      <c r="F10" s="355">
        <v>7.0987999999999997E-3</v>
      </c>
      <c r="G10" s="356" t="s">
        <v>1062</v>
      </c>
      <c r="H10" s="355">
        <v>6.0673999999999997E-3</v>
      </c>
      <c r="I10" s="356" t="s">
        <v>1063</v>
      </c>
      <c r="J10" s="1754">
        <f>ROUND(D10+F10+H10,5)</f>
        <v>5.2449999999999997E-2</v>
      </c>
      <c r="K10" s="222"/>
      <c r="L10" s="355">
        <v>8.2999999999999998E-5</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6201148</v>
      </c>
      <c r="E16" s="356"/>
      <c r="F16" s="1755">
        <f>SUM('Acct Summary 7-8'!C17,'Acct Summary 7-8'!D17,'Acct Summary 7-8'!F17)</f>
        <v>5849205</v>
      </c>
      <c r="G16" s="356"/>
      <c r="H16" s="1755">
        <f>SUM(D16-F16)</f>
        <v>351943</v>
      </c>
      <c r="I16" s="222"/>
      <c r="J16" s="1755">
        <f>SUM('Acct Summary 7-8'!C81,'Acct Summary 7-8'!D81,'Acct Summary 7-8'!F81,'Acct Summary 7-8'!I81)</f>
        <v>1924545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6762896.3100000005</v>
      </c>
      <c r="I31" s="368"/>
      <c r="J31" s="222"/>
      <c r="K31" s="222"/>
      <c r="L31" s="222"/>
      <c r="M31" s="222"/>
    </row>
    <row r="32" spans="1:13" ht="13.35" customHeight="1" x14ac:dyDescent="0.2">
      <c r="B32" s="369" t="s">
        <v>2083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1640000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Woodland CUSD 5</v>
      </c>
      <c r="E7" s="391"/>
      <c r="G7" s="252"/>
      <c r="H7" s="387"/>
      <c r="I7" s="387"/>
      <c r="J7" s="387"/>
      <c r="K7" s="387"/>
      <c r="L7" s="329"/>
      <c r="M7" s="329"/>
      <c r="N7" s="329"/>
      <c r="O7" s="329"/>
      <c r="P7" s="329"/>
    </row>
    <row r="8" spans="1:18" ht="12.75" x14ac:dyDescent="0.2">
      <c r="A8" s="329"/>
      <c r="B8" s="329"/>
      <c r="C8" s="389" t="s">
        <v>1187</v>
      </c>
      <c r="D8" s="392">
        <f>COVER!A13</f>
        <v>17053005026</v>
      </c>
      <c r="E8" s="393"/>
      <c r="G8" s="329"/>
      <c r="H8" s="329"/>
      <c r="I8" s="329"/>
      <c r="J8" s="329"/>
      <c r="K8" s="329"/>
      <c r="L8" s="329"/>
      <c r="M8" s="329"/>
      <c r="N8" s="329"/>
      <c r="O8" s="329"/>
      <c r="P8" s="329"/>
    </row>
    <row r="9" spans="1:18" ht="12.75" x14ac:dyDescent="0.2">
      <c r="A9" s="329"/>
      <c r="B9" s="329"/>
      <c r="C9" s="389" t="s">
        <v>737</v>
      </c>
      <c r="D9" s="394" t="str">
        <f>COVER!A15</f>
        <v xml:space="preserve">LIVINGSTON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1924545</v>
      </c>
      <c r="I12" s="404"/>
      <c r="J12" s="404"/>
      <c r="K12" s="405">
        <f>TRUNC((H12/H13*100000),5)/100000</f>
        <v>0.31035301850000002</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6201148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5849205</v>
      </c>
      <c r="I17" s="404"/>
      <c r="J17" s="416"/>
      <c r="K17" s="405">
        <f>TRUNC((H17/H18*100000),5)/100000</f>
        <v>0.94324550870000001</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6201148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1924545</v>
      </c>
      <c r="I24" s="422"/>
      <c r="J24" s="422"/>
      <c r="K24" s="423">
        <f>TRUNC(((H24/H25*100000)/100000),2)</f>
        <v>118.44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16247.791670000001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2184832.0633399999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1640000</v>
      </c>
      <c r="I32" s="420"/>
      <c r="J32" s="420"/>
      <c r="K32" s="423">
        <f>TRUNC(100-((((H32/H33*100))*100)/100),2)</f>
        <v>75.75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6762896.3100000005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f>759774+100+110000+8000</f>
        <v>877874</v>
      </c>
      <c r="D4" s="466">
        <v>346540</v>
      </c>
      <c r="E4" s="466">
        <v>2485</v>
      </c>
      <c r="F4" s="466">
        <f>179890+260000</f>
        <v>439890</v>
      </c>
      <c r="G4" s="466">
        <v>45751</v>
      </c>
      <c r="H4" s="466">
        <f>24069+180000</f>
        <v>204069</v>
      </c>
      <c r="I4" s="466">
        <f>30241+230000</f>
        <v>260241</v>
      </c>
      <c r="J4" s="467">
        <v>82377</v>
      </c>
      <c r="K4" s="466">
        <f>1143350+60000</f>
        <v>1203350</v>
      </c>
      <c r="L4" s="466">
        <f>84285+3000</f>
        <v>87285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877874</v>
      </c>
      <c r="D13" s="1759">
        <f t="shared" ref="D13:L13" si="0">SUM(D4:D12)</f>
        <v>346540</v>
      </c>
      <c r="E13" s="1759">
        <f t="shared" si="0"/>
        <v>2485</v>
      </c>
      <c r="F13" s="1759">
        <f t="shared" si="0"/>
        <v>439890</v>
      </c>
      <c r="G13" s="1759">
        <f t="shared" si="0"/>
        <v>45751</v>
      </c>
      <c r="H13" s="1759">
        <f t="shared" si="0"/>
        <v>204069</v>
      </c>
      <c r="I13" s="1759">
        <f t="shared" si="0"/>
        <v>260241</v>
      </c>
      <c r="J13" s="1759">
        <f t="shared" si="0"/>
        <v>82377</v>
      </c>
      <c r="K13" s="1759">
        <f t="shared" si="0"/>
        <v>1203350</v>
      </c>
      <c r="L13" s="1759">
        <f t="shared" si="0"/>
        <v>87285</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15000</v>
      </c>
      <c r="N16" s="484"/>
    </row>
    <row r="17" spans="1:14" s="485" customFormat="1" ht="12.75" customHeight="1" x14ac:dyDescent="0.2">
      <c r="A17" s="482" t="s">
        <v>1470</v>
      </c>
      <c r="B17" s="483">
        <v>230</v>
      </c>
      <c r="C17" s="477"/>
      <c r="D17" s="477"/>
      <c r="E17" s="477"/>
      <c r="F17" s="477"/>
      <c r="G17" s="477"/>
      <c r="H17" s="477"/>
      <c r="I17" s="477"/>
      <c r="J17" s="477"/>
      <c r="K17" s="477"/>
      <c r="L17" s="477"/>
      <c r="M17" s="467">
        <v>3642049</v>
      </c>
      <c r="N17" s="484"/>
    </row>
    <row r="18" spans="1:14" s="485" customFormat="1" ht="12.75" customHeight="1" x14ac:dyDescent="0.2">
      <c r="A18" s="482" t="s">
        <v>1471</v>
      </c>
      <c r="B18" s="483">
        <v>240</v>
      </c>
      <c r="C18" s="477"/>
      <c r="D18" s="477"/>
      <c r="E18" s="477"/>
      <c r="F18" s="477"/>
      <c r="G18" s="477"/>
      <c r="H18" s="477"/>
      <c r="I18" s="477"/>
      <c r="J18" s="477"/>
      <c r="K18" s="477"/>
      <c r="L18" s="477"/>
      <c r="M18" s="467">
        <v>1598516</v>
      </c>
      <c r="N18" s="484"/>
    </row>
    <row r="19" spans="1:14" s="485" customFormat="1" ht="12.75" customHeight="1" x14ac:dyDescent="0.2">
      <c r="A19" s="482" t="s">
        <v>1472</v>
      </c>
      <c r="B19" s="483">
        <v>250</v>
      </c>
      <c r="C19" s="477"/>
      <c r="D19" s="477"/>
      <c r="E19" s="477"/>
      <c r="F19" s="477"/>
      <c r="G19" s="477"/>
      <c r="H19" s="477"/>
      <c r="I19" s="477"/>
      <c r="J19" s="477"/>
      <c r="K19" s="477"/>
      <c r="L19" s="477"/>
      <c r="M19" s="467">
        <v>601234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2485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1637515</v>
      </c>
    </row>
    <row r="23" spans="1:14" ht="13.5" customHeight="1" thickBot="1" x14ac:dyDescent="0.25">
      <c r="A23" s="1758" t="s">
        <v>664</v>
      </c>
      <c r="B23" s="1763"/>
      <c r="C23" s="468"/>
      <c r="D23" s="468"/>
      <c r="E23" s="468"/>
      <c r="F23" s="468"/>
      <c r="G23" s="468"/>
      <c r="H23" s="468"/>
      <c r="I23" s="468"/>
      <c r="J23" s="468"/>
      <c r="K23" s="468"/>
      <c r="L23" s="468"/>
      <c r="M23" s="1710">
        <f>SUM(M15:M22)</f>
        <v>5856799</v>
      </c>
      <c r="N23" s="1710">
        <f>SUM(N21:N22)</f>
        <v>1640000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84285</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84285</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1640000</v>
      </c>
    </row>
    <row r="37" spans="1:14" ht="13.5" thickBot="1" x14ac:dyDescent="0.25">
      <c r="A37" s="1758" t="s">
        <v>674</v>
      </c>
      <c r="B37" s="1763"/>
      <c r="C37" s="477"/>
      <c r="D37" s="477"/>
      <c r="E37" s="477"/>
      <c r="F37" s="477"/>
      <c r="G37" s="477"/>
      <c r="H37" s="477"/>
      <c r="I37" s="477"/>
      <c r="J37" s="477"/>
      <c r="K37" s="477"/>
      <c r="L37" s="480"/>
      <c r="M37" s="468"/>
      <c r="N37" s="1710">
        <f>SUM(N36:N36)</f>
        <v>1640000</v>
      </c>
    </row>
    <row r="38" spans="1:14" s="329" customFormat="1" ht="13.5" customHeight="1" thickTop="1" x14ac:dyDescent="0.2">
      <c r="A38" s="496" t="s">
        <v>440</v>
      </c>
      <c r="B38" s="483">
        <v>714</v>
      </c>
      <c r="C38" s="466">
        <v>5053</v>
      </c>
      <c r="D38" s="466"/>
      <c r="E38" s="466"/>
      <c r="F38" s="466"/>
      <c r="G38" s="466"/>
      <c r="H38" s="466"/>
      <c r="I38" s="466"/>
      <c r="J38" s="467"/>
      <c r="K38" s="466"/>
      <c r="L38" s="481">
        <v>3000</v>
      </c>
      <c r="M38" s="497"/>
      <c r="N38" s="497"/>
    </row>
    <row r="39" spans="1:14" s="329" customFormat="1" ht="13.5" customHeight="1" x14ac:dyDescent="0.2">
      <c r="A39" s="496" t="s">
        <v>360</v>
      </c>
      <c r="B39" s="483">
        <v>730</v>
      </c>
      <c r="C39" s="466">
        <v>872821</v>
      </c>
      <c r="D39" s="466">
        <v>346540</v>
      </c>
      <c r="E39" s="466">
        <v>2485</v>
      </c>
      <c r="F39" s="466">
        <v>439890</v>
      </c>
      <c r="G39" s="466">
        <v>45751</v>
      </c>
      <c r="H39" s="466">
        <v>204069</v>
      </c>
      <c r="I39" s="466">
        <v>260241</v>
      </c>
      <c r="J39" s="467">
        <v>82377</v>
      </c>
      <c r="K39" s="466">
        <v>1203350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5856799</v>
      </c>
      <c r="N40" s="497"/>
    </row>
    <row r="41" spans="1:14" ht="13.5" customHeight="1" thickBot="1" x14ac:dyDescent="0.25">
      <c r="A41" s="1758" t="s">
        <v>676</v>
      </c>
      <c r="B41" s="1728"/>
      <c r="C41" s="1710">
        <f>(SUM(C34,C37,C38,C39))</f>
        <v>877874</v>
      </c>
      <c r="D41" s="1710">
        <f t="shared" ref="D41:L41" si="2">SUM(D34,D37,D38:D39)</f>
        <v>346540</v>
      </c>
      <c r="E41" s="1710">
        <f t="shared" si="2"/>
        <v>2485</v>
      </c>
      <c r="F41" s="1710">
        <f t="shared" si="2"/>
        <v>439890</v>
      </c>
      <c r="G41" s="1710">
        <f t="shared" si="2"/>
        <v>45751</v>
      </c>
      <c r="H41" s="1710">
        <f t="shared" si="2"/>
        <v>204069</v>
      </c>
      <c r="I41" s="1710">
        <f t="shared" si="2"/>
        <v>260241</v>
      </c>
      <c r="J41" s="1710">
        <f t="shared" si="2"/>
        <v>82377</v>
      </c>
      <c r="K41" s="1710">
        <f t="shared" si="2"/>
        <v>1203350</v>
      </c>
      <c r="L41" s="1710">
        <f t="shared" si="2"/>
        <v>87285</v>
      </c>
      <c r="M41" s="1710">
        <f>SUM(M40)</f>
        <v>5856799</v>
      </c>
      <c r="N41" s="1710">
        <f>SUM(N37)</f>
        <v>1640000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&amp;L&amp;8Print Date:  &amp;D
&amp;F&amp;CThe accompanying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Split"/>
      <selection activeCell="A47" sqref="A47"/>
      <selection pane="bottomLeft" activeCell="E44" sqref="E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4" t="s">
        <v>1237</v>
      </c>
      <c r="B3" s="2145"/>
      <c r="C3" s="1595"/>
      <c r="D3" s="1596"/>
      <c r="E3" s="1596"/>
      <c r="F3" s="1596"/>
      <c r="G3" s="1596"/>
      <c r="H3" s="1596"/>
      <c r="I3" s="1596"/>
      <c r="J3" s="1596"/>
      <c r="K3" s="1597"/>
      <c r="L3" s="506"/>
    </row>
    <row r="4" spans="1:13" ht="15.75" customHeight="1" x14ac:dyDescent="0.2">
      <c r="A4" s="2146" t="s">
        <v>1579</v>
      </c>
      <c r="B4" s="2147"/>
      <c r="C4" s="1764">
        <f>'Revenues 9-14'!C109</f>
        <v>2977805</v>
      </c>
      <c r="D4" s="1764">
        <f>'Revenues 9-14'!D109</f>
        <v>403310</v>
      </c>
      <c r="E4" s="1764">
        <f>'Revenues 9-14'!E109</f>
        <v>0</v>
      </c>
      <c r="F4" s="1764">
        <f>'Revenues 9-14'!F109</f>
        <v>286533</v>
      </c>
      <c r="G4" s="1764">
        <f>'Revenues 9-14'!G109</f>
        <v>121148</v>
      </c>
      <c r="H4" s="1764">
        <f>'Revenues 9-14'!H109</f>
        <v>248985</v>
      </c>
      <c r="I4" s="1764">
        <f>'Revenues 9-14'!I109</f>
        <v>5923</v>
      </c>
      <c r="J4" s="1764">
        <f>'Revenues 9-14'!J109</f>
        <v>109888</v>
      </c>
      <c r="K4" s="1764">
        <f>'Revenues 9-14'!K109</f>
        <v>3063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1631660</v>
      </c>
      <c r="D6" s="1765">
        <f>'Revenues 9-14'!D173</f>
        <v>0</v>
      </c>
      <c r="E6" s="1765">
        <f>'Revenues 9-14'!E173</f>
        <v>0</v>
      </c>
      <c r="F6" s="1765">
        <f>'Revenues 9-14'!F173</f>
        <v>488208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407709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5017174</v>
      </c>
      <c r="D8" s="1710">
        <f t="shared" ref="D8:K8" si="0">SUM(D4:D7)</f>
        <v>403310</v>
      </c>
      <c r="E8" s="1710">
        <f t="shared" si="0"/>
        <v>0</v>
      </c>
      <c r="F8" s="1710">
        <f t="shared" si="0"/>
        <v>774741</v>
      </c>
      <c r="G8" s="1710">
        <f t="shared" si="0"/>
        <v>121148</v>
      </c>
      <c r="H8" s="1710">
        <f t="shared" si="0"/>
        <v>248985</v>
      </c>
      <c r="I8" s="1710">
        <f t="shared" si="0"/>
        <v>5923</v>
      </c>
      <c r="J8" s="1710">
        <f t="shared" si="0"/>
        <v>109888</v>
      </c>
      <c r="K8" s="1710">
        <f t="shared" si="0"/>
        <v>3063</v>
      </c>
      <c r="L8" s="347"/>
    </row>
    <row r="9" spans="1:13" ht="15.75" thickTop="1" x14ac:dyDescent="0.2">
      <c r="A9" s="514" t="s">
        <v>1752</v>
      </c>
      <c r="B9" s="515">
        <v>3998</v>
      </c>
      <c r="C9" s="481">
        <v>1831094</v>
      </c>
      <c r="D9" s="516"/>
      <c r="E9" s="481"/>
      <c r="F9" s="481"/>
      <c r="G9" s="517"/>
      <c r="H9" s="481"/>
      <c r="I9" s="509" t="s">
        <v>1231</v>
      </c>
      <c r="J9" s="478"/>
      <c r="K9" s="481"/>
      <c r="L9" s="347"/>
    </row>
    <row r="10" spans="1:13" s="519" customFormat="1" ht="13.5" thickBot="1" x14ac:dyDescent="0.25">
      <c r="A10" s="1758" t="s">
        <v>1235</v>
      </c>
      <c r="B10" s="1731"/>
      <c r="C10" s="1710">
        <f>SUM(C8:C9)</f>
        <v>6848268</v>
      </c>
      <c r="D10" s="1710">
        <f t="shared" ref="D10:K10" si="1">SUM(D8:D9)</f>
        <v>403310</v>
      </c>
      <c r="E10" s="1710">
        <f t="shared" si="1"/>
        <v>0</v>
      </c>
      <c r="F10" s="1710">
        <f t="shared" si="1"/>
        <v>774741</v>
      </c>
      <c r="G10" s="1710">
        <f t="shared" si="1"/>
        <v>121148</v>
      </c>
      <c r="H10" s="1710">
        <f t="shared" si="1"/>
        <v>248985</v>
      </c>
      <c r="I10" s="1710">
        <f t="shared" si="1"/>
        <v>5923</v>
      </c>
      <c r="J10" s="1710">
        <f t="shared" si="1"/>
        <v>109888</v>
      </c>
      <c r="K10" s="1710">
        <f t="shared" si="1"/>
        <v>3063</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3308791</v>
      </c>
      <c r="D12" s="520" t="s">
        <v>1231</v>
      </c>
      <c r="E12" s="468" t="s">
        <v>1231</v>
      </c>
      <c r="F12" s="468" t="s">
        <v>1231</v>
      </c>
      <c r="G12" s="1764">
        <f>'Expenditures 15-22'!K229</f>
        <v>84724</v>
      </c>
      <c r="H12" s="521"/>
      <c r="I12" s="468" t="s">
        <v>1231</v>
      </c>
      <c r="J12" s="468" t="s">
        <v>1231</v>
      </c>
      <c r="K12" s="521" t="s">
        <v>1231</v>
      </c>
      <c r="L12" s="347"/>
    </row>
    <row r="13" spans="1:13" ht="15.75" customHeight="1" x14ac:dyDescent="0.2">
      <c r="A13" s="1598" t="s">
        <v>477</v>
      </c>
      <c r="B13" s="1600">
        <v>2000</v>
      </c>
      <c r="C13" s="1765">
        <f>'Expenditures 15-22'!K74</f>
        <v>920783</v>
      </c>
      <c r="D13" s="1765">
        <f>'Expenditures 15-22'!K129</f>
        <v>396029</v>
      </c>
      <c r="E13" s="469" t="s">
        <v>1231</v>
      </c>
      <c r="F13" s="1765">
        <f>'Expenditures 15-22'!K184</f>
        <v>603304</v>
      </c>
      <c r="G13" s="1765">
        <f>'Expenditures 15-22'!K279</f>
        <v>78244</v>
      </c>
      <c r="H13" s="1765">
        <f>'Expenditures 15-22'!K303</f>
        <v>145263</v>
      </c>
      <c r="I13" s="468" t="s">
        <v>1231</v>
      </c>
      <c r="J13" s="1765">
        <f>'Expenditures 15-22'!K330</f>
        <v>84731</v>
      </c>
      <c r="K13" s="1769">
        <f>'Expenditures 15-22'!K352</f>
        <v>384083</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620298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31828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4849872</v>
      </c>
      <c r="D17" s="1710">
        <f t="shared" si="2"/>
        <v>396029</v>
      </c>
      <c r="E17" s="1710">
        <f t="shared" si="2"/>
        <v>31828</v>
      </c>
      <c r="F17" s="1710">
        <f t="shared" si="2"/>
        <v>603304</v>
      </c>
      <c r="G17" s="1710">
        <f t="shared" si="2"/>
        <v>162968</v>
      </c>
      <c r="H17" s="1710">
        <f t="shared" si="2"/>
        <v>145263</v>
      </c>
      <c r="I17" s="468"/>
      <c r="J17" s="1710">
        <f>SUM(J12:J16)</f>
        <v>84731</v>
      </c>
      <c r="K17" s="1710">
        <f>SUM(K12:K16)</f>
        <v>384083</v>
      </c>
      <c r="L17" s="347"/>
    </row>
    <row r="18" spans="1:12" ht="15" customHeight="1" thickTop="1" x14ac:dyDescent="0.2">
      <c r="A18" s="1766" t="s">
        <v>1753</v>
      </c>
      <c r="B18" s="1767">
        <v>4180</v>
      </c>
      <c r="C18" s="1764">
        <f t="shared" ref="C18:H18" si="3">C9</f>
        <v>1831094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6680966</v>
      </c>
      <c r="D19" s="1710">
        <f t="shared" si="4"/>
        <v>396029</v>
      </c>
      <c r="E19" s="1710">
        <f t="shared" si="4"/>
        <v>31828</v>
      </c>
      <c r="F19" s="1710">
        <f t="shared" si="4"/>
        <v>603304</v>
      </c>
      <c r="G19" s="1710">
        <f t="shared" si="4"/>
        <v>162968</v>
      </c>
      <c r="H19" s="1710">
        <f t="shared" si="4"/>
        <v>145263</v>
      </c>
      <c r="I19" s="468"/>
      <c r="J19" s="1710">
        <f>SUM(J17:J18)</f>
        <v>84731</v>
      </c>
      <c r="K19" s="1710">
        <f>SUM(K17:K18)</f>
        <v>384083</v>
      </c>
      <c r="L19" s="347"/>
    </row>
    <row r="20" spans="1:12" ht="16.5" thickTop="1" thickBot="1" x14ac:dyDescent="0.25">
      <c r="A20" s="2134" t="s">
        <v>1754</v>
      </c>
      <c r="B20" s="2135"/>
      <c r="C20" s="1768">
        <f>C8-C17</f>
        <v>167302</v>
      </c>
      <c r="D20" s="1768">
        <f t="shared" ref="D20:K20" si="5">D8-D17</f>
        <v>7281</v>
      </c>
      <c r="E20" s="1768">
        <f t="shared" si="5"/>
        <v>-31828</v>
      </c>
      <c r="F20" s="1768">
        <f t="shared" si="5"/>
        <v>171437</v>
      </c>
      <c r="G20" s="1768">
        <f t="shared" si="5"/>
        <v>-41820</v>
      </c>
      <c r="H20" s="1768">
        <f t="shared" si="5"/>
        <v>103722</v>
      </c>
      <c r="I20" s="1768">
        <f t="shared" si="5"/>
        <v>5923</v>
      </c>
      <c r="J20" s="1768">
        <f t="shared" si="5"/>
        <v>25157</v>
      </c>
      <c r="K20" s="1768">
        <f t="shared" si="5"/>
        <v>-381020</v>
      </c>
      <c r="L20" s="347"/>
    </row>
    <row r="21" spans="1:12" ht="16.7" customHeight="1" thickTop="1" x14ac:dyDescent="0.2">
      <c r="A21" s="2148" t="s">
        <v>616</v>
      </c>
      <c r="B21" s="2149"/>
      <c r="C21" s="1592"/>
      <c r="D21" s="1593"/>
      <c r="E21" s="1593"/>
      <c r="F21" s="1593"/>
      <c r="G21" s="1593"/>
      <c r="H21" s="1593"/>
      <c r="I21" s="1593"/>
      <c r="J21" s="1593"/>
      <c r="K21" s="1594"/>
      <c r="L21" s="524"/>
    </row>
    <row r="22" spans="1:12" ht="15.75" customHeight="1" collapsed="1" x14ac:dyDescent="0.2">
      <c r="A22" s="2142" t="s">
        <v>617</v>
      </c>
      <c r="B22" s="2143"/>
      <c r="C22" s="477"/>
      <c r="D22" s="477"/>
      <c r="E22" s="477"/>
      <c r="F22" s="477"/>
      <c r="G22" s="477"/>
      <c r="H22" s="477"/>
      <c r="I22" s="477"/>
      <c r="J22" s="477"/>
      <c r="K22" s="477"/>
      <c r="L22" s="347"/>
    </row>
    <row r="23" spans="1:12" s="485" customFormat="1" ht="15.75" customHeight="1" x14ac:dyDescent="0.2">
      <c r="A23" s="2138" t="s">
        <v>311</v>
      </c>
      <c r="B23" s="213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0" t="s">
        <v>1038</v>
      </c>
      <c r="B32" s="214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1500000</v>
      </c>
      <c r="L33" s="524"/>
    </row>
    <row r="34" spans="1:12" s="485" customFormat="1" x14ac:dyDescent="0.2">
      <c r="A34" s="1511" t="s">
        <v>1058</v>
      </c>
      <c r="B34" s="525">
        <v>7220</v>
      </c>
      <c r="C34" s="467"/>
      <c r="D34" s="467"/>
      <c r="E34" s="467"/>
      <c r="F34" s="467"/>
      <c r="G34" s="477"/>
      <c r="H34" s="478"/>
      <c r="I34" s="478"/>
      <c r="J34" s="478"/>
      <c r="K34" s="478">
        <v>27615</v>
      </c>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v>115000</v>
      </c>
      <c r="D43" s="467"/>
      <c r="E43" s="467">
        <v>31900</v>
      </c>
      <c r="F43" s="467"/>
      <c r="G43" s="467"/>
      <c r="H43" s="467"/>
      <c r="I43" s="467"/>
      <c r="J43" s="467"/>
      <c r="K43" s="467"/>
      <c r="L43" s="524"/>
    </row>
    <row r="44" spans="1:12" s="485" customFormat="1" ht="13.5" customHeight="1" thickBot="1" x14ac:dyDescent="0.25">
      <c r="A44" s="2150" t="s">
        <v>392</v>
      </c>
      <c r="B44" s="2151"/>
      <c r="C44" s="1725">
        <f>SUM(C24:C43)</f>
        <v>115000</v>
      </c>
      <c r="D44" s="1725">
        <f t="shared" ref="D44:K44" si="6">SUM(D24:D43)</f>
        <v>0</v>
      </c>
      <c r="E44" s="1725">
        <f t="shared" si="6"/>
        <v>31900</v>
      </c>
      <c r="F44" s="1725">
        <f t="shared" si="6"/>
        <v>0</v>
      </c>
      <c r="G44" s="1725">
        <f t="shared" si="6"/>
        <v>0</v>
      </c>
      <c r="H44" s="1725">
        <f t="shared" si="6"/>
        <v>0</v>
      </c>
      <c r="I44" s="1725">
        <f t="shared" si="6"/>
        <v>0</v>
      </c>
      <c r="J44" s="1725">
        <f t="shared" si="6"/>
        <v>0</v>
      </c>
      <c r="K44" s="1725">
        <f t="shared" si="6"/>
        <v>1527615</v>
      </c>
      <c r="L44" s="524"/>
    </row>
    <row r="45" spans="1:12" ht="15.75" customHeight="1" thickTop="1" x14ac:dyDescent="0.2">
      <c r="A45" s="2142" t="s">
        <v>110</v>
      </c>
      <c r="B45" s="2143"/>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v>26528</v>
      </c>
      <c r="D75" s="531">
        <v>31900</v>
      </c>
      <c r="E75" s="530"/>
      <c r="F75" s="532"/>
      <c r="G75" s="532"/>
      <c r="H75" s="532">
        <v>115000</v>
      </c>
      <c r="I75" s="530"/>
      <c r="J75" s="530"/>
      <c r="K75" s="532"/>
      <c r="L75" s="524"/>
    </row>
    <row r="76" spans="1:12" s="485" customFormat="1" ht="14.25" thickTop="1" thickBot="1" x14ac:dyDescent="0.25">
      <c r="A76" s="2154" t="s">
        <v>460</v>
      </c>
      <c r="B76" s="2155"/>
      <c r="C76" s="1725">
        <f t="shared" ref="C76:K76" si="7">SUM(C47:C75)</f>
        <v>26528</v>
      </c>
      <c r="D76" s="1725">
        <f t="shared" si="7"/>
        <v>31900</v>
      </c>
      <c r="E76" s="1725">
        <f t="shared" si="7"/>
        <v>0</v>
      </c>
      <c r="F76" s="1725">
        <f t="shared" si="7"/>
        <v>0</v>
      </c>
      <c r="G76" s="1725">
        <f t="shared" si="7"/>
        <v>0</v>
      </c>
      <c r="H76" s="1725">
        <f t="shared" si="7"/>
        <v>115000</v>
      </c>
      <c r="I76" s="1725">
        <f t="shared" si="7"/>
        <v>0</v>
      </c>
      <c r="J76" s="1725">
        <f t="shared" si="7"/>
        <v>0</v>
      </c>
      <c r="K76" s="1725">
        <f t="shared" si="7"/>
        <v>0</v>
      </c>
      <c r="L76" s="524"/>
    </row>
    <row r="77" spans="1:12" ht="14.25" thickTop="1" thickBot="1" x14ac:dyDescent="0.25">
      <c r="A77" s="2156" t="s">
        <v>1239</v>
      </c>
      <c r="B77" s="2157"/>
      <c r="C77" s="1725">
        <f t="shared" ref="C77:K77" si="8">C44-C76</f>
        <v>88472</v>
      </c>
      <c r="D77" s="1725">
        <f t="shared" si="8"/>
        <v>-31900</v>
      </c>
      <c r="E77" s="1725">
        <f t="shared" si="8"/>
        <v>31900</v>
      </c>
      <c r="F77" s="1725">
        <f t="shared" si="8"/>
        <v>0</v>
      </c>
      <c r="G77" s="1725">
        <f t="shared" si="8"/>
        <v>0</v>
      </c>
      <c r="H77" s="1725">
        <f t="shared" si="8"/>
        <v>-115000</v>
      </c>
      <c r="I77" s="1725">
        <f t="shared" si="8"/>
        <v>0</v>
      </c>
      <c r="J77" s="1725">
        <f t="shared" si="8"/>
        <v>0</v>
      </c>
      <c r="K77" s="1725">
        <f t="shared" si="8"/>
        <v>1527615</v>
      </c>
      <c r="L77" s="347"/>
    </row>
    <row r="78" spans="1:12" ht="21.75" customHeight="1" thickTop="1" thickBot="1" x14ac:dyDescent="0.25">
      <c r="A78" s="2160" t="s">
        <v>618</v>
      </c>
      <c r="B78" s="2161"/>
      <c r="C78" s="1724">
        <f t="shared" ref="C78:K78" si="9">C20+C77</f>
        <v>255774</v>
      </c>
      <c r="D78" s="1724">
        <f t="shared" si="9"/>
        <v>-24619</v>
      </c>
      <c r="E78" s="1724">
        <f t="shared" si="9"/>
        <v>72</v>
      </c>
      <c r="F78" s="1724">
        <f t="shared" si="9"/>
        <v>171437</v>
      </c>
      <c r="G78" s="1724">
        <f t="shared" si="9"/>
        <v>-41820</v>
      </c>
      <c r="H78" s="1724">
        <f t="shared" si="9"/>
        <v>-11278</v>
      </c>
      <c r="I78" s="1724">
        <f t="shared" si="9"/>
        <v>5923</v>
      </c>
      <c r="J78" s="1724">
        <f t="shared" si="9"/>
        <v>25157</v>
      </c>
      <c r="K78" s="1724">
        <f t="shared" si="9"/>
        <v>1146595</v>
      </c>
      <c r="L78" s="533"/>
    </row>
    <row r="79" spans="1:12" ht="13.5" thickTop="1" x14ac:dyDescent="0.2">
      <c r="A79" s="1516" t="s">
        <v>2073</v>
      </c>
      <c r="B79" s="534"/>
      <c r="C79" s="478">
        <v>622100</v>
      </c>
      <c r="D79" s="535">
        <v>371159</v>
      </c>
      <c r="E79" s="535">
        <v>2413</v>
      </c>
      <c r="F79" s="535">
        <v>268453</v>
      </c>
      <c r="G79" s="535">
        <v>87571</v>
      </c>
      <c r="H79" s="535">
        <v>215347</v>
      </c>
      <c r="I79" s="535">
        <v>254318</v>
      </c>
      <c r="J79" s="535">
        <v>57220</v>
      </c>
      <c r="K79" s="535">
        <v>56755</v>
      </c>
      <c r="L79" s="347"/>
    </row>
    <row r="80" spans="1:12" x14ac:dyDescent="0.2">
      <c r="A80" s="2136" t="s">
        <v>1898</v>
      </c>
      <c r="B80" s="2137"/>
      <c r="C80" s="467"/>
      <c r="D80" s="467"/>
      <c r="E80" s="467"/>
      <c r="F80" s="467"/>
      <c r="G80" s="467"/>
      <c r="H80" s="467"/>
      <c r="I80" s="467"/>
      <c r="J80" s="467"/>
      <c r="K80" s="467"/>
      <c r="L80" s="347"/>
    </row>
    <row r="81" spans="1:12" ht="13.5" thickBot="1" x14ac:dyDescent="0.25">
      <c r="A81" s="2158" t="s">
        <v>2074</v>
      </c>
      <c r="B81" s="2159"/>
      <c r="C81" s="1710">
        <f>(SUM(C78:C80))</f>
        <v>877874</v>
      </c>
      <c r="D81" s="1710">
        <f>SUM(D78:D80)</f>
        <v>346540</v>
      </c>
      <c r="E81" s="1710">
        <f t="shared" ref="E81:K81" si="10">SUM(E78:E80)</f>
        <v>2485</v>
      </c>
      <c r="F81" s="1710">
        <f t="shared" si="10"/>
        <v>439890</v>
      </c>
      <c r="G81" s="1710">
        <f t="shared" si="10"/>
        <v>45751</v>
      </c>
      <c r="H81" s="1710">
        <f t="shared" si="10"/>
        <v>204069</v>
      </c>
      <c r="I81" s="1710">
        <f t="shared" si="10"/>
        <v>260241</v>
      </c>
      <c r="J81" s="1710">
        <f t="shared" si="10"/>
        <v>82377</v>
      </c>
      <c r="K81" s="1710">
        <f t="shared" si="10"/>
        <v>1203350</v>
      </c>
      <c r="L81" s="347"/>
    </row>
    <row r="82" spans="1:12" ht="0.75" customHeight="1" thickTop="1" thickBot="1" x14ac:dyDescent="0.25">
      <c r="A82" s="536" t="s">
        <v>361</v>
      </c>
      <c r="B82" s="537"/>
      <c r="C82" s="538">
        <f>(C81-C79)</f>
        <v>255774</v>
      </c>
      <c r="D82" s="538">
        <f t="shared" ref="D82:K82" si="11">(D81-D79)</f>
        <v>-24619</v>
      </c>
      <c r="E82" s="538">
        <f t="shared" si="11"/>
        <v>72</v>
      </c>
      <c r="F82" s="538">
        <f t="shared" si="11"/>
        <v>171437</v>
      </c>
      <c r="G82" s="538">
        <f t="shared" si="11"/>
        <v>-41820</v>
      </c>
      <c r="H82" s="538">
        <f t="shared" si="11"/>
        <v>-11278</v>
      </c>
      <c r="I82" s="538">
        <f t="shared" si="11"/>
        <v>5923</v>
      </c>
      <c r="J82" s="538">
        <f t="shared" si="11"/>
        <v>25157</v>
      </c>
      <c r="K82" s="538">
        <f t="shared" si="11"/>
        <v>1146595</v>
      </c>
    </row>
    <row r="83" spans="1:12" ht="14.25" hidden="1" thickTop="1" thickBot="1" x14ac:dyDescent="0.25">
      <c r="A83" s="539" t="s">
        <v>362</v>
      </c>
      <c r="B83" s="464"/>
      <c r="C83" s="540">
        <f>C82/C81</f>
        <v>0.29135616272950332</v>
      </c>
      <c r="D83" s="540">
        <f t="shared" ref="D83:K83" si="12">D82/D81</f>
        <v>-7.1042303918739544E-2</v>
      </c>
      <c r="E83" s="540">
        <f t="shared" si="12"/>
        <v>2.8973843058350102E-2</v>
      </c>
      <c r="F83" s="540">
        <f t="shared" si="12"/>
        <v>0.38972697719884519</v>
      </c>
      <c r="G83" s="540">
        <f t="shared" si="12"/>
        <v>-0.9140783808004197</v>
      </c>
      <c r="H83" s="540">
        <f t="shared" si="12"/>
        <v>-5.5265620941936308E-2</v>
      </c>
      <c r="I83" s="540">
        <f t="shared" si="12"/>
        <v>2.2759672764860264E-2</v>
      </c>
      <c r="J83" s="540">
        <f t="shared" si="12"/>
        <v>0.30538864003301891</v>
      </c>
      <c r="K83" s="540">
        <f t="shared" si="12"/>
        <v>0.9528358332987078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71" activePane="bottomLeft" state="frozen"/>
      <selection activeCell="A47" sqref="A47"/>
      <selection pane="bottomLeft" activeCell="C189" sqref="C18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2" t="s">
        <v>1905</v>
      </c>
      <c r="B1" s="452"/>
      <c r="C1" s="453" t="s">
        <v>445</v>
      </c>
      <c r="D1" s="453" t="s">
        <v>446</v>
      </c>
      <c r="E1" s="453" t="s">
        <v>447</v>
      </c>
      <c r="F1" s="453" t="s">
        <v>448</v>
      </c>
      <c r="G1" s="453" t="s">
        <v>449</v>
      </c>
      <c r="H1" s="453" t="s">
        <v>450</v>
      </c>
      <c r="I1" s="453" t="s">
        <v>451</v>
      </c>
      <c r="J1" s="453" t="s">
        <v>452</v>
      </c>
      <c r="K1" s="453" t="s">
        <v>780</v>
      </c>
    </row>
    <row r="2" spans="1:12" ht="36" x14ac:dyDescent="0.2">
      <c r="A2" s="213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1896762</v>
      </c>
      <c r="D5" s="481">
        <v>350982</v>
      </c>
      <c r="E5" s="466"/>
      <c r="F5" s="548">
        <v>280221</v>
      </c>
      <c r="G5" s="466">
        <v>60048</v>
      </c>
      <c r="H5" s="466"/>
      <c r="I5" s="466">
        <v>4055</v>
      </c>
      <c r="J5" s="467">
        <v>109868</v>
      </c>
      <c r="K5" s="466">
        <v>2972</v>
      </c>
    </row>
    <row r="6" spans="1:12" ht="15" x14ac:dyDescent="0.2">
      <c r="A6" s="463" t="s">
        <v>1761</v>
      </c>
      <c r="B6" s="470">
        <v>1130</v>
      </c>
      <c r="C6" s="466">
        <v>46042</v>
      </c>
      <c r="D6" s="466"/>
      <c r="E6" s="475"/>
      <c r="F6" s="475"/>
      <c r="G6" s="468"/>
      <c r="H6" s="468"/>
      <c r="I6" s="468"/>
      <c r="J6" s="468"/>
      <c r="K6" s="468"/>
    </row>
    <row r="7" spans="1:12" x14ac:dyDescent="0.2">
      <c r="A7" s="463" t="s">
        <v>112</v>
      </c>
      <c r="B7" s="549">
        <v>1140</v>
      </c>
      <c r="C7" s="466">
        <v>374382</v>
      </c>
      <c r="D7" s="466"/>
      <c r="E7" s="468"/>
      <c r="F7" s="467"/>
      <c r="G7" s="467"/>
      <c r="H7" s="467"/>
      <c r="I7" s="468"/>
      <c r="J7" s="468"/>
      <c r="K7" s="468"/>
    </row>
    <row r="8" spans="1:12" x14ac:dyDescent="0.2">
      <c r="A8" s="463" t="s">
        <v>433</v>
      </c>
      <c r="B8" s="470">
        <v>1150</v>
      </c>
      <c r="C8" s="475"/>
      <c r="D8" s="475"/>
      <c r="E8" s="477"/>
      <c r="F8" s="477"/>
      <c r="G8" s="481">
        <v>60048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2317186</v>
      </c>
      <c r="D12" s="1729">
        <f t="shared" si="0"/>
        <v>350982</v>
      </c>
      <c r="E12" s="1729">
        <f t="shared" si="0"/>
        <v>0</v>
      </c>
      <c r="F12" s="1729">
        <f t="shared" si="0"/>
        <v>280221</v>
      </c>
      <c r="G12" s="1729">
        <f t="shared" si="0"/>
        <v>120096</v>
      </c>
      <c r="H12" s="1729">
        <f t="shared" si="0"/>
        <v>0</v>
      </c>
      <c r="I12" s="1729">
        <f t="shared" si="0"/>
        <v>4055</v>
      </c>
      <c r="J12" s="1729">
        <f t="shared" si="0"/>
        <v>109868</v>
      </c>
      <c r="K12" s="1710">
        <f t="shared" si="0"/>
        <v>2972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444682</v>
      </c>
      <c r="D16" s="466">
        <v>43731</v>
      </c>
      <c r="E16" s="466"/>
      <c r="F16" s="466">
        <v>5461</v>
      </c>
      <c r="G16" s="466">
        <v>542</v>
      </c>
      <c r="H16" s="466"/>
      <c r="I16" s="466"/>
      <c r="J16" s="467"/>
      <c r="K16" s="466"/>
    </row>
    <row r="17" spans="1:11" ht="12.75" customHeight="1" x14ac:dyDescent="0.2">
      <c r="A17" s="463" t="s">
        <v>840</v>
      </c>
      <c r="B17" s="470">
        <v>1290</v>
      </c>
      <c r="C17" s="551"/>
      <c r="D17" s="466"/>
      <c r="E17" s="466"/>
      <c r="F17" s="466"/>
      <c r="G17" s="466"/>
      <c r="H17" s="466">
        <v>247975</v>
      </c>
      <c r="I17" s="466"/>
      <c r="J17" s="467"/>
      <c r="K17" s="466"/>
    </row>
    <row r="18" spans="1:11" ht="12.75" customHeight="1" thickBot="1" x14ac:dyDescent="0.25">
      <c r="A18" s="1730" t="s">
        <v>558</v>
      </c>
      <c r="B18" s="1731"/>
      <c r="C18" s="1732">
        <f>SUM(C14:C17)</f>
        <v>444682</v>
      </c>
      <c r="D18" s="1732">
        <f t="shared" ref="D18:K18" si="1">SUM(D14:D17)</f>
        <v>43731</v>
      </c>
      <c r="E18" s="1732">
        <f t="shared" si="1"/>
        <v>0</v>
      </c>
      <c r="F18" s="1732">
        <f t="shared" si="1"/>
        <v>5461</v>
      </c>
      <c r="G18" s="1732">
        <f t="shared" si="1"/>
        <v>542</v>
      </c>
      <c r="H18" s="1732">
        <f t="shared" si="1"/>
        <v>247975</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5936</v>
      </c>
      <c r="D65" s="466">
        <v>1917</v>
      </c>
      <c r="E65" s="466"/>
      <c r="F65" s="467">
        <v>851</v>
      </c>
      <c r="G65" s="466">
        <v>510</v>
      </c>
      <c r="H65" s="466">
        <v>1010</v>
      </c>
      <c r="I65" s="466">
        <v>1868</v>
      </c>
      <c r="J65" s="467">
        <v>20</v>
      </c>
      <c r="K65" s="466">
        <v>91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5936</v>
      </c>
      <c r="D67" s="1710">
        <f t="shared" ref="D67:K67" si="2">SUM(D65:D66)</f>
        <v>1917</v>
      </c>
      <c r="E67" s="1710">
        <f t="shared" si="2"/>
        <v>0</v>
      </c>
      <c r="F67" s="1710">
        <f t="shared" si="2"/>
        <v>851</v>
      </c>
      <c r="G67" s="1710">
        <f t="shared" si="2"/>
        <v>510</v>
      </c>
      <c r="H67" s="1710">
        <f t="shared" si="2"/>
        <v>1010</v>
      </c>
      <c r="I67" s="1710">
        <f t="shared" si="2"/>
        <v>1868</v>
      </c>
      <c r="J67" s="1710">
        <f t="shared" si="2"/>
        <v>20</v>
      </c>
      <c r="K67" s="1710">
        <f t="shared" si="2"/>
        <v>91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8182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4395</v>
      </c>
      <c r="D73" s="468"/>
      <c r="E73" s="468"/>
      <c r="F73" s="468"/>
      <c r="G73" s="468"/>
      <c r="H73" s="468"/>
      <c r="I73" s="468"/>
      <c r="J73" s="468"/>
      <c r="K73" s="468"/>
    </row>
    <row r="74" spans="1:11" ht="12.75" customHeight="1" x14ac:dyDescent="0.2">
      <c r="A74" s="463" t="s">
        <v>25</v>
      </c>
      <c r="B74" s="470">
        <v>1690</v>
      </c>
      <c r="C74" s="551">
        <v>500</v>
      </c>
      <c r="D74" s="468"/>
      <c r="E74" s="468"/>
      <c r="F74" s="468"/>
      <c r="G74" s="468"/>
      <c r="H74" s="468"/>
      <c r="I74" s="468"/>
      <c r="J74" s="468"/>
      <c r="K74" s="468"/>
    </row>
    <row r="75" spans="1:11" ht="12.75" customHeight="1" thickBot="1" x14ac:dyDescent="0.25">
      <c r="A75" s="1730" t="s">
        <v>569</v>
      </c>
      <c r="B75" s="1731"/>
      <c r="C75" s="1710">
        <f>SUM(C69:C74)</f>
        <v>13077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30118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67691</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97809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6600</v>
      </c>
      <c r="E95" s="521"/>
      <c r="F95" s="521"/>
      <c r="G95" s="521"/>
      <c r="H95" s="521"/>
      <c r="I95" s="521"/>
      <c r="J95" s="521"/>
      <c r="K95" s="521"/>
    </row>
    <row r="96" spans="1:11" ht="12.75" customHeight="1" x14ac:dyDescent="0.2">
      <c r="A96" s="463" t="s">
        <v>409</v>
      </c>
      <c r="B96" s="470">
        <v>1920</v>
      </c>
      <c r="C96" s="551">
        <v>51237</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12696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35182</v>
      </c>
      <c r="D107" s="466">
        <v>80</v>
      </c>
      <c r="E107" s="466"/>
      <c r="F107" s="466"/>
      <c r="G107" s="466"/>
      <c r="H107" s="466"/>
      <c r="I107" s="466"/>
      <c r="J107" s="467"/>
      <c r="K107" s="466"/>
    </row>
    <row r="108" spans="1:12" ht="12.75" customHeight="1" thickBot="1" x14ac:dyDescent="0.25">
      <c r="A108" s="1730" t="s">
        <v>508</v>
      </c>
      <c r="B108" s="1734"/>
      <c r="C108" s="1729">
        <f>SUM(C95:C107)</f>
        <v>99115</v>
      </c>
      <c r="D108" s="1729">
        <f t="shared" ref="D108:K108" si="3">SUM(D95:D107)</f>
        <v>6680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2977805</v>
      </c>
      <c r="D109" s="1737">
        <f t="shared" si="4"/>
        <v>403310</v>
      </c>
      <c r="E109" s="1737">
        <f t="shared" si="4"/>
        <v>0</v>
      </c>
      <c r="F109" s="1737">
        <f t="shared" si="4"/>
        <v>286533</v>
      </c>
      <c r="G109" s="1737">
        <f t="shared" si="4"/>
        <v>121148</v>
      </c>
      <c r="H109" s="1737">
        <f t="shared" si="4"/>
        <v>248985</v>
      </c>
      <c r="I109" s="1737">
        <f t="shared" si="4"/>
        <v>5923</v>
      </c>
      <c r="J109" s="1737">
        <f t="shared" si="4"/>
        <v>109888</v>
      </c>
      <c r="K109" s="1724">
        <f t="shared" si="4"/>
        <v>3063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1350499</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1350499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36077</v>
      </c>
      <c r="D124" s="561"/>
      <c r="E124" s="468"/>
      <c r="F124" s="548"/>
      <c r="G124" s="468"/>
      <c r="H124" s="468"/>
      <c r="I124" s="468"/>
      <c r="J124" s="468"/>
      <c r="K124" s="468"/>
    </row>
    <row r="125" spans="1:11" ht="12.75" customHeight="1" x14ac:dyDescent="0.2">
      <c r="A125" s="463" t="s">
        <v>1521</v>
      </c>
      <c r="B125" s="562">
        <v>3105</v>
      </c>
      <c r="C125" s="466">
        <v>35547</v>
      </c>
      <c r="D125" s="561"/>
      <c r="E125" s="468"/>
      <c r="F125" s="466"/>
      <c r="G125" s="468"/>
      <c r="H125" s="468"/>
      <c r="I125" s="468"/>
      <c r="J125" s="468"/>
      <c r="K125" s="468"/>
    </row>
    <row r="126" spans="1:11" ht="12.75" customHeight="1" x14ac:dyDescent="0.2">
      <c r="A126" s="463" t="s">
        <v>922</v>
      </c>
      <c r="B126" s="562">
        <v>3110</v>
      </c>
      <c r="C126" s="551">
        <v>59342</v>
      </c>
      <c r="D126" s="466"/>
      <c r="E126" s="468"/>
      <c r="F126" s="466"/>
      <c r="G126" s="468"/>
      <c r="H126" s="468"/>
      <c r="I126" s="468"/>
      <c r="J126" s="468"/>
      <c r="K126" s="468"/>
    </row>
    <row r="127" spans="1:11" ht="12.75" customHeight="1" x14ac:dyDescent="0.2">
      <c r="A127" s="463" t="s">
        <v>107</v>
      </c>
      <c r="B127" s="562">
        <v>3120</v>
      </c>
      <c r="C127" s="466">
        <v>7560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2831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141357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11026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11026</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3235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6547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233427</v>
      </c>
      <c r="G151" s="467"/>
      <c r="H151" s="468"/>
      <c r="I151" s="468"/>
      <c r="J151" s="468"/>
      <c r="K151" s="468"/>
    </row>
    <row r="152" spans="1:11" ht="12.75" customHeight="1" x14ac:dyDescent="0.2">
      <c r="A152" s="463" t="s">
        <v>1117</v>
      </c>
      <c r="B152" s="562">
        <v>3510</v>
      </c>
      <c r="C152" s="551"/>
      <c r="D152" s="466"/>
      <c r="E152" s="561"/>
      <c r="F152" s="466">
        <v>237213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470640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117496</v>
      </c>
      <c r="D158" s="578"/>
      <c r="E158" s="561"/>
      <c r="F158" s="576">
        <v>17568</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281161</v>
      </c>
      <c r="D172" s="1744">
        <f t="shared" si="6"/>
        <v>0</v>
      </c>
      <c r="E172" s="1744">
        <f t="shared" si="6"/>
        <v>0</v>
      </c>
      <c r="F172" s="1744">
        <f t="shared" si="6"/>
        <v>488208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1631660</v>
      </c>
      <c r="D173" s="1737">
        <f>SUM(D121,D172)</f>
        <v>0</v>
      </c>
      <c r="E173" s="1737">
        <f>SUM(E121,E172)</f>
        <v>0</v>
      </c>
      <c r="F173" s="1737">
        <f t="shared" ref="F173:K173" si="7">SUM(F121,F172)</f>
        <v>488208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28485</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28485</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162239</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50286</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212525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81142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81142</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19463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11057</v>
      </c>
      <c r="D270" s="576"/>
      <c r="E270" s="468"/>
      <c r="F270" s="576"/>
      <c r="G270" s="576"/>
      <c r="H270" s="468"/>
      <c r="I270" s="468"/>
      <c r="J270" s="468"/>
      <c r="K270" s="468"/>
    </row>
    <row r="271" spans="1:11" ht="12.75" customHeight="1" thickTop="1" thickBot="1" x14ac:dyDescent="0.25">
      <c r="A271" s="463" t="s">
        <v>395</v>
      </c>
      <c r="B271" s="470">
        <v>4992</v>
      </c>
      <c r="C271" s="575">
        <v>55037</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407709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407709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5017174</v>
      </c>
      <c r="D275" s="1737">
        <f t="shared" si="12"/>
        <v>403310</v>
      </c>
      <c r="E275" s="1737">
        <f t="shared" si="12"/>
        <v>0</v>
      </c>
      <c r="F275" s="1737">
        <f t="shared" si="12"/>
        <v>774741</v>
      </c>
      <c r="G275" s="1737">
        <f t="shared" si="12"/>
        <v>121148</v>
      </c>
      <c r="H275" s="1737">
        <f t="shared" si="12"/>
        <v>248985</v>
      </c>
      <c r="I275" s="1737">
        <f t="shared" si="12"/>
        <v>5923</v>
      </c>
      <c r="J275" s="1737">
        <f t="shared" si="12"/>
        <v>109888</v>
      </c>
      <c r="K275" s="1724">
        <f t="shared" si="12"/>
        <v>3063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8" activePane="bottomLeft" state="frozen"/>
      <selection activeCell="A47" sqref="A47"/>
      <selection pane="bottomLeft" activeCell="P181" sqref="P18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1593802</v>
      </c>
      <c r="D5" s="466">
        <v>233617</v>
      </c>
      <c r="E5" s="466">
        <v>54084</v>
      </c>
      <c r="F5" s="466">
        <v>66327</v>
      </c>
      <c r="G5" s="466"/>
      <c r="H5" s="466"/>
      <c r="I5" s="467"/>
      <c r="J5" s="467"/>
      <c r="K5" s="1693">
        <f>SUM(C5:J5)</f>
        <v>1947830</v>
      </c>
      <c r="L5" s="466">
        <v>2003300</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v>99760</v>
      </c>
      <c r="D7" s="467">
        <v>24606</v>
      </c>
      <c r="E7" s="467">
        <v>325</v>
      </c>
      <c r="F7" s="467">
        <v>447</v>
      </c>
      <c r="G7" s="467"/>
      <c r="H7" s="467"/>
      <c r="I7" s="467"/>
      <c r="J7" s="467"/>
      <c r="K7" s="1693">
        <f t="shared" ref="K7:K32" si="0">SUM(C7:J7)</f>
        <v>125138</v>
      </c>
      <c r="L7" s="466">
        <v>181900</v>
      </c>
    </row>
    <row r="8" spans="1:14" x14ac:dyDescent="0.2">
      <c r="A8" s="1526" t="s">
        <v>166</v>
      </c>
      <c r="B8" s="615">
        <v>1200</v>
      </c>
      <c r="C8" s="466">
        <v>591520</v>
      </c>
      <c r="D8" s="466">
        <v>93717</v>
      </c>
      <c r="E8" s="466">
        <v>37636</v>
      </c>
      <c r="F8" s="466">
        <v>3025</v>
      </c>
      <c r="G8" s="466">
        <v>2000</v>
      </c>
      <c r="H8" s="466"/>
      <c r="I8" s="467"/>
      <c r="J8" s="467"/>
      <c r="K8" s="1693">
        <f t="shared" si="0"/>
        <v>727898</v>
      </c>
      <c r="L8" s="466">
        <v>742550</v>
      </c>
    </row>
    <row r="9" spans="1:14" x14ac:dyDescent="0.2">
      <c r="A9" s="1526" t="s">
        <v>745</v>
      </c>
      <c r="B9" s="615" t="s">
        <v>1025</v>
      </c>
      <c r="C9" s="467"/>
      <c r="D9" s="467"/>
      <c r="E9" s="467"/>
      <c r="F9" s="467"/>
      <c r="G9" s="467"/>
      <c r="H9" s="467"/>
      <c r="I9" s="467"/>
      <c r="J9" s="467"/>
      <c r="K9" s="1693">
        <f t="shared" si="0"/>
        <v>0</v>
      </c>
      <c r="L9" s="466">
        <v>0</v>
      </c>
    </row>
    <row r="10" spans="1:14" x14ac:dyDescent="0.2">
      <c r="A10" s="1526" t="s">
        <v>746</v>
      </c>
      <c r="B10" s="615">
        <v>1250</v>
      </c>
      <c r="C10" s="466">
        <v>67825</v>
      </c>
      <c r="D10" s="466">
        <v>18156</v>
      </c>
      <c r="E10" s="466">
        <v>6785</v>
      </c>
      <c r="F10" s="466">
        <v>3791</v>
      </c>
      <c r="G10" s="466"/>
      <c r="H10" s="466"/>
      <c r="I10" s="467"/>
      <c r="J10" s="467"/>
      <c r="K10" s="1693">
        <f t="shared" si="0"/>
        <v>96557</v>
      </c>
      <c r="L10" s="466">
        <v>119700</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v>149762</v>
      </c>
      <c r="D13" s="466">
        <v>15473</v>
      </c>
      <c r="E13" s="466">
        <v>685</v>
      </c>
      <c r="F13" s="466">
        <v>9727</v>
      </c>
      <c r="G13" s="466"/>
      <c r="H13" s="466"/>
      <c r="I13" s="467"/>
      <c r="J13" s="467"/>
      <c r="K13" s="1693">
        <f t="shared" si="0"/>
        <v>175647</v>
      </c>
      <c r="L13" s="466">
        <v>176000</v>
      </c>
    </row>
    <row r="14" spans="1:14" x14ac:dyDescent="0.2">
      <c r="A14" s="1526" t="s">
        <v>1020</v>
      </c>
      <c r="B14" s="615">
        <v>1500</v>
      </c>
      <c r="C14" s="466">
        <v>70152</v>
      </c>
      <c r="D14" s="466">
        <v>602</v>
      </c>
      <c r="E14" s="466">
        <v>43351</v>
      </c>
      <c r="F14" s="466">
        <v>8442</v>
      </c>
      <c r="G14" s="466"/>
      <c r="H14" s="466"/>
      <c r="I14" s="467"/>
      <c r="J14" s="467"/>
      <c r="K14" s="1693">
        <f t="shared" si="0"/>
        <v>122547</v>
      </c>
      <c r="L14" s="466">
        <v>120200</v>
      </c>
    </row>
    <row r="15" spans="1:14" x14ac:dyDescent="0.2">
      <c r="A15" s="1526" t="s">
        <v>1021</v>
      </c>
      <c r="B15" s="615">
        <v>1600</v>
      </c>
      <c r="C15" s="466"/>
      <c r="D15" s="466"/>
      <c r="E15" s="466"/>
      <c r="F15" s="466"/>
      <c r="G15" s="466"/>
      <c r="H15" s="466"/>
      <c r="I15" s="467"/>
      <c r="J15" s="467"/>
      <c r="K15" s="1693">
        <f t="shared" si="0"/>
        <v>0</v>
      </c>
      <c r="L15" s="466">
        <v>7000</v>
      </c>
    </row>
    <row r="16" spans="1:14" x14ac:dyDescent="0.2">
      <c r="A16" s="1526" t="s">
        <v>1044</v>
      </c>
      <c r="B16" s="615" t="s">
        <v>444</v>
      </c>
      <c r="C16" s="466"/>
      <c r="D16" s="466"/>
      <c r="E16" s="466"/>
      <c r="F16" s="466"/>
      <c r="G16" s="466"/>
      <c r="H16" s="466"/>
      <c r="I16" s="467"/>
      <c r="J16" s="467"/>
      <c r="K16" s="1693">
        <f t="shared" si="0"/>
        <v>0</v>
      </c>
      <c r="L16" s="466">
        <v>0</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v>113174</v>
      </c>
      <c r="I22" s="617"/>
      <c r="J22" s="477"/>
      <c r="K22" s="1693">
        <f t="shared" si="0"/>
        <v>113174</v>
      </c>
      <c r="L22" s="471">
        <v>115000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2572821</v>
      </c>
      <c r="D33" s="1692">
        <f t="shared" ref="D33:L33" si="1">SUM(D5:D32)</f>
        <v>386171</v>
      </c>
      <c r="E33" s="1692">
        <f t="shared" si="1"/>
        <v>142866</v>
      </c>
      <c r="F33" s="1692">
        <f t="shared" si="1"/>
        <v>91759</v>
      </c>
      <c r="G33" s="1692">
        <f t="shared" si="1"/>
        <v>2000</v>
      </c>
      <c r="H33" s="1692">
        <f t="shared" si="1"/>
        <v>113174</v>
      </c>
      <c r="I33" s="1692">
        <f t="shared" si="1"/>
        <v>0</v>
      </c>
      <c r="J33" s="1692">
        <f t="shared" si="1"/>
        <v>0</v>
      </c>
      <c r="K33" s="1692">
        <f t="shared" si="1"/>
        <v>3308791</v>
      </c>
      <c r="L33" s="1692">
        <f t="shared" si="1"/>
        <v>3465650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v>0</v>
      </c>
    </row>
    <row r="37" spans="1:14" x14ac:dyDescent="0.2">
      <c r="A37" s="1526" t="s">
        <v>1151</v>
      </c>
      <c r="B37" s="615">
        <v>2120</v>
      </c>
      <c r="C37" s="466">
        <v>64008</v>
      </c>
      <c r="D37" s="466">
        <v>961</v>
      </c>
      <c r="E37" s="466">
        <v>1120</v>
      </c>
      <c r="F37" s="466">
        <v>11</v>
      </c>
      <c r="G37" s="466"/>
      <c r="H37" s="466"/>
      <c r="I37" s="467"/>
      <c r="J37" s="467"/>
      <c r="K37" s="1693">
        <f t="shared" si="2"/>
        <v>66100</v>
      </c>
      <c r="L37" s="466">
        <v>66650</v>
      </c>
    </row>
    <row r="38" spans="1:14" x14ac:dyDescent="0.2">
      <c r="A38" s="1526" t="s">
        <v>207</v>
      </c>
      <c r="B38" s="615">
        <v>2130</v>
      </c>
      <c r="C38" s="466"/>
      <c r="D38" s="466"/>
      <c r="E38" s="466"/>
      <c r="F38" s="466"/>
      <c r="G38" s="466"/>
      <c r="H38" s="466"/>
      <c r="I38" s="467"/>
      <c r="J38" s="467"/>
      <c r="K38" s="1693">
        <f t="shared" si="2"/>
        <v>0</v>
      </c>
      <c r="L38" s="466">
        <v>0</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c r="D40" s="466"/>
      <c r="E40" s="466"/>
      <c r="F40" s="466"/>
      <c r="G40" s="466"/>
      <c r="H40" s="466"/>
      <c r="I40" s="467"/>
      <c r="J40" s="467"/>
      <c r="K40" s="1693">
        <f t="shared" si="2"/>
        <v>0</v>
      </c>
      <c r="L40" s="466">
        <v>150000</v>
      </c>
    </row>
    <row r="41" spans="1:14" x14ac:dyDescent="0.2">
      <c r="A41" s="1526" t="s">
        <v>1768</v>
      </c>
      <c r="B41" s="615">
        <v>2190</v>
      </c>
      <c r="C41" s="466">
        <v>52648</v>
      </c>
      <c r="D41" s="466">
        <v>7366</v>
      </c>
      <c r="E41" s="466">
        <v>24967</v>
      </c>
      <c r="F41" s="466">
        <v>26065</v>
      </c>
      <c r="G41" s="466">
        <v>14532</v>
      </c>
      <c r="H41" s="466"/>
      <c r="I41" s="467"/>
      <c r="J41" s="467"/>
      <c r="K41" s="1693">
        <f t="shared" si="2"/>
        <v>125578</v>
      </c>
      <c r="L41" s="466">
        <v>177300</v>
      </c>
    </row>
    <row r="42" spans="1:14" ht="12.75" customHeight="1" thickBot="1" x14ac:dyDescent="0.25">
      <c r="A42" s="1690" t="s">
        <v>581</v>
      </c>
      <c r="B42" s="1691" t="s">
        <v>740</v>
      </c>
      <c r="C42" s="1692">
        <f>SUM(C36:C41)</f>
        <v>116656</v>
      </c>
      <c r="D42" s="1692">
        <f t="shared" ref="D42:L42" si="3">SUM(D36:D41)</f>
        <v>8327</v>
      </c>
      <c r="E42" s="1692">
        <f t="shared" si="3"/>
        <v>26087</v>
      </c>
      <c r="F42" s="1692">
        <f t="shared" si="3"/>
        <v>26076</v>
      </c>
      <c r="G42" s="1692">
        <f t="shared" si="3"/>
        <v>14532</v>
      </c>
      <c r="H42" s="1692">
        <f t="shared" si="3"/>
        <v>0</v>
      </c>
      <c r="I42" s="1692">
        <f t="shared" si="3"/>
        <v>0</v>
      </c>
      <c r="J42" s="1692">
        <f t="shared" si="3"/>
        <v>0</v>
      </c>
      <c r="K42" s="1692">
        <f t="shared" si="3"/>
        <v>191678</v>
      </c>
      <c r="L42" s="1692">
        <f t="shared" si="3"/>
        <v>393950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4760</v>
      </c>
      <c r="D44" s="481">
        <v>48</v>
      </c>
      <c r="E44" s="481">
        <v>6703</v>
      </c>
      <c r="F44" s="481"/>
      <c r="G44" s="481"/>
      <c r="H44" s="481"/>
      <c r="I44" s="467"/>
      <c r="J44" s="467"/>
      <c r="K44" s="1694">
        <f>SUM(C44:J44)</f>
        <v>11511</v>
      </c>
      <c r="L44" s="481">
        <v>25250</v>
      </c>
    </row>
    <row r="45" spans="1:14" x14ac:dyDescent="0.2">
      <c r="A45" s="1526" t="s">
        <v>869</v>
      </c>
      <c r="B45" s="615">
        <v>2220</v>
      </c>
      <c r="C45" s="466">
        <v>10085</v>
      </c>
      <c r="D45" s="466"/>
      <c r="E45" s="466"/>
      <c r="F45" s="466">
        <v>487</v>
      </c>
      <c r="G45" s="466"/>
      <c r="H45" s="466"/>
      <c r="I45" s="467"/>
      <c r="J45" s="467"/>
      <c r="K45" s="1694">
        <f>SUM(C45:J45)</f>
        <v>10572</v>
      </c>
      <c r="L45" s="466">
        <v>11200</v>
      </c>
    </row>
    <row r="46" spans="1:14" x14ac:dyDescent="0.2">
      <c r="A46" s="1526" t="s">
        <v>870</v>
      </c>
      <c r="B46" s="615">
        <v>2230</v>
      </c>
      <c r="C46" s="466"/>
      <c r="D46" s="466"/>
      <c r="E46" s="466"/>
      <c r="F46" s="466"/>
      <c r="G46" s="466"/>
      <c r="H46" s="466"/>
      <c r="I46" s="467"/>
      <c r="J46" s="467"/>
      <c r="K46" s="1694">
        <f>SUM(C46:J46)</f>
        <v>0</v>
      </c>
      <c r="L46" s="466">
        <v>0</v>
      </c>
    </row>
    <row r="47" spans="1:14" ht="12.75" customHeight="1" thickBot="1" x14ac:dyDescent="0.25">
      <c r="A47" s="1690" t="s">
        <v>582</v>
      </c>
      <c r="B47" s="1691" t="s">
        <v>32</v>
      </c>
      <c r="C47" s="1692">
        <f>SUM(C44:C46)</f>
        <v>14845</v>
      </c>
      <c r="D47" s="1692">
        <f t="shared" ref="D47:K47" si="4">SUM(D44:D46)</f>
        <v>48</v>
      </c>
      <c r="E47" s="1692">
        <f t="shared" si="4"/>
        <v>6703</v>
      </c>
      <c r="F47" s="1692">
        <f t="shared" si="4"/>
        <v>487</v>
      </c>
      <c r="G47" s="1692">
        <f t="shared" si="4"/>
        <v>0</v>
      </c>
      <c r="H47" s="1692">
        <f t="shared" si="4"/>
        <v>0</v>
      </c>
      <c r="I47" s="1692">
        <f t="shared" si="4"/>
        <v>0</v>
      </c>
      <c r="J47" s="1692">
        <f t="shared" si="4"/>
        <v>0</v>
      </c>
      <c r="K47" s="1692">
        <f t="shared" si="4"/>
        <v>22083</v>
      </c>
      <c r="L47" s="1692">
        <f>SUM(L44:L46)</f>
        <v>36450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2250</v>
      </c>
      <c r="D49" s="481"/>
      <c r="E49" s="481">
        <v>35065</v>
      </c>
      <c r="F49" s="481">
        <v>7099</v>
      </c>
      <c r="G49" s="481"/>
      <c r="H49" s="481"/>
      <c r="I49" s="467"/>
      <c r="J49" s="467"/>
      <c r="K49" s="1694">
        <f>SUM(C49:J49)</f>
        <v>44414</v>
      </c>
      <c r="L49" s="481">
        <v>74950</v>
      </c>
    </row>
    <row r="50" spans="1:14" x14ac:dyDescent="0.2">
      <c r="A50" s="1526" t="s">
        <v>872</v>
      </c>
      <c r="B50" s="615">
        <v>2320</v>
      </c>
      <c r="C50" s="466">
        <v>111088</v>
      </c>
      <c r="D50" s="466">
        <v>34458</v>
      </c>
      <c r="E50" s="466">
        <v>11985</v>
      </c>
      <c r="F50" s="466">
        <v>3084</v>
      </c>
      <c r="G50" s="466"/>
      <c r="H50" s="466"/>
      <c r="I50" s="467"/>
      <c r="J50" s="467"/>
      <c r="K50" s="1694">
        <f>SUM(C50:J50)</f>
        <v>160615</v>
      </c>
      <c r="L50" s="466">
        <v>156725</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316</v>
      </c>
      <c r="B52" s="628" t="s">
        <v>384</v>
      </c>
      <c r="C52" s="474"/>
      <c r="D52" s="474"/>
      <c r="E52" s="474"/>
      <c r="F52" s="474"/>
      <c r="G52" s="474"/>
      <c r="H52" s="474"/>
      <c r="I52" s="474"/>
      <c r="J52" s="474"/>
      <c r="K52" s="1694">
        <f>SUM(C52:J52)</f>
        <v>0</v>
      </c>
      <c r="L52" s="474">
        <v>0</v>
      </c>
    </row>
    <row r="53" spans="1:14" ht="12.75" customHeight="1" thickBot="1" x14ac:dyDescent="0.25">
      <c r="A53" s="1690" t="s">
        <v>741</v>
      </c>
      <c r="B53" s="1691" t="s">
        <v>33</v>
      </c>
      <c r="C53" s="1692">
        <f>SUM(C49:C52)</f>
        <v>113338</v>
      </c>
      <c r="D53" s="1692">
        <f t="shared" ref="D53:L53" si="5">SUM(D49:D52)</f>
        <v>34458</v>
      </c>
      <c r="E53" s="1692">
        <f t="shared" si="5"/>
        <v>47050</v>
      </c>
      <c r="F53" s="1692">
        <f t="shared" si="5"/>
        <v>10183</v>
      </c>
      <c r="G53" s="1692">
        <f t="shared" si="5"/>
        <v>0</v>
      </c>
      <c r="H53" s="1692">
        <f t="shared" si="5"/>
        <v>0</v>
      </c>
      <c r="I53" s="1692">
        <f t="shared" si="5"/>
        <v>0</v>
      </c>
      <c r="J53" s="1692">
        <f t="shared" si="5"/>
        <v>0</v>
      </c>
      <c r="K53" s="1692">
        <f t="shared" si="5"/>
        <v>205029</v>
      </c>
      <c r="L53" s="1692">
        <f t="shared" si="5"/>
        <v>231675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187914</v>
      </c>
      <c r="D55" s="481">
        <v>42018</v>
      </c>
      <c r="E55" s="481">
        <v>2944</v>
      </c>
      <c r="F55" s="481"/>
      <c r="G55" s="481"/>
      <c r="H55" s="481"/>
      <c r="I55" s="467"/>
      <c r="J55" s="467"/>
      <c r="K55" s="1694">
        <f>SUM(C55:J55)</f>
        <v>232876</v>
      </c>
      <c r="L55" s="481">
        <v>236630</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187914</v>
      </c>
      <c r="D57" s="1696">
        <f t="shared" ref="D57:K57" si="6">SUM(D55:D56)</f>
        <v>42018</v>
      </c>
      <c r="E57" s="1696">
        <f t="shared" si="6"/>
        <v>2944</v>
      </c>
      <c r="F57" s="1696">
        <f t="shared" si="6"/>
        <v>0</v>
      </c>
      <c r="G57" s="1696">
        <f t="shared" si="6"/>
        <v>0</v>
      </c>
      <c r="H57" s="1696">
        <f t="shared" si="6"/>
        <v>0</v>
      </c>
      <c r="I57" s="1696">
        <f t="shared" si="6"/>
        <v>0</v>
      </c>
      <c r="J57" s="1696">
        <f t="shared" si="6"/>
        <v>0</v>
      </c>
      <c r="K57" s="1696">
        <f t="shared" si="6"/>
        <v>232876</v>
      </c>
      <c r="L57" s="1692">
        <f>SUM(L55:L56)</f>
        <v>236630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483</v>
      </c>
      <c r="B60" s="615">
        <v>2520</v>
      </c>
      <c r="C60" s="466">
        <v>64330</v>
      </c>
      <c r="D60" s="466">
        <v>4929</v>
      </c>
      <c r="E60" s="466">
        <v>4103</v>
      </c>
      <c r="F60" s="466">
        <v>1521</v>
      </c>
      <c r="G60" s="466"/>
      <c r="H60" s="466"/>
      <c r="I60" s="467"/>
      <c r="J60" s="467"/>
      <c r="K60" s="1694">
        <f t="shared" si="7"/>
        <v>74883</v>
      </c>
      <c r="L60" s="466">
        <v>77000</v>
      </c>
      <c r="M60" s="610"/>
      <c r="N60" s="610"/>
    </row>
    <row r="61" spans="1:14" s="343" customFormat="1" x14ac:dyDescent="0.2">
      <c r="A61" s="1526" t="s">
        <v>206</v>
      </c>
      <c r="B61" s="615">
        <v>2540</v>
      </c>
      <c r="C61" s="466"/>
      <c r="D61" s="466"/>
      <c r="E61" s="466"/>
      <c r="F61" s="466"/>
      <c r="G61" s="466"/>
      <c r="H61" s="466"/>
      <c r="I61" s="467"/>
      <c r="J61" s="467"/>
      <c r="K61" s="1694">
        <f t="shared" si="7"/>
        <v>0</v>
      </c>
      <c r="L61" s="466">
        <v>0</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76812</v>
      </c>
      <c r="D63" s="466">
        <v>84</v>
      </c>
      <c r="E63" s="466">
        <v>6818</v>
      </c>
      <c r="F63" s="466">
        <v>110520</v>
      </c>
      <c r="G63" s="466"/>
      <c r="H63" s="466"/>
      <c r="I63" s="467"/>
      <c r="J63" s="467"/>
      <c r="K63" s="1694">
        <f t="shared" si="7"/>
        <v>194234</v>
      </c>
      <c r="L63" s="466">
        <v>213000</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141142</v>
      </c>
      <c r="D65" s="1692">
        <f t="shared" ref="D65:L65" si="8">SUM(D59:D64)</f>
        <v>5013</v>
      </c>
      <c r="E65" s="1692">
        <f t="shared" si="8"/>
        <v>10921</v>
      </c>
      <c r="F65" s="1692">
        <f t="shared" si="8"/>
        <v>112041</v>
      </c>
      <c r="G65" s="1692">
        <f t="shared" si="8"/>
        <v>0</v>
      </c>
      <c r="H65" s="1692">
        <f t="shared" si="8"/>
        <v>0</v>
      </c>
      <c r="I65" s="1692">
        <f t="shared" si="8"/>
        <v>0</v>
      </c>
      <c r="J65" s="1692">
        <f t="shared" si="8"/>
        <v>0</v>
      </c>
      <c r="K65" s="1692">
        <f t="shared" si="8"/>
        <v>269117</v>
      </c>
      <c r="L65" s="1692">
        <f t="shared" si="8"/>
        <v>290000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c r="G69" s="466"/>
      <c r="H69" s="466"/>
      <c r="I69" s="467"/>
      <c r="J69" s="467"/>
      <c r="K69" s="1694">
        <f>SUM(C69:J69)</f>
        <v>0</v>
      </c>
      <c r="L69" s="466">
        <v>0</v>
      </c>
      <c r="M69" s="610"/>
      <c r="N69" s="610"/>
    </row>
    <row r="70" spans="1:14" s="343" customFormat="1" x14ac:dyDescent="0.2">
      <c r="A70" s="1526" t="s">
        <v>423</v>
      </c>
      <c r="B70" s="615">
        <v>2640</v>
      </c>
      <c r="C70" s="466"/>
      <c r="D70" s="466"/>
      <c r="E70" s="466"/>
      <c r="F70" s="466"/>
      <c r="G70" s="466"/>
      <c r="H70" s="466"/>
      <c r="I70" s="467"/>
      <c r="J70" s="467"/>
      <c r="K70" s="1694">
        <f>SUM(C70:J70)</f>
        <v>0</v>
      </c>
      <c r="L70" s="466">
        <v>0</v>
      </c>
      <c r="M70" s="610"/>
      <c r="N70" s="610"/>
    </row>
    <row r="71" spans="1:14" s="343" customFormat="1" x14ac:dyDescent="0.2">
      <c r="A71" s="1526" t="s">
        <v>424</v>
      </c>
      <c r="B71" s="615">
        <v>2660</v>
      </c>
      <c r="C71" s="466"/>
      <c r="D71" s="466"/>
      <c r="E71" s="466"/>
      <c r="F71" s="466"/>
      <c r="G71" s="466"/>
      <c r="H71" s="466"/>
      <c r="I71" s="467"/>
      <c r="J71" s="467"/>
      <c r="K71" s="1694">
        <f>SUM(C71:J71)</f>
        <v>0</v>
      </c>
      <c r="L71" s="466">
        <v>0</v>
      </c>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573895</v>
      </c>
      <c r="D74" s="1699">
        <f t="shared" ref="D74:K74" si="10">SUM(D42,D47,D53,D57,D65,D72,D73)</f>
        <v>89864</v>
      </c>
      <c r="E74" s="1699">
        <f t="shared" si="10"/>
        <v>93705</v>
      </c>
      <c r="F74" s="1699">
        <f t="shared" si="10"/>
        <v>148787</v>
      </c>
      <c r="G74" s="1699">
        <f t="shared" si="10"/>
        <v>14532</v>
      </c>
      <c r="H74" s="1699">
        <f t="shared" si="10"/>
        <v>0</v>
      </c>
      <c r="I74" s="1699">
        <f t="shared" si="10"/>
        <v>0</v>
      </c>
      <c r="J74" s="1699">
        <f t="shared" si="10"/>
        <v>0</v>
      </c>
      <c r="K74" s="1699">
        <f t="shared" si="10"/>
        <v>920783</v>
      </c>
      <c r="L74" s="1699">
        <f>SUM(L42,L47,L53,L57,L65,L72,L73)</f>
        <v>1188705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0</v>
      </c>
    </row>
    <row r="79" spans="1:14" x14ac:dyDescent="0.2">
      <c r="A79" s="1526" t="s">
        <v>322</v>
      </c>
      <c r="B79" s="615">
        <v>4120</v>
      </c>
      <c r="C79" s="617"/>
      <c r="D79" s="617"/>
      <c r="E79" s="466">
        <v>187655</v>
      </c>
      <c r="F79" s="617"/>
      <c r="G79" s="617"/>
      <c r="H79" s="466">
        <v>424619</v>
      </c>
      <c r="I79" s="477"/>
      <c r="J79" s="477"/>
      <c r="K79" s="1693">
        <f t="shared" si="11"/>
        <v>612274</v>
      </c>
      <c r="L79" s="466">
        <v>475000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c r="F83" s="617"/>
      <c r="G83" s="617"/>
      <c r="H83" s="466"/>
      <c r="I83" s="477"/>
      <c r="J83" s="477"/>
      <c r="K83" s="1693">
        <f t="shared" si="11"/>
        <v>0</v>
      </c>
      <c r="L83" s="466">
        <v>0</v>
      </c>
    </row>
    <row r="84" spans="1:12" ht="13.5" thickBot="1" x14ac:dyDescent="0.25">
      <c r="A84" s="1690" t="s">
        <v>1565</v>
      </c>
      <c r="B84" s="1700">
        <v>4100</v>
      </c>
      <c r="C84" s="617"/>
      <c r="D84" s="617"/>
      <c r="E84" s="1692">
        <f>SUM(E78:E83)</f>
        <v>187655</v>
      </c>
      <c r="F84" s="617"/>
      <c r="G84" s="617"/>
      <c r="H84" s="1692">
        <f>SUM(H78:H83)</f>
        <v>424619</v>
      </c>
      <c r="I84" s="477"/>
      <c r="J84" s="477"/>
      <c r="K84" s="1692">
        <f>SUM(K78:K83)</f>
        <v>612274</v>
      </c>
      <c r="L84" s="1692">
        <f>SUM(L78:L83)</f>
        <v>475000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15000</v>
      </c>
    </row>
    <row r="89" spans="1:12" ht="12.75" customHeight="1" thickTop="1" thickBot="1" x14ac:dyDescent="0.25">
      <c r="A89" s="1535" t="s">
        <v>725</v>
      </c>
      <c r="B89" s="640">
        <v>4270</v>
      </c>
      <c r="C89" s="617"/>
      <c r="D89" s="617"/>
      <c r="E89" s="639"/>
      <c r="F89" s="617"/>
      <c r="G89" s="617"/>
      <c r="H89" s="467">
        <v>8024</v>
      </c>
      <c r="I89" s="477"/>
      <c r="J89" s="477"/>
      <c r="K89" s="1699">
        <f t="shared" si="12"/>
        <v>8024</v>
      </c>
      <c r="L89" s="530">
        <v>20000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8024</v>
      </c>
      <c r="I92" s="477"/>
      <c r="J92" s="477"/>
      <c r="K92" s="1699">
        <f t="shared" si="12"/>
        <v>8024</v>
      </c>
      <c r="L92" s="1692">
        <f>SUM(L85:L91)</f>
        <v>35000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187655</v>
      </c>
      <c r="F102" s="617"/>
      <c r="G102" s="617"/>
      <c r="H102" s="1699">
        <f>SUM(H84,H92,H100,H101)</f>
        <v>432643</v>
      </c>
      <c r="I102" s="477"/>
      <c r="J102" s="477"/>
      <c r="K102" s="1699">
        <f>SUM(K84,K92,K100,K101)</f>
        <v>620298</v>
      </c>
      <c r="L102" s="1699">
        <f>SUM(L84,L92,L100,L101)</f>
        <v>510000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3146716</v>
      </c>
      <c r="D114" s="1692">
        <f t="shared" ref="D114:K114" si="13">SUM(D33,D74,D75,D102,D112,D113)</f>
        <v>476035</v>
      </c>
      <c r="E114" s="1692">
        <f t="shared" si="13"/>
        <v>424226</v>
      </c>
      <c r="F114" s="1692">
        <f t="shared" si="13"/>
        <v>240546</v>
      </c>
      <c r="G114" s="1692">
        <f t="shared" si="13"/>
        <v>16532</v>
      </c>
      <c r="H114" s="1692">
        <f>SUM(H33,H74,H75,H102,H112,H113)</f>
        <v>545817</v>
      </c>
      <c r="I114" s="1692">
        <f t="shared" si="13"/>
        <v>0</v>
      </c>
      <c r="J114" s="1692">
        <f t="shared" si="13"/>
        <v>0</v>
      </c>
      <c r="K114" s="1692">
        <f t="shared" si="13"/>
        <v>4849872</v>
      </c>
      <c r="L114" s="1692">
        <f>SUM(L33,L74,L75,L102,L112,L113)</f>
        <v>5164355</v>
      </c>
    </row>
    <row r="115" spans="1:14" ht="13.5" thickTop="1" x14ac:dyDescent="0.2">
      <c r="A115" s="2199" t="s">
        <v>1053</v>
      </c>
      <c r="B115" s="2200"/>
      <c r="C115" s="619"/>
      <c r="D115" s="619"/>
      <c r="E115" s="619"/>
      <c r="F115" s="619"/>
      <c r="G115" s="619"/>
      <c r="H115" s="619"/>
      <c r="I115" s="619"/>
      <c r="J115" s="619"/>
      <c r="K115" s="1706">
        <f>'Revenues 9-14'!C275-'Expenditures 15-22'!K114</f>
        <v>167302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v>165252</v>
      </c>
      <c r="D124" s="466">
        <v>26770</v>
      </c>
      <c r="E124" s="466">
        <v>82107</v>
      </c>
      <c r="F124" s="466">
        <v>116927</v>
      </c>
      <c r="G124" s="466">
        <v>4973</v>
      </c>
      <c r="H124" s="466"/>
      <c r="I124" s="467"/>
      <c r="J124" s="467"/>
      <c r="K124" s="1692">
        <f>SUM(C124:J124)</f>
        <v>396029</v>
      </c>
      <c r="L124" s="466">
        <v>447000</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165252</v>
      </c>
      <c r="D127" s="1692">
        <f t="shared" ref="D127:L127" si="14">SUM(D122:D126)</f>
        <v>26770</v>
      </c>
      <c r="E127" s="1692">
        <f t="shared" si="14"/>
        <v>82107</v>
      </c>
      <c r="F127" s="1692">
        <f t="shared" si="14"/>
        <v>116927</v>
      </c>
      <c r="G127" s="1692">
        <f t="shared" si="14"/>
        <v>4973</v>
      </c>
      <c r="H127" s="1692">
        <f t="shared" si="14"/>
        <v>0</v>
      </c>
      <c r="I127" s="1692">
        <f t="shared" si="14"/>
        <v>0</v>
      </c>
      <c r="J127" s="1692">
        <f t="shared" si="14"/>
        <v>0</v>
      </c>
      <c r="K127" s="1692">
        <f t="shared" si="14"/>
        <v>396029</v>
      </c>
      <c r="L127" s="1692">
        <f t="shared" si="14"/>
        <v>447000</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165252</v>
      </c>
      <c r="D129" s="1699">
        <f t="shared" ref="D129:L129" si="15">SUM(D120,D127,D128)</f>
        <v>26770</v>
      </c>
      <c r="E129" s="1699">
        <f t="shared" si="15"/>
        <v>82107</v>
      </c>
      <c r="F129" s="1699">
        <f t="shared" si="15"/>
        <v>116927</v>
      </c>
      <c r="G129" s="1699">
        <f t="shared" si="15"/>
        <v>4973</v>
      </c>
      <c r="H129" s="1699">
        <f t="shared" si="15"/>
        <v>0</v>
      </c>
      <c r="I129" s="1699">
        <f t="shared" si="15"/>
        <v>0</v>
      </c>
      <c r="J129" s="1699">
        <f t="shared" si="15"/>
        <v>0</v>
      </c>
      <c r="K129" s="1699">
        <f t="shared" si="15"/>
        <v>396029</v>
      </c>
      <c r="L129" s="1699">
        <f t="shared" si="15"/>
        <v>447000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89" t="s">
        <v>641</v>
      </c>
      <c r="B151" s="2171"/>
      <c r="C151" s="1692">
        <f>SUM(C129,C130,C139,C149,C150)</f>
        <v>165252</v>
      </c>
      <c r="D151" s="1692">
        <f t="shared" ref="D151:K151" si="16">SUM(D129,D130,D139,D149,D150)</f>
        <v>26770</v>
      </c>
      <c r="E151" s="1692">
        <f t="shared" si="16"/>
        <v>82107</v>
      </c>
      <c r="F151" s="1692">
        <f t="shared" si="16"/>
        <v>116927</v>
      </c>
      <c r="G151" s="1692">
        <f t="shared" si="16"/>
        <v>4973</v>
      </c>
      <c r="H151" s="1692">
        <f t="shared" si="16"/>
        <v>0</v>
      </c>
      <c r="I151" s="1692">
        <f t="shared" si="16"/>
        <v>0</v>
      </c>
      <c r="J151" s="1692">
        <f t="shared" si="16"/>
        <v>0</v>
      </c>
      <c r="K151" s="1692">
        <f t="shared" si="16"/>
        <v>396029</v>
      </c>
      <c r="L151" s="1692">
        <f>SUM(L129,L130,L139,L149,L150)</f>
        <v>447000</v>
      </c>
    </row>
    <row r="152" spans="1:14" ht="12.75" customHeight="1" thickTop="1" x14ac:dyDescent="0.2">
      <c r="A152" s="2192" t="s">
        <v>1240</v>
      </c>
      <c r="B152" s="2193"/>
      <c r="C152" s="619"/>
      <c r="D152" s="619"/>
      <c r="E152" s="619"/>
      <c r="F152" s="619"/>
      <c r="G152" s="619"/>
      <c r="H152" s="619"/>
      <c r="I152" s="619"/>
      <c r="J152" s="617"/>
      <c r="K152" s="1706">
        <f>'Revenues 9-14'!D275-'Expenditures 15-22'!K151</f>
        <v>7281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6400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6400</v>
      </c>
    </row>
    <row r="169" spans="1:14" ht="15.75" customHeight="1" thickTop="1" x14ac:dyDescent="0.2">
      <c r="A169" s="670" t="s">
        <v>85</v>
      </c>
      <c r="B169" s="671" t="s">
        <v>38</v>
      </c>
      <c r="C169" s="617"/>
      <c r="D169" s="617"/>
      <c r="E169" s="617"/>
      <c r="F169" s="617"/>
      <c r="G169" s="617"/>
      <c r="H169" s="657">
        <v>6328</v>
      </c>
      <c r="I169" s="617"/>
      <c r="J169" s="617"/>
      <c r="K169" s="1693">
        <f>SUM(C169:H169)</f>
        <v>6328</v>
      </c>
      <c r="L169" s="657">
        <v>0</v>
      </c>
    </row>
    <row r="170" spans="1:14" ht="33.75" customHeight="1" x14ac:dyDescent="0.2">
      <c r="A170" s="670" t="s">
        <v>1769</v>
      </c>
      <c r="B170" s="672" t="s">
        <v>31</v>
      </c>
      <c r="C170" s="617"/>
      <c r="D170" s="617"/>
      <c r="E170" s="617"/>
      <c r="F170" s="617"/>
      <c r="G170" s="617"/>
      <c r="H170" s="569">
        <v>25000</v>
      </c>
      <c r="I170" s="617"/>
      <c r="J170" s="617"/>
      <c r="K170" s="1693">
        <f>SUM(C170:J170)</f>
        <v>25000</v>
      </c>
      <c r="L170" s="569">
        <v>25500</v>
      </c>
    </row>
    <row r="171" spans="1:14" ht="15.75" customHeight="1" x14ac:dyDescent="0.2">
      <c r="A171" s="622" t="s">
        <v>790</v>
      </c>
      <c r="B171" s="673" t="s">
        <v>86</v>
      </c>
      <c r="C171" s="617"/>
      <c r="D171" s="617"/>
      <c r="E171" s="466"/>
      <c r="F171" s="617"/>
      <c r="G171" s="617"/>
      <c r="H171" s="569">
        <v>500</v>
      </c>
      <c r="I171" s="477"/>
      <c r="J171" s="617"/>
      <c r="K171" s="1693">
        <f>SUM(C171:J171)</f>
        <v>500</v>
      </c>
      <c r="L171" s="569">
        <v>0</v>
      </c>
    </row>
    <row r="172" spans="1:14" ht="12.75" customHeight="1" thickBot="1" x14ac:dyDescent="0.25">
      <c r="A172" s="1690" t="s">
        <v>659</v>
      </c>
      <c r="B172" s="1691" t="s">
        <v>513</v>
      </c>
      <c r="C172" s="617"/>
      <c r="D172" s="617"/>
      <c r="E172" s="1699">
        <f>SUM(E168,E169,E170,E171)</f>
        <v>0</v>
      </c>
      <c r="F172" s="617"/>
      <c r="G172" s="617"/>
      <c r="H172" s="1699">
        <f>SUM(H168,H169,H170,H171)</f>
        <v>31828</v>
      </c>
      <c r="I172" s="639"/>
      <c r="J172" s="617"/>
      <c r="K172" s="1699">
        <f>SUM(K168,K169,K170,K171)</f>
        <v>31828</v>
      </c>
      <c r="L172" s="1699">
        <f>SUM(L168,L169,L170,L171)</f>
        <v>31900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31828</v>
      </c>
      <c r="I174" s="639"/>
      <c r="J174" s="617"/>
      <c r="K174" s="1699">
        <f>SUM(K160,K172,K173)</f>
        <v>31828</v>
      </c>
      <c r="L174" s="1699">
        <f>SUM(L160,L172,L173)</f>
        <v>31900</v>
      </c>
    </row>
    <row r="175" spans="1:14" ht="13.5" thickTop="1" x14ac:dyDescent="0.2">
      <c r="A175" s="2199" t="s">
        <v>1053</v>
      </c>
      <c r="B175" s="2200"/>
      <c r="C175" s="617"/>
      <c r="D175" s="617"/>
      <c r="E175" s="617"/>
      <c r="F175" s="617"/>
      <c r="G175" s="617"/>
      <c r="H175" s="619"/>
      <c r="I175" s="617"/>
      <c r="J175" s="617"/>
      <c r="K175" s="1706">
        <f>'Revenues 9-14'!E275-'Expenditures 15-22'!K174</f>
        <v>-31828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40812</v>
      </c>
      <c r="D182" s="466"/>
      <c r="E182" s="466">
        <v>527057</v>
      </c>
      <c r="F182" s="466">
        <v>35435</v>
      </c>
      <c r="G182" s="466"/>
      <c r="H182" s="466"/>
      <c r="I182" s="467"/>
      <c r="J182" s="467"/>
      <c r="K182" s="1693">
        <f>SUM(C182:J182)</f>
        <v>603304</v>
      </c>
      <c r="L182" s="466">
        <v>661990</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40812</v>
      </c>
      <c r="D184" s="1699">
        <f t="shared" ref="D184:J184" si="17">SUM(D180,D182,D183)</f>
        <v>0</v>
      </c>
      <c r="E184" s="1699">
        <f t="shared" si="17"/>
        <v>527057</v>
      </c>
      <c r="F184" s="1699">
        <f t="shared" si="17"/>
        <v>35435</v>
      </c>
      <c r="G184" s="1699">
        <f t="shared" si="17"/>
        <v>0</v>
      </c>
      <c r="H184" s="1699">
        <f t="shared" si="17"/>
        <v>0</v>
      </c>
      <c r="I184" s="1699">
        <f t="shared" si="17"/>
        <v>0</v>
      </c>
      <c r="J184" s="1699">
        <f t="shared" si="17"/>
        <v>0</v>
      </c>
      <c r="K184" s="1699">
        <f>SUM(K180,K182,K183)</f>
        <v>603304</v>
      </c>
      <c r="L184" s="1699">
        <f>SUM(L180, L182:L183)</f>
        <v>661990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40812</v>
      </c>
      <c r="D210" s="1692">
        <f>SUM(D184,D185)</f>
        <v>0</v>
      </c>
      <c r="E210" s="1692">
        <f>SUM(E184,E185,E196)</f>
        <v>527057</v>
      </c>
      <c r="F210" s="1692">
        <f>SUM(F184,F185)</f>
        <v>35435</v>
      </c>
      <c r="G210" s="1692">
        <f>SUM(G184,G185)</f>
        <v>0</v>
      </c>
      <c r="H210" s="1692">
        <f>SUM(H184,H185,H196,H208,H209)</f>
        <v>0</v>
      </c>
      <c r="I210" s="1692">
        <f>SUM(I184,I185)</f>
        <v>0</v>
      </c>
      <c r="J210" s="1692">
        <f>SUM(J184,J185)</f>
        <v>0</v>
      </c>
      <c r="K210" s="1693">
        <f>SUM(K184,K185,K196,K208,K209)</f>
        <v>603304</v>
      </c>
      <c r="L210" s="1692">
        <f>SUM(L184,L185,L196,L208,L209)</f>
        <v>661990</v>
      </c>
    </row>
    <row r="211" spans="1:14" ht="13.5" thickTop="1" x14ac:dyDescent="0.2">
      <c r="A211" s="2199" t="s">
        <v>1053</v>
      </c>
      <c r="B211" s="2200"/>
      <c r="C211" s="619"/>
      <c r="D211" s="619"/>
      <c r="E211" s="619"/>
      <c r="F211" s="619"/>
      <c r="G211" s="619"/>
      <c r="H211" s="619"/>
      <c r="I211" s="617"/>
      <c r="J211" s="617"/>
      <c r="K211" s="1706">
        <f>'Revenues 9-14'!F275-'Expenditures 15-22'!K210</f>
        <v>171437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22133</v>
      </c>
      <c r="E215" s="617"/>
      <c r="F215" s="617"/>
      <c r="G215" s="617"/>
      <c r="H215" s="617"/>
      <c r="I215" s="617"/>
      <c r="J215" s="617"/>
      <c r="K215" s="1693">
        <f>D215</f>
        <v>22133</v>
      </c>
      <c r="L215" s="466">
        <v>23200</v>
      </c>
    </row>
    <row r="216" spans="1:14" x14ac:dyDescent="0.2">
      <c r="A216" s="1526" t="s">
        <v>165</v>
      </c>
      <c r="B216" s="615" t="s">
        <v>1024</v>
      </c>
      <c r="C216" s="617"/>
      <c r="D216" s="467">
        <v>5136</v>
      </c>
      <c r="E216" s="617"/>
      <c r="F216" s="617"/>
      <c r="G216" s="617"/>
      <c r="H216" s="617"/>
      <c r="I216" s="617"/>
      <c r="J216" s="617"/>
      <c r="K216" s="1693">
        <f t="shared" ref="K216:K228" si="19">D216</f>
        <v>5136</v>
      </c>
      <c r="L216" s="466">
        <v>7500</v>
      </c>
    </row>
    <row r="217" spans="1:14" x14ac:dyDescent="0.2">
      <c r="A217" s="1526" t="s">
        <v>166</v>
      </c>
      <c r="B217" s="615">
        <v>1200</v>
      </c>
      <c r="C217" s="617"/>
      <c r="D217" s="466">
        <v>47545</v>
      </c>
      <c r="E217" s="617"/>
      <c r="F217" s="617"/>
      <c r="G217" s="617"/>
      <c r="H217" s="617"/>
      <c r="I217" s="617"/>
      <c r="J217" s="617"/>
      <c r="K217" s="1693">
        <f t="shared" si="19"/>
        <v>47545</v>
      </c>
      <c r="L217" s="466">
        <v>45500</v>
      </c>
    </row>
    <row r="218" spans="1:14" x14ac:dyDescent="0.2">
      <c r="A218" s="1526" t="s">
        <v>296</v>
      </c>
      <c r="B218" s="615" t="s">
        <v>1025</v>
      </c>
      <c r="C218" s="617"/>
      <c r="D218" s="467"/>
      <c r="E218" s="617"/>
      <c r="F218" s="617"/>
      <c r="G218" s="617"/>
      <c r="H218" s="617"/>
      <c r="I218" s="617"/>
      <c r="J218" s="617"/>
      <c r="K218" s="1693">
        <f t="shared" si="19"/>
        <v>0</v>
      </c>
      <c r="L218" s="466">
        <v>0</v>
      </c>
    </row>
    <row r="219" spans="1:14" x14ac:dyDescent="0.2">
      <c r="A219" s="1526" t="s">
        <v>297</v>
      </c>
      <c r="B219" s="615">
        <v>1250</v>
      </c>
      <c r="C219" s="617"/>
      <c r="D219" s="466">
        <v>3864</v>
      </c>
      <c r="E219" s="617"/>
      <c r="F219" s="617"/>
      <c r="G219" s="617"/>
      <c r="H219" s="617"/>
      <c r="I219" s="617"/>
      <c r="J219" s="617"/>
      <c r="K219" s="1693">
        <f t="shared" si="19"/>
        <v>3864</v>
      </c>
      <c r="L219" s="466">
        <v>4250</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v>2172</v>
      </c>
      <c r="E222" s="617"/>
      <c r="F222" s="617"/>
      <c r="G222" s="617"/>
      <c r="H222" s="617"/>
      <c r="I222" s="617"/>
      <c r="J222" s="617"/>
      <c r="K222" s="1693">
        <f t="shared" si="19"/>
        <v>2172</v>
      </c>
      <c r="L222" s="466">
        <v>2000</v>
      </c>
    </row>
    <row r="223" spans="1:14" x14ac:dyDescent="0.2">
      <c r="A223" s="1526" t="s">
        <v>1020</v>
      </c>
      <c r="B223" s="615">
        <v>1500</v>
      </c>
      <c r="C223" s="617"/>
      <c r="D223" s="466">
        <v>3874</v>
      </c>
      <c r="E223" s="617"/>
      <c r="F223" s="617"/>
      <c r="G223" s="617"/>
      <c r="H223" s="617"/>
      <c r="I223" s="617"/>
      <c r="J223" s="617"/>
      <c r="K223" s="1693">
        <f t="shared" si="19"/>
        <v>3874</v>
      </c>
      <c r="L223" s="466">
        <v>4000</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c r="E225" s="617"/>
      <c r="F225" s="617"/>
      <c r="G225" s="617"/>
      <c r="H225" s="617"/>
      <c r="I225" s="617"/>
      <c r="J225" s="617"/>
      <c r="K225" s="1693">
        <f t="shared" si="19"/>
        <v>0</v>
      </c>
      <c r="L225" s="466">
        <v>0</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c r="E227" s="617"/>
      <c r="F227" s="617"/>
      <c r="G227" s="617"/>
      <c r="H227" s="617"/>
      <c r="I227" s="617"/>
      <c r="J227" s="617"/>
      <c r="K227" s="1693">
        <f t="shared" si="19"/>
        <v>0</v>
      </c>
      <c r="L227" s="466">
        <v>0</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84724</v>
      </c>
      <c r="E229" s="617"/>
      <c r="F229" s="617"/>
      <c r="G229" s="617"/>
      <c r="H229" s="617"/>
      <c r="I229" s="617"/>
      <c r="J229" s="617"/>
      <c r="K229" s="1692">
        <f>SUM(K215:K228)</f>
        <v>84724</v>
      </c>
      <c r="L229" s="1692">
        <f>SUM(L215:L228)</f>
        <v>86450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v>0</v>
      </c>
    </row>
    <row r="233" spans="1:12" x14ac:dyDescent="0.2">
      <c r="A233" s="1526" t="s">
        <v>1151</v>
      </c>
      <c r="B233" s="615">
        <v>2120</v>
      </c>
      <c r="C233" s="617"/>
      <c r="D233" s="466">
        <v>928</v>
      </c>
      <c r="E233" s="617"/>
      <c r="F233" s="617"/>
      <c r="G233" s="617"/>
      <c r="H233" s="617"/>
      <c r="I233" s="617"/>
      <c r="J233" s="617"/>
      <c r="K233" s="1693">
        <f t="shared" si="20"/>
        <v>928</v>
      </c>
      <c r="L233" s="466">
        <v>1000</v>
      </c>
    </row>
    <row r="234" spans="1:12" x14ac:dyDescent="0.2">
      <c r="A234" s="1526" t="s">
        <v>207</v>
      </c>
      <c r="B234" s="615">
        <v>2130</v>
      </c>
      <c r="C234" s="617"/>
      <c r="D234" s="466">
        <v>86</v>
      </c>
      <c r="E234" s="617"/>
      <c r="F234" s="617"/>
      <c r="G234" s="617"/>
      <c r="H234" s="617"/>
      <c r="I234" s="617"/>
      <c r="J234" s="617"/>
      <c r="K234" s="1693">
        <f t="shared" si="20"/>
        <v>86</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c r="E236" s="617"/>
      <c r="F236" s="617"/>
      <c r="G236" s="617"/>
      <c r="H236" s="617"/>
      <c r="I236" s="617"/>
      <c r="J236" s="617"/>
      <c r="K236" s="1693">
        <f t="shared" si="20"/>
        <v>0</v>
      </c>
      <c r="L236" s="466">
        <v>0</v>
      </c>
    </row>
    <row r="237" spans="1:12" x14ac:dyDescent="0.2">
      <c r="A237" s="1526" t="s">
        <v>167</v>
      </c>
      <c r="B237" s="615">
        <v>2190</v>
      </c>
      <c r="C237" s="617"/>
      <c r="D237" s="466">
        <f>4616+3735+56</f>
        <v>8407</v>
      </c>
      <c r="E237" s="617"/>
      <c r="F237" s="617"/>
      <c r="G237" s="617"/>
      <c r="H237" s="617"/>
      <c r="I237" s="617"/>
      <c r="J237" s="617"/>
      <c r="K237" s="1693">
        <f t="shared" si="20"/>
        <v>8407</v>
      </c>
      <c r="L237" s="466">
        <v>9200</v>
      </c>
    </row>
    <row r="238" spans="1:12" ht="12.75" customHeight="1" thickBot="1" x14ac:dyDescent="0.25">
      <c r="A238" s="1690" t="s">
        <v>581</v>
      </c>
      <c r="B238" s="1697" t="s">
        <v>740</v>
      </c>
      <c r="C238" s="617"/>
      <c r="D238" s="1692">
        <f>SUM(D232:D237)</f>
        <v>9421</v>
      </c>
      <c r="E238" s="617"/>
      <c r="F238" s="617"/>
      <c r="G238" s="617"/>
      <c r="H238" s="617"/>
      <c r="I238" s="617"/>
      <c r="J238" s="617"/>
      <c r="K238" s="1692">
        <f>SUM(K232:K237)</f>
        <v>9421</v>
      </c>
      <c r="L238" s="1692">
        <f>SUM(L232:L237)</f>
        <v>10200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74</v>
      </c>
      <c r="E240" s="617"/>
      <c r="F240" s="617"/>
      <c r="G240" s="617"/>
      <c r="H240" s="617"/>
      <c r="I240" s="617"/>
      <c r="J240" s="617"/>
      <c r="K240" s="1694">
        <f>D240</f>
        <v>74</v>
      </c>
      <c r="L240" s="481">
        <v>0</v>
      </c>
    </row>
    <row r="241" spans="1:12" x14ac:dyDescent="0.2">
      <c r="A241" s="1526" t="s">
        <v>869</v>
      </c>
      <c r="B241" s="615">
        <v>2220</v>
      </c>
      <c r="C241" s="617"/>
      <c r="D241" s="466">
        <v>146</v>
      </c>
      <c r="E241" s="617"/>
      <c r="F241" s="617"/>
      <c r="G241" s="617"/>
      <c r="H241" s="617"/>
      <c r="I241" s="617"/>
      <c r="J241" s="617"/>
      <c r="K241" s="1694">
        <f>D241</f>
        <v>146</v>
      </c>
      <c r="L241" s="466">
        <v>2500</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220</v>
      </c>
      <c r="E243" s="617"/>
      <c r="F243" s="617"/>
      <c r="G243" s="617"/>
      <c r="H243" s="617"/>
      <c r="I243" s="617"/>
      <c r="J243" s="617"/>
      <c r="K243" s="1692">
        <f>SUM(K240:K242)</f>
        <v>220</v>
      </c>
      <c r="L243" s="1692">
        <f>SUM(L240:L242)</f>
        <v>2500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172</v>
      </c>
      <c r="E245" s="617"/>
      <c r="F245" s="617"/>
      <c r="G245" s="617"/>
      <c r="H245" s="617"/>
      <c r="I245" s="617"/>
      <c r="J245" s="617"/>
      <c r="K245" s="1694">
        <f>D245</f>
        <v>172</v>
      </c>
      <c r="L245" s="481">
        <v>2000</v>
      </c>
    </row>
    <row r="246" spans="1:12" x14ac:dyDescent="0.2">
      <c r="A246" s="1526" t="s">
        <v>872</v>
      </c>
      <c r="B246" s="615">
        <v>2320</v>
      </c>
      <c r="C246" s="617"/>
      <c r="D246" s="466">
        <v>1609</v>
      </c>
      <c r="E246" s="617"/>
      <c r="F246" s="617"/>
      <c r="G246" s="617"/>
      <c r="H246" s="617"/>
      <c r="I246" s="617"/>
      <c r="J246" s="617"/>
      <c r="K246" s="1694">
        <f t="shared" ref="K246:K256" si="21">D246</f>
        <v>1609</v>
      </c>
      <c r="L246" s="466">
        <v>0</v>
      </c>
    </row>
    <row r="247" spans="1:12" x14ac:dyDescent="0.2">
      <c r="A247" s="1526" t="s">
        <v>873</v>
      </c>
      <c r="B247" s="615">
        <v>2330</v>
      </c>
      <c r="C247" s="617"/>
      <c r="D247" s="466"/>
      <c r="E247" s="617"/>
      <c r="F247" s="617"/>
      <c r="G247" s="617"/>
      <c r="H247" s="617"/>
      <c r="I247" s="617"/>
      <c r="J247" s="617"/>
      <c r="K247" s="1694">
        <f t="shared" si="21"/>
        <v>0</v>
      </c>
      <c r="L247" s="466">
        <v>0</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1908</v>
      </c>
      <c r="B249" s="684" t="s">
        <v>300</v>
      </c>
      <c r="C249" s="617"/>
      <c r="D249" s="474"/>
      <c r="E249" s="617"/>
      <c r="F249" s="617"/>
      <c r="G249" s="617"/>
      <c r="H249" s="617"/>
      <c r="I249" s="617"/>
      <c r="J249" s="617"/>
      <c r="K249" s="1694">
        <f t="shared" si="21"/>
        <v>0</v>
      </c>
      <c r="L249" s="466">
        <v>0</v>
      </c>
    </row>
    <row r="250" spans="1:12" x14ac:dyDescent="0.2">
      <c r="A250" s="1527" t="s">
        <v>1909</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1781</v>
      </c>
      <c r="E257" s="617"/>
      <c r="F257" s="617"/>
      <c r="G257" s="617"/>
      <c r="H257" s="617"/>
      <c r="I257" s="617"/>
      <c r="J257" s="617"/>
      <c r="K257" s="1692">
        <f>SUM(K245:K256)</f>
        <v>1781</v>
      </c>
      <c r="L257" s="1692">
        <f>SUM(L245:L256)</f>
        <v>2000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12485</v>
      </c>
      <c r="E259" s="617"/>
      <c r="F259" s="617"/>
      <c r="G259" s="617"/>
      <c r="H259" s="617"/>
      <c r="I259" s="617"/>
      <c r="J259" s="617"/>
      <c r="K259" s="1694">
        <f>D259</f>
        <v>12485</v>
      </c>
      <c r="L259" s="481">
        <v>12800</v>
      </c>
    </row>
    <row r="260" spans="1:14" s="598" customFormat="1" x14ac:dyDescent="0.2">
      <c r="A260" s="1544" t="s">
        <v>1907</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12485</v>
      </c>
      <c r="E261" s="617"/>
      <c r="F261" s="617"/>
      <c r="G261" s="617"/>
      <c r="H261" s="617"/>
      <c r="I261" s="617"/>
      <c r="J261" s="617"/>
      <c r="K261" s="1692">
        <f>SUM(K259:K260)</f>
        <v>12485</v>
      </c>
      <c r="L261" s="1692">
        <f>SUM(L259:L260)</f>
        <v>12800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v>0</v>
      </c>
    </row>
    <row r="264" spans="1:14" x14ac:dyDescent="0.2">
      <c r="A264" s="1526" t="s">
        <v>483</v>
      </c>
      <c r="B264" s="686">
        <v>2520</v>
      </c>
      <c r="C264" s="617"/>
      <c r="D264" s="466">
        <v>10994</v>
      </c>
      <c r="E264" s="617"/>
      <c r="F264" s="617"/>
      <c r="G264" s="617"/>
      <c r="H264" s="617"/>
      <c r="I264" s="617"/>
      <c r="J264" s="617"/>
      <c r="K264" s="1694">
        <f t="shared" ref="K264:K269" si="22">D264</f>
        <v>10994</v>
      </c>
      <c r="L264" s="466">
        <v>11000</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25311</v>
      </c>
      <c r="E266" s="617"/>
      <c r="F266" s="617"/>
      <c r="G266" s="617"/>
      <c r="H266" s="617"/>
      <c r="I266" s="617"/>
      <c r="J266" s="617"/>
      <c r="K266" s="1694">
        <f t="shared" si="22"/>
        <v>25311</v>
      </c>
      <c r="L266" s="466">
        <v>26000</v>
      </c>
    </row>
    <row r="267" spans="1:14" x14ac:dyDescent="0.2">
      <c r="A267" s="1526" t="s">
        <v>1010</v>
      </c>
      <c r="B267" s="615">
        <v>2550</v>
      </c>
      <c r="C267" s="617"/>
      <c r="D267" s="466">
        <v>5510</v>
      </c>
      <c r="E267" s="617"/>
      <c r="F267" s="617"/>
      <c r="G267" s="617"/>
      <c r="H267" s="617"/>
      <c r="I267" s="617"/>
      <c r="J267" s="617"/>
      <c r="K267" s="1694">
        <f t="shared" si="22"/>
        <v>5510</v>
      </c>
      <c r="L267" s="466">
        <v>5500</v>
      </c>
    </row>
    <row r="268" spans="1:14" x14ac:dyDescent="0.2">
      <c r="A268" s="1526" t="s">
        <v>102</v>
      </c>
      <c r="B268" s="615">
        <v>2560</v>
      </c>
      <c r="C268" s="617"/>
      <c r="D268" s="466">
        <v>12522</v>
      </c>
      <c r="E268" s="617"/>
      <c r="F268" s="617"/>
      <c r="G268" s="617"/>
      <c r="H268" s="617"/>
      <c r="I268" s="617"/>
      <c r="J268" s="617"/>
      <c r="K268" s="1694">
        <f t="shared" si="22"/>
        <v>12522</v>
      </c>
      <c r="L268" s="466">
        <v>14000</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54337</v>
      </c>
      <c r="E270" s="617"/>
      <c r="F270" s="617"/>
      <c r="G270" s="617"/>
      <c r="H270" s="617"/>
      <c r="I270" s="617"/>
      <c r="J270" s="617"/>
      <c r="K270" s="1692">
        <f>SUM(K263:K269)</f>
        <v>54337</v>
      </c>
      <c r="L270" s="1692">
        <f>SUM(L263:L269)</f>
        <v>56500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c r="E275" s="617"/>
      <c r="F275" s="617"/>
      <c r="G275" s="617"/>
      <c r="H275" s="617"/>
      <c r="I275" s="617"/>
      <c r="J275" s="617"/>
      <c r="K275" s="1694">
        <f>D275</f>
        <v>0</v>
      </c>
      <c r="L275" s="466">
        <v>0</v>
      </c>
    </row>
    <row r="276" spans="1:12" x14ac:dyDescent="0.2">
      <c r="A276" s="1526" t="s">
        <v>424</v>
      </c>
      <c r="B276" s="615">
        <v>2660</v>
      </c>
      <c r="C276" s="617"/>
      <c r="D276" s="466"/>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78244</v>
      </c>
      <c r="E279" s="617"/>
      <c r="F279" s="617"/>
      <c r="G279" s="617"/>
      <c r="H279" s="617"/>
      <c r="I279" s="617"/>
      <c r="J279" s="617"/>
      <c r="K279" s="1699">
        <f>SUM(K238,K243,K257,K261,K270,K277,K278)</f>
        <v>78244</v>
      </c>
      <c r="L279" s="1699">
        <f>SUM(L238,L243,L257,L261,L270,L277,L278)</f>
        <v>84000</v>
      </c>
    </row>
    <row r="280" spans="1:12" ht="15.75" customHeight="1" thickTop="1" thickBot="1" x14ac:dyDescent="0.25">
      <c r="A280" s="1646" t="s">
        <v>930</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0" t="s">
        <v>526</v>
      </c>
      <c r="B295" s="2191"/>
      <c r="C295" s="617"/>
      <c r="D295" s="1692">
        <f>SUM(D229,D279,D280,D285)</f>
        <v>162968</v>
      </c>
      <c r="E295" s="617"/>
      <c r="F295" s="617"/>
      <c r="G295" s="617"/>
      <c r="H295" s="1692">
        <f>H293</f>
        <v>0</v>
      </c>
      <c r="I295" s="617"/>
      <c r="J295" s="617"/>
      <c r="K295" s="1692">
        <f>SUM(K229,K279,K280,K285,K293,K294)</f>
        <v>162968</v>
      </c>
      <c r="L295" s="1692">
        <f>SUM(L229,L279,L280,L285,L293,L294)</f>
        <v>170450</v>
      </c>
    </row>
    <row r="296" spans="1:14" ht="13.5" thickTop="1" x14ac:dyDescent="0.2">
      <c r="A296" s="2199" t="s">
        <v>1053</v>
      </c>
      <c r="B296" s="2200"/>
      <c r="C296" s="617"/>
      <c r="D296" s="619"/>
      <c r="E296" s="617"/>
      <c r="F296" s="617"/>
      <c r="G296" s="617"/>
      <c r="H296" s="688"/>
      <c r="I296" s="617"/>
      <c r="J296" s="617"/>
      <c r="K296" s="1706">
        <f>'Revenues 9-14'!G275-'Expenditures 15-22'!K295</f>
        <v>-41820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13304</v>
      </c>
      <c r="F301" s="466">
        <v>8562</v>
      </c>
      <c r="G301" s="466">
        <v>123397</v>
      </c>
      <c r="H301" s="466"/>
      <c r="I301" s="467"/>
      <c r="J301" s="467"/>
      <c r="K301" s="1693">
        <f>SUM(C301:J301)</f>
        <v>145263</v>
      </c>
      <c r="L301" s="467">
        <v>182600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13304</v>
      </c>
      <c r="F303" s="1699">
        <f t="shared" si="23"/>
        <v>8562</v>
      </c>
      <c r="G303" s="1699">
        <f t="shared" si="23"/>
        <v>123397</v>
      </c>
      <c r="H303" s="1699">
        <f t="shared" si="23"/>
        <v>0</v>
      </c>
      <c r="I303" s="1699">
        <f t="shared" si="23"/>
        <v>0</v>
      </c>
      <c r="J303" s="1699">
        <f t="shared" si="23"/>
        <v>0</v>
      </c>
      <c r="K303" s="1699">
        <f t="shared" si="23"/>
        <v>145263</v>
      </c>
      <c r="L303" s="1699">
        <f t="shared" si="23"/>
        <v>182600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7" t="s">
        <v>295</v>
      </c>
      <c r="B312" s="2188"/>
      <c r="C312" s="1692">
        <f>SUM(C303)</f>
        <v>0</v>
      </c>
      <c r="D312" s="1692">
        <f>SUM(D303)</f>
        <v>0</v>
      </c>
      <c r="E312" s="1692">
        <f>SUM(E303,E310)</f>
        <v>13304</v>
      </c>
      <c r="F312" s="1692">
        <f>SUM(F303)</f>
        <v>8562</v>
      </c>
      <c r="G312" s="1692">
        <f>SUM(G303)</f>
        <v>123397</v>
      </c>
      <c r="H312" s="1692">
        <f>SUM(H303,H310)</f>
        <v>0</v>
      </c>
      <c r="I312" s="1692">
        <f>SUM(I303)</f>
        <v>0</v>
      </c>
      <c r="J312" s="1692">
        <f>SUM(J303)</f>
        <v>0</v>
      </c>
      <c r="K312" s="1692">
        <f>SUM(K303,K310,K311)</f>
        <v>145263</v>
      </c>
      <c r="L312" s="1692">
        <f>SUM(L303,L310,L311)</f>
        <v>182600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103722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1908</v>
      </c>
      <c r="B320" s="699" t="s">
        <v>300</v>
      </c>
      <c r="C320" s="467"/>
      <c r="D320" s="467"/>
      <c r="E320" s="467">
        <v>37584</v>
      </c>
      <c r="F320" s="467"/>
      <c r="G320" s="467"/>
      <c r="H320" s="467"/>
      <c r="I320" s="467"/>
      <c r="J320" s="467"/>
      <c r="K320" s="1693">
        <f t="shared" ref="K320:K327" si="24">SUM(C320:J320)</f>
        <v>37584</v>
      </c>
      <c r="L320" s="467">
        <v>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302</v>
      </c>
      <c r="C322" s="467"/>
      <c r="D322" s="467"/>
      <c r="E322" s="467">
        <f>29936+3211</f>
        <v>33147</v>
      </c>
      <c r="F322" s="467"/>
      <c r="G322" s="467"/>
      <c r="H322" s="467"/>
      <c r="I322" s="467"/>
      <c r="J322" s="467"/>
      <c r="K322" s="1693">
        <f t="shared" si="24"/>
        <v>33147</v>
      </c>
      <c r="L322" s="467">
        <v>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v>14000</v>
      </c>
      <c r="D325" s="467"/>
      <c r="E325" s="467"/>
      <c r="F325" s="467"/>
      <c r="G325" s="467"/>
      <c r="H325" s="467"/>
      <c r="I325" s="467"/>
      <c r="J325" s="467"/>
      <c r="K325" s="1693">
        <f t="shared" si="24"/>
        <v>14000</v>
      </c>
      <c r="L325" s="467">
        <v>26000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82600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14000</v>
      </c>
      <c r="D330" s="1692">
        <f t="shared" ref="D330:J330" si="25">SUM(D319:D329)</f>
        <v>0</v>
      </c>
      <c r="E330" s="1692">
        <f t="shared" si="25"/>
        <v>70731</v>
      </c>
      <c r="F330" s="1692">
        <f t="shared" si="25"/>
        <v>0</v>
      </c>
      <c r="G330" s="1692">
        <f t="shared" si="25"/>
        <v>0</v>
      </c>
      <c r="H330" s="1692">
        <f t="shared" si="25"/>
        <v>0</v>
      </c>
      <c r="I330" s="1692">
        <f t="shared" si="25"/>
        <v>0</v>
      </c>
      <c r="J330" s="1692">
        <f t="shared" si="25"/>
        <v>0</v>
      </c>
      <c r="K330" s="1692">
        <f>SUM(K319:K329)</f>
        <v>84731</v>
      </c>
      <c r="L330" s="1692">
        <f>SUM(L319:L329)</f>
        <v>108600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14000</v>
      </c>
      <c r="D342" s="1692">
        <f>SUM(D330)</f>
        <v>0</v>
      </c>
      <c r="E342" s="1692">
        <f>SUM(E330)</f>
        <v>70731</v>
      </c>
      <c r="F342" s="1692">
        <f>SUM(F330)</f>
        <v>0</v>
      </c>
      <c r="G342" s="1692">
        <f>SUM(G330)</f>
        <v>0</v>
      </c>
      <c r="H342" s="1692">
        <f>SUM(H330,H334,H340)</f>
        <v>0</v>
      </c>
      <c r="I342" s="1692">
        <f>SUM(I330)</f>
        <v>0</v>
      </c>
      <c r="J342" s="1692">
        <f>SUM(J330)</f>
        <v>0</v>
      </c>
      <c r="K342" s="1692">
        <f>SUM(K330,K334,K340)</f>
        <v>84731</v>
      </c>
      <c r="L342" s="1699">
        <f>SUM(L330,L340,L341)</f>
        <v>108600</v>
      </c>
    </row>
    <row r="343" spans="1:14" ht="12.75" customHeight="1" thickTop="1" x14ac:dyDescent="0.2">
      <c r="A343" s="2185" t="s">
        <v>1053</v>
      </c>
      <c r="B343" s="2186"/>
      <c r="C343" s="617"/>
      <c r="D343" s="617"/>
      <c r="E343" s="617"/>
      <c r="F343" s="617"/>
      <c r="G343" s="617"/>
      <c r="H343" s="617"/>
      <c r="I343" s="617"/>
      <c r="J343" s="617"/>
      <c r="K343" s="1706">
        <f>'Revenues 9-14'!J275-'Expenditures 15-22'!K342</f>
        <v>25157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c r="F349" s="466">
        <v>357183</v>
      </c>
      <c r="G349" s="466"/>
      <c r="H349" s="466">
        <v>26900</v>
      </c>
      <c r="I349" s="467"/>
      <c r="J349" s="467"/>
      <c r="K349" s="1693">
        <f>SUM(C349:J349)</f>
        <v>384083</v>
      </c>
      <c r="L349" s="466">
        <v>410000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357183</v>
      </c>
      <c r="G350" s="1692">
        <f t="shared" si="26"/>
        <v>0</v>
      </c>
      <c r="H350" s="1692">
        <f t="shared" si="26"/>
        <v>26900</v>
      </c>
      <c r="I350" s="1692">
        <f t="shared" si="26"/>
        <v>0</v>
      </c>
      <c r="J350" s="1692">
        <f t="shared" si="26"/>
        <v>0</v>
      </c>
      <c r="K350" s="1692">
        <f t="shared" si="26"/>
        <v>384083</v>
      </c>
      <c r="L350" s="1692">
        <f t="shared" si="26"/>
        <v>410000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357183</v>
      </c>
      <c r="G352" s="1692">
        <f t="shared" si="27"/>
        <v>0</v>
      </c>
      <c r="H352" s="1692">
        <f t="shared" si="27"/>
        <v>26900</v>
      </c>
      <c r="I352" s="1692">
        <f t="shared" si="27"/>
        <v>0</v>
      </c>
      <c r="J352" s="1692">
        <f t="shared" si="27"/>
        <v>0</v>
      </c>
      <c r="K352" s="1692">
        <f t="shared" si="27"/>
        <v>384083</v>
      </c>
      <c r="L352" s="1692">
        <f t="shared" si="27"/>
        <v>410000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v>0</v>
      </c>
    </row>
    <row r="355" spans="1:14" ht="12.75" customHeight="1" x14ac:dyDescent="0.2">
      <c r="A355" s="1535" t="s">
        <v>1966</v>
      </c>
      <c r="B355" s="691" t="s">
        <v>1959</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357183</v>
      </c>
      <c r="G367" s="1692">
        <f t="shared" si="28"/>
        <v>0</v>
      </c>
      <c r="H367" s="1692">
        <f t="shared" si="28"/>
        <v>26900</v>
      </c>
      <c r="I367" s="1692">
        <f t="shared" si="28"/>
        <v>0</v>
      </c>
      <c r="J367" s="1692">
        <f t="shared" si="28"/>
        <v>0</v>
      </c>
      <c r="K367" s="1692">
        <f t="shared" si="28"/>
        <v>384083</v>
      </c>
      <c r="L367" s="1692">
        <f t="shared" si="28"/>
        <v>410000</v>
      </c>
    </row>
    <row r="368" spans="1:14" ht="13.5" thickTop="1" x14ac:dyDescent="0.2">
      <c r="A368" s="2199" t="s">
        <v>1053</v>
      </c>
      <c r="B368" s="2200"/>
      <c r="C368" s="655"/>
      <c r="D368" s="655"/>
      <c r="E368" s="627"/>
      <c r="F368" s="627"/>
      <c r="G368" s="627"/>
      <c r="H368" s="627"/>
      <c r="I368" s="627"/>
      <c r="J368" s="624"/>
      <c r="K368" s="1693">
        <f>'Revenues 9-14'!K275-'Expenditures 15-22'!K367</f>
        <v>-381020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1896762</v>
      </c>
      <c r="C4" s="1546"/>
      <c r="D4" s="1774">
        <f>B4-C4</f>
        <v>1896762</v>
      </c>
      <c r="E4" s="1546">
        <v>1925122</v>
      </c>
      <c r="F4" s="1774">
        <f>E4-C4</f>
        <v>1925122</v>
      </c>
    </row>
    <row r="5" spans="1:6" ht="13.7" customHeight="1" x14ac:dyDescent="0.2">
      <c r="A5" s="716" t="s">
        <v>925</v>
      </c>
      <c r="B5" s="1772">
        <f>'Revenues 9-14'!D5</f>
        <v>350982</v>
      </c>
      <c r="C5" s="585"/>
      <c r="D5" s="1775">
        <f t="shared" ref="D5:D18" si="0">B5-C5</f>
        <v>350982</v>
      </c>
      <c r="E5" s="585">
        <v>347887</v>
      </c>
      <c r="F5" s="1775">
        <f>E5-C5</f>
        <v>347887</v>
      </c>
    </row>
    <row r="6" spans="1:6" ht="13.7" customHeight="1" x14ac:dyDescent="0.2">
      <c r="A6" s="716" t="s">
        <v>431</v>
      </c>
      <c r="B6" s="1772">
        <f>'Revenues 9-14'!E5</f>
        <v>0</v>
      </c>
      <c r="C6" s="585"/>
      <c r="D6" s="1775">
        <f t="shared" si="0"/>
        <v>0</v>
      </c>
      <c r="E6" s="585">
        <v>342781</v>
      </c>
      <c r="F6" s="1775">
        <f t="shared" ref="F6:F18" si="1">E6-C6</f>
        <v>342781</v>
      </c>
    </row>
    <row r="7" spans="1:6" ht="13.7" customHeight="1" x14ac:dyDescent="0.2">
      <c r="A7" s="716" t="s">
        <v>157</v>
      </c>
      <c r="B7" s="1772">
        <f>'Revenues 9-14'!F5</f>
        <v>280221</v>
      </c>
      <c r="C7" s="585"/>
      <c r="D7" s="1775">
        <f t="shared" si="0"/>
        <v>280221</v>
      </c>
      <c r="E7" s="585">
        <v>297342</v>
      </c>
      <c r="F7" s="1775">
        <f t="shared" si="1"/>
        <v>297342</v>
      </c>
    </row>
    <row r="8" spans="1:6" ht="13.7" customHeight="1" x14ac:dyDescent="0.2">
      <c r="A8" s="716" t="s">
        <v>1241</v>
      </c>
      <c r="B8" s="1772">
        <f>'Revenues 9-14'!G5</f>
        <v>60048</v>
      </c>
      <c r="C8" s="585"/>
      <c r="D8" s="1775">
        <f t="shared" si="0"/>
        <v>60048</v>
      </c>
      <c r="E8" s="585">
        <v>74343</v>
      </c>
      <c r="F8" s="1775">
        <f t="shared" si="1"/>
        <v>74343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4055</v>
      </c>
      <c r="C10" s="585"/>
      <c r="D10" s="1775">
        <f t="shared" si="0"/>
        <v>4055</v>
      </c>
      <c r="E10" s="585">
        <v>4068</v>
      </c>
      <c r="F10" s="1775">
        <f t="shared" si="1"/>
        <v>4068</v>
      </c>
    </row>
    <row r="11" spans="1:6" x14ac:dyDescent="0.2">
      <c r="A11" s="716" t="s">
        <v>429</v>
      </c>
      <c r="B11" s="1772">
        <f>'Revenues 9-14'!J5</f>
        <v>109868</v>
      </c>
      <c r="C11" s="585"/>
      <c r="D11" s="1775">
        <f t="shared" si="0"/>
        <v>109868</v>
      </c>
      <c r="E11" s="585">
        <v>109025</v>
      </c>
      <c r="F11" s="1775">
        <f t="shared" si="1"/>
        <v>109025</v>
      </c>
    </row>
    <row r="12" spans="1:6" ht="13.7" customHeight="1" x14ac:dyDescent="0.2">
      <c r="A12" s="716" t="s">
        <v>159</v>
      </c>
      <c r="B12" s="1772">
        <f>'Revenues 9-14'!K5</f>
        <v>2972</v>
      </c>
      <c r="C12" s="585"/>
      <c r="D12" s="1775">
        <f t="shared" si="0"/>
        <v>2972</v>
      </c>
      <c r="E12" s="585">
        <v>2980</v>
      </c>
      <c r="F12" s="1775">
        <f t="shared" si="1"/>
        <v>2980</v>
      </c>
    </row>
    <row r="13" spans="1:6" ht="13.7" customHeight="1" x14ac:dyDescent="0.2">
      <c r="A13" s="716" t="s">
        <v>993</v>
      </c>
      <c r="B13" s="1772">
        <f>SUM('Revenues 9-14'!C6:D6)</f>
        <v>46042</v>
      </c>
      <c r="C13" s="585"/>
      <c r="D13" s="1775">
        <f t="shared" si="0"/>
        <v>46042</v>
      </c>
      <c r="E13" s="585">
        <v>47576</v>
      </c>
      <c r="F13" s="1775">
        <f t="shared" si="1"/>
        <v>47576</v>
      </c>
    </row>
    <row r="14" spans="1:6" ht="13.7" customHeight="1" x14ac:dyDescent="0.2">
      <c r="A14" s="716" t="s">
        <v>430</v>
      </c>
      <c r="B14" s="1772">
        <f>SUM('Revenues 9-14'!C7:D7,'Revenues 9-14'!F7:H7)</f>
        <v>374382</v>
      </c>
      <c r="C14" s="585"/>
      <c r="D14" s="1775">
        <f t="shared" si="0"/>
        <v>374382</v>
      </c>
      <c r="E14" s="585">
        <v>371675</v>
      </c>
      <c r="F14" s="1775">
        <f t="shared" si="1"/>
        <v>371675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60048</v>
      </c>
      <c r="C16" s="585"/>
      <c r="D16" s="1775">
        <f t="shared" si="0"/>
        <v>60048</v>
      </c>
      <c r="E16" s="585">
        <v>74343</v>
      </c>
      <c r="F16" s="1775">
        <f t="shared" si="1"/>
        <v>74343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3185380</v>
      </c>
      <c r="C19" s="1773">
        <f>SUM(C4:C18)</f>
        <v>0</v>
      </c>
      <c r="D19" s="1773">
        <f>SUM(D4:D18)</f>
        <v>3185380</v>
      </c>
      <c r="E19" s="1773">
        <f>SUM(E4:E18)</f>
        <v>3597142</v>
      </c>
      <c r="F19" s="1773">
        <f>SUM(F4:F18)</f>
        <v>3597142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N31" sqref="N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2038</v>
      </c>
      <c r="D2" s="724" t="s">
        <v>2045</v>
      </c>
      <c r="E2" s="724" t="s">
        <v>2046</v>
      </c>
      <c r="F2" s="1909" t="s">
        <v>2039</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2096</v>
      </c>
      <c r="B31" s="734">
        <v>39083</v>
      </c>
      <c r="C31" s="735">
        <v>320000</v>
      </c>
      <c r="D31" s="736">
        <v>6</v>
      </c>
      <c r="E31" s="735">
        <v>165000</v>
      </c>
      <c r="F31" s="735"/>
      <c r="G31" s="735"/>
      <c r="H31" s="735">
        <v>25000</v>
      </c>
      <c r="I31" s="1778">
        <f>((E31+F31)-H31)+G31</f>
        <v>140000</v>
      </c>
      <c r="J31" s="735">
        <v>140000</v>
      </c>
      <c r="K31" s="737"/>
    </row>
    <row r="32" spans="1:11" ht="12" customHeight="1" x14ac:dyDescent="0.2">
      <c r="A32" s="733" t="s">
        <v>2097</v>
      </c>
      <c r="B32" s="734">
        <v>43161</v>
      </c>
      <c r="C32" s="735">
        <v>1500000</v>
      </c>
      <c r="D32" s="736">
        <v>6</v>
      </c>
      <c r="E32" s="735"/>
      <c r="F32" s="735">
        <v>1500000</v>
      </c>
      <c r="G32" s="735"/>
      <c r="H32" s="735"/>
      <c r="I32" s="1778">
        <f>((E32+F32)-H32)+G32</f>
        <v>1500000</v>
      </c>
      <c r="J32" s="735">
        <v>1497515</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1820000</v>
      </c>
      <c r="D49" s="746"/>
      <c r="E49" s="1778">
        <f t="shared" ref="E49:J49" si="2">SUM(E31:E48)</f>
        <v>165000</v>
      </c>
      <c r="F49" s="1778">
        <f t="shared" si="2"/>
        <v>1500000</v>
      </c>
      <c r="G49" s="1778">
        <f t="shared" si="2"/>
        <v>0</v>
      </c>
      <c r="H49" s="1778">
        <f t="shared" si="2"/>
        <v>25000</v>
      </c>
      <c r="I49" s="1778">
        <f t="shared" si="2"/>
        <v>1640000</v>
      </c>
      <c r="J49" s="1778">
        <f t="shared" si="2"/>
        <v>1637515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N19" sqref="N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374382</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6547</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374382</v>
      </c>
      <c r="I12" s="1780">
        <f>SUM(I5:I11)</f>
        <v>0</v>
      </c>
      <c r="J12" s="1780">
        <f>SUM(J5:J11)</f>
        <v>0</v>
      </c>
      <c r="K12" s="1780">
        <f>SUM(K5:K11)</f>
        <v>6547</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374382</v>
      </c>
      <c r="I14" s="772"/>
      <c r="J14" s="774"/>
      <c r="K14" s="766">
        <v>6547</v>
      </c>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374382</v>
      </c>
      <c r="I23" s="1780">
        <f>SUM(I14:I16,I21,I22)</f>
        <v>0</v>
      </c>
      <c r="J23" s="1780">
        <f>SUM(J14:J16,J21,J22)</f>
        <v>0</v>
      </c>
      <c r="K23" s="1780">
        <f>SUM(K14:K16,K21,K22)</f>
        <v>6547</v>
      </c>
    </row>
    <row r="24" spans="1:11" ht="14.25" thickTop="1" thickBot="1" x14ac:dyDescent="0.25">
      <c r="A24" s="2253" t="s">
        <v>2026</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15000</v>
      </c>
      <c r="D5" s="842"/>
      <c r="E5" s="842"/>
      <c r="F5" s="1782">
        <f>(C5+D5)-E5</f>
        <v>15000</v>
      </c>
      <c r="G5" s="838"/>
      <c r="H5" s="843"/>
      <c r="I5" s="843"/>
      <c r="J5" s="843"/>
      <c r="K5" s="794"/>
      <c r="L5" s="1791">
        <f>F5-K5</f>
        <v>15000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3161469</v>
      </c>
      <c r="D8" s="845">
        <v>480580</v>
      </c>
      <c r="E8" s="845"/>
      <c r="F8" s="1782">
        <f>(C8+D8)-E8</f>
        <v>3642049</v>
      </c>
      <c r="G8" s="844">
        <v>50</v>
      </c>
      <c r="H8" s="766">
        <v>2584166</v>
      </c>
      <c r="I8" s="766">
        <v>23073</v>
      </c>
      <c r="J8" s="766"/>
      <c r="K8" s="1791">
        <f>(H8+I8)-J8</f>
        <v>2607239</v>
      </c>
      <c r="L8" s="1791">
        <f>F8-K8</f>
        <v>1034810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1598516</v>
      </c>
      <c r="D10" s="847"/>
      <c r="E10" s="847"/>
      <c r="F10" s="1786">
        <f>(C10+D10)-E10</f>
        <v>1598516</v>
      </c>
      <c r="G10" s="844">
        <v>20</v>
      </c>
      <c r="H10" s="848">
        <v>783127</v>
      </c>
      <c r="I10" s="848">
        <v>56489</v>
      </c>
      <c r="J10" s="848"/>
      <c r="K10" s="1791">
        <f>(H10+I10)-J10</f>
        <v>839616</v>
      </c>
      <c r="L10" s="1791">
        <f>F10-K10</f>
        <v>758900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579730</v>
      </c>
      <c r="D12" s="845">
        <v>21504</v>
      </c>
      <c r="E12" s="845"/>
      <c r="F12" s="1782">
        <f>(C12+D12)-E12</f>
        <v>601234</v>
      </c>
      <c r="G12" s="844">
        <v>10</v>
      </c>
      <c r="H12" s="766">
        <v>292362</v>
      </c>
      <c r="I12" s="766">
        <v>61306</v>
      </c>
      <c r="J12" s="766"/>
      <c r="K12" s="1791">
        <f>(H12+I12)-J12</f>
        <v>353668</v>
      </c>
      <c r="L12" s="1791">
        <f>F12-K12</f>
        <v>247566</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5354715</v>
      </c>
      <c r="D16" s="1782">
        <f>SUM(D3,D5:D6,D8:D10,D12:D15)</f>
        <v>502084</v>
      </c>
      <c r="E16" s="1782">
        <f>SUM(E3,E5:E6,E8:E10,E12:E15)</f>
        <v>0</v>
      </c>
      <c r="F16" s="1782">
        <f>SUM(F3,F5:F6,F8:F10,F12:F15)</f>
        <v>5856799</v>
      </c>
      <c r="G16" s="844"/>
      <c r="H16" s="1782">
        <f>SUM(H3,H6,H8:H10,H12:H14,)</f>
        <v>3659655</v>
      </c>
      <c r="I16" s="1782">
        <f>SUM(I3,I6,I8:I10,I12:I14,)</f>
        <v>140868</v>
      </c>
      <c r="J16" s="1782">
        <f>SUM(J3,J6,J8:J10,J12:J14,)</f>
        <v>0</v>
      </c>
      <c r="K16" s="1782">
        <f>(H16+I16)-J16</f>
        <v>3800523</v>
      </c>
      <c r="L16" s="1782">
        <f>F16-K16</f>
        <v>2056276</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140868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4849872</v>
      </c>
      <c r="G8" s="866"/>
    </row>
    <row r="9" spans="1:7" x14ac:dyDescent="0.2">
      <c r="A9" s="870" t="s">
        <v>480</v>
      </c>
      <c r="B9" s="871" t="s">
        <v>1989</v>
      </c>
      <c r="C9" s="872"/>
      <c r="D9" s="870" t="s">
        <v>522</v>
      </c>
      <c r="E9" s="869"/>
      <c r="F9" s="1935">
        <f>'Expenditures 15-22'!K151</f>
        <v>396029</v>
      </c>
      <c r="G9" s="873"/>
    </row>
    <row r="10" spans="1:7" x14ac:dyDescent="0.2">
      <c r="A10" s="870" t="s">
        <v>520</v>
      </c>
      <c r="B10" s="871" t="s">
        <v>1990</v>
      </c>
      <c r="C10" s="872"/>
      <c r="D10" s="870" t="s">
        <v>522</v>
      </c>
      <c r="E10" s="869"/>
      <c r="F10" s="1935">
        <f>'Expenditures 15-22'!K174</f>
        <v>31828</v>
      </c>
      <c r="G10" s="873"/>
    </row>
    <row r="11" spans="1:7" x14ac:dyDescent="0.2">
      <c r="A11" s="870" t="s">
        <v>481</v>
      </c>
      <c r="B11" s="871" t="s">
        <v>1991</v>
      </c>
      <c r="C11" s="872"/>
      <c r="D11" s="870" t="s">
        <v>522</v>
      </c>
      <c r="E11" s="869"/>
      <c r="F11" s="1935">
        <f>'Expenditures 15-22'!K210</f>
        <v>603304</v>
      </c>
      <c r="G11" s="873"/>
    </row>
    <row r="12" spans="1:7" x14ac:dyDescent="0.2">
      <c r="A12" s="870" t="s">
        <v>482</v>
      </c>
      <c r="B12" s="871" t="s">
        <v>1992</v>
      </c>
      <c r="C12" s="872"/>
      <c r="D12" s="870" t="s">
        <v>522</v>
      </c>
      <c r="E12" s="869"/>
      <c r="F12" s="1935">
        <f>'Expenditures 15-22'!K295</f>
        <v>162968</v>
      </c>
      <c r="G12" s="873"/>
    </row>
    <row r="13" spans="1:7" x14ac:dyDescent="0.2">
      <c r="A13" s="870" t="s">
        <v>108</v>
      </c>
      <c r="B13" s="871" t="s">
        <v>1993</v>
      </c>
      <c r="C13" s="872"/>
      <c r="D13" s="870" t="s">
        <v>522</v>
      </c>
      <c r="E13" s="869"/>
      <c r="F13" s="1935">
        <f>'Expenditures 15-22'!K342</f>
        <v>84731</v>
      </c>
      <c r="G13" s="874"/>
    </row>
    <row r="14" spans="1:7" ht="12" customHeight="1" thickBot="1" x14ac:dyDescent="0.25">
      <c r="A14" s="1792"/>
      <c r="B14" s="1793"/>
      <c r="C14" s="1794"/>
      <c r="D14" s="1795" t="s">
        <v>522</v>
      </c>
      <c r="E14" s="1796" t="s">
        <v>1015</v>
      </c>
      <c r="F14" s="1797">
        <f>SUM(F8:F13)</f>
        <v>6128732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125138</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113174</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620298</v>
      </c>
      <c r="G53" s="866"/>
    </row>
    <row r="54" spans="1:7" x14ac:dyDescent="0.2">
      <c r="A54" s="870" t="s">
        <v>479</v>
      </c>
      <c r="B54" s="870" t="s">
        <v>1552</v>
      </c>
      <c r="C54" s="890" t="s">
        <v>1039</v>
      </c>
      <c r="D54" s="886" t="s">
        <v>1157</v>
      </c>
      <c r="E54" s="869"/>
      <c r="F54" s="1939">
        <f>'Expenditures 15-22'!G114</f>
        <v>16532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4973</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25000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5136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910251</v>
      </c>
      <c r="G76" s="866"/>
    </row>
    <row r="77" spans="1:8" s="894" customFormat="1" ht="12" customHeight="1" thickTop="1" thickBot="1" x14ac:dyDescent="0.25">
      <c r="A77" s="1801"/>
      <c r="B77" s="1798"/>
      <c r="C77" s="1794"/>
      <c r="D77" s="1799" t="s">
        <v>2012</v>
      </c>
      <c r="E77" s="1796"/>
      <c r="F77" s="1802">
        <f>(F14-F76)</f>
        <v>5218481</v>
      </c>
      <c r="G77" s="870"/>
    </row>
    <row r="78" spans="1:8" s="894" customFormat="1" ht="12" customHeight="1" thickTop="1" x14ac:dyDescent="0.2">
      <c r="A78" s="1803"/>
      <c r="B78" s="1798"/>
      <c r="C78" s="1794"/>
      <c r="D78" s="1799" t="s">
        <v>2059</v>
      </c>
      <c r="E78" s="1796"/>
      <c r="F78" s="899">
        <v>440.22</v>
      </c>
      <c r="G78" s="900"/>
      <c r="H78" s="870"/>
    </row>
    <row r="79" spans="1:8" s="894" customFormat="1" ht="12" customHeight="1" thickBot="1" x14ac:dyDescent="0.25">
      <c r="A79" s="1804"/>
      <c r="B79" s="1798"/>
      <c r="C79" s="1794"/>
      <c r="D79" s="1799" t="s">
        <v>2013</v>
      </c>
      <c r="E79" s="1796" t="s">
        <v>1015</v>
      </c>
      <c r="F79" s="1805">
        <f>IF(F78&gt;0,F77/F78," Complete Line 78")</f>
        <v>11854.256962427877</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13077</v>
      </c>
      <c r="G94" s="913"/>
    </row>
    <row r="95" spans="1:7" x14ac:dyDescent="0.2">
      <c r="A95" s="909" t="s">
        <v>142</v>
      </c>
      <c r="B95" s="909" t="s">
        <v>177</v>
      </c>
      <c r="C95" s="911">
        <v>1700</v>
      </c>
      <c r="D95" s="919" t="str">
        <f>'Revenues 9-14'!A82</f>
        <v>Total District/School Activity Income</v>
      </c>
      <c r="E95" s="907"/>
      <c r="F95" s="1811">
        <f>SUM('Revenues 9-14'!C82,'Revenues 9-14'!D82)</f>
        <v>97809</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6600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141357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11026</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3235</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6547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470640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28485</v>
      </c>
      <c r="G128" s="931"/>
    </row>
    <row r="129" spans="1:7" x14ac:dyDescent="0.2">
      <c r="A129" s="928" t="s">
        <v>685</v>
      </c>
      <c r="B129" s="928" t="s">
        <v>803</v>
      </c>
      <c r="C129" s="933">
        <v>4200</v>
      </c>
      <c r="D129" s="930" t="str">
        <f>'Revenues 9-14'!A201</f>
        <v>Total Food Service</v>
      </c>
      <c r="E129" s="907"/>
      <c r="F129" s="1811">
        <f>SUM('Revenues 9-14'!C201,'Revenues 9-14'!G201)</f>
        <v>212525</v>
      </c>
      <c r="G129" s="931"/>
    </row>
    <row r="130" spans="1:7" x14ac:dyDescent="0.2">
      <c r="A130" s="928" t="s">
        <v>689</v>
      </c>
      <c r="B130" s="928" t="s">
        <v>804</v>
      </c>
      <c r="C130" s="933">
        <v>4300</v>
      </c>
      <c r="D130" s="934" t="str">
        <f>'Revenues 9-14'!A211</f>
        <v>Total Title I</v>
      </c>
      <c r="E130" s="907"/>
      <c r="F130" s="1811">
        <f>SUM('Revenues 9-14'!C211,'Revenues 9-14'!D211,'Revenues 9-14'!F211,'Revenues 9-14'!G211)</f>
        <v>81142</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19463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11057</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55037</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1159500</v>
      </c>
    </row>
    <row r="179" spans="1:7" ht="12" customHeight="1" x14ac:dyDescent="0.2">
      <c r="A179" s="1792"/>
      <c r="B179" s="1806"/>
      <c r="C179" s="1807"/>
      <c r="D179" s="1808" t="s">
        <v>2015</v>
      </c>
      <c r="E179" s="1809"/>
      <c r="F179" s="1811">
        <f>'PCTC-OEPP 27-28'!F77-F178</f>
        <v>4058981</v>
      </c>
    </row>
    <row r="180" spans="1:7" ht="12" customHeight="1" x14ac:dyDescent="0.2">
      <c r="A180" s="1792"/>
      <c r="B180" s="1806"/>
      <c r="C180" s="1807"/>
      <c r="D180" s="1808" t="s">
        <v>1924</v>
      </c>
      <c r="E180" s="1809"/>
      <c r="F180" s="1811">
        <f>'Cap Outlay Deprec 26'!I18</f>
        <v>140868</v>
      </c>
    </row>
    <row r="181" spans="1:7" ht="12" customHeight="1" x14ac:dyDescent="0.2">
      <c r="A181" s="1792"/>
      <c r="B181" s="1806"/>
      <c r="C181" s="1807"/>
      <c r="D181" s="1808" t="s">
        <v>2016</v>
      </c>
      <c r="E181" s="1809"/>
      <c r="F181" s="1811">
        <f>F179+F180</f>
        <v>4199849</v>
      </c>
    </row>
    <row r="182" spans="1:7" ht="12" customHeight="1" x14ac:dyDescent="0.2">
      <c r="A182" s="1792"/>
      <c r="B182" s="1812"/>
      <c r="C182" s="1807"/>
      <c r="D182" s="1808" t="str">
        <f>D78</f>
        <v>9 Month ADA from District Average Daily Attendance/Prior General State Aid Inquiry 2017-2018</v>
      </c>
      <c r="E182" s="1809"/>
      <c r="F182" s="1813">
        <f>'PCTC-OEPP 27-28'!F78</f>
        <v>440.22</v>
      </c>
      <c r="G182" s="931"/>
    </row>
    <row r="183" spans="1:7" ht="12" customHeight="1" thickBot="1" x14ac:dyDescent="0.25">
      <c r="A183" s="1792"/>
      <c r="B183" s="1812"/>
      <c r="C183" s="1807"/>
      <c r="D183" s="1808" t="s">
        <v>2017</v>
      </c>
      <c r="E183" s="1809" t="s">
        <v>1626</v>
      </c>
      <c r="F183" s="1814">
        <f>F181/F182</f>
        <v>9540.3411930398433</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24" sqref="A24"/>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54" t="s">
        <v>2101</v>
      </c>
      <c r="B17" s="1955" t="s">
        <v>2099</v>
      </c>
      <c r="C17" s="1956" t="s">
        <v>2100</v>
      </c>
      <c r="D17" s="1867">
        <v>9629</v>
      </c>
      <c r="E17" s="1562">
        <f t="shared" ref="E17:E141" si="1">IF(D17&lt;=25000,D17,IF(D17&gt;25000,25000,0))</f>
        <v>9629</v>
      </c>
      <c r="F17" s="1815">
        <f t="shared" si="0"/>
        <v>9629</v>
      </c>
      <c r="G17" s="1816">
        <f>IF(F17=0,0,D17-F17)</f>
        <v>0</v>
      </c>
      <c r="H17" s="1669"/>
    </row>
    <row r="18" spans="1:8" ht="30" x14ac:dyDescent="0.25">
      <c r="A18" s="1954" t="s">
        <v>2101</v>
      </c>
      <c r="B18" s="1955" t="s">
        <v>2099</v>
      </c>
      <c r="C18" s="1956" t="s">
        <v>2102</v>
      </c>
      <c r="D18" s="1867">
        <v>14710</v>
      </c>
      <c r="E18" s="1562">
        <f t="shared" ref="E18:E140" si="2">IF(D18&lt;=25000,D18,IF(D18&gt;25000,25000,0))</f>
        <v>14710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14710</v>
      </c>
      <c r="G18" s="1816">
        <f t="shared" ref="G18:G140" si="4">IF(F18=0,0,D18-F18)</f>
        <v>0</v>
      </c>
    </row>
    <row r="19" spans="1:8" ht="30" x14ac:dyDescent="0.25">
      <c r="A19" s="1954" t="s">
        <v>2101</v>
      </c>
      <c r="B19" s="1955" t="s">
        <v>2099</v>
      </c>
      <c r="C19" s="1956" t="s">
        <v>2103</v>
      </c>
      <c r="D19" s="1867">
        <v>1652</v>
      </c>
      <c r="E19" s="1562">
        <f t="shared" si="2"/>
        <v>1652</v>
      </c>
      <c r="F19" s="1815">
        <f t="shared" si="3"/>
        <v>1652</v>
      </c>
      <c r="G19" s="1816">
        <f t="shared" si="4"/>
        <v>0</v>
      </c>
    </row>
    <row r="20" spans="1:8" ht="30" x14ac:dyDescent="0.25">
      <c r="A20" s="1954" t="s">
        <v>2101</v>
      </c>
      <c r="B20" s="1955" t="s">
        <v>2099</v>
      </c>
      <c r="C20" s="1956" t="s">
        <v>2104</v>
      </c>
      <c r="D20" s="1867">
        <v>2164</v>
      </c>
      <c r="E20" s="1562">
        <f t="shared" si="2"/>
        <v>2164</v>
      </c>
      <c r="F20" s="1815">
        <f t="shared" si="3"/>
        <v>2164</v>
      </c>
      <c r="G20" s="1816">
        <f t="shared" si="4"/>
        <v>0</v>
      </c>
    </row>
    <row r="21" spans="1:8" ht="30" x14ac:dyDescent="0.25">
      <c r="A21" s="1954" t="s">
        <v>2101</v>
      </c>
      <c r="B21" s="1955" t="s">
        <v>2099</v>
      </c>
      <c r="C21" s="1956" t="s">
        <v>2105</v>
      </c>
      <c r="D21" s="1867">
        <v>18840</v>
      </c>
      <c r="E21" s="1562">
        <f t="shared" si="2"/>
        <v>18840</v>
      </c>
      <c r="F21" s="1815">
        <f t="shared" si="3"/>
        <v>18840</v>
      </c>
      <c r="G21" s="1816">
        <f t="shared" si="4"/>
        <v>0</v>
      </c>
    </row>
    <row r="22" spans="1:8" ht="30" x14ac:dyDescent="0.25">
      <c r="A22" s="1954" t="s">
        <v>2101</v>
      </c>
      <c r="B22" s="1955" t="s">
        <v>2099</v>
      </c>
      <c r="C22" s="1956" t="s">
        <v>2106</v>
      </c>
      <c r="D22" s="1867">
        <v>2277</v>
      </c>
      <c r="E22" s="1562">
        <f t="shared" si="2"/>
        <v>2277</v>
      </c>
      <c r="F22" s="1815">
        <f t="shared" si="3"/>
        <v>2277</v>
      </c>
      <c r="G22" s="1816">
        <f t="shared" si="4"/>
        <v>0</v>
      </c>
    </row>
    <row r="23" spans="1:8" ht="30" x14ac:dyDescent="0.25">
      <c r="A23" s="1954" t="s">
        <v>2101</v>
      </c>
      <c r="B23" s="1955" t="s">
        <v>2099</v>
      </c>
      <c r="C23" s="1956" t="s">
        <v>2107</v>
      </c>
      <c r="D23" s="1867">
        <v>5700</v>
      </c>
      <c r="E23" s="1562">
        <f t="shared" si="2"/>
        <v>5700</v>
      </c>
      <c r="F23" s="1815">
        <f t="shared" si="3"/>
        <v>5700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hidden="1" x14ac:dyDescent="0.25">
      <c r="A30" s="1675"/>
      <c r="B30" s="1869"/>
      <c r="C30" s="1676"/>
      <c r="D30" s="1867"/>
      <c r="E30" s="1562">
        <f t="shared" si="2"/>
        <v>0</v>
      </c>
      <c r="F30" s="1815">
        <f t="shared" si="3"/>
        <v>0</v>
      </c>
      <c r="G30" s="1816">
        <f t="shared" si="4"/>
        <v>0</v>
      </c>
    </row>
    <row r="31" spans="1:8" hidden="1" x14ac:dyDescent="0.25">
      <c r="A31" s="1675"/>
      <c r="B31" s="1869"/>
      <c r="C31" s="1676"/>
      <c r="D31" s="1867"/>
      <c r="E31" s="1562">
        <f t="shared" si="2"/>
        <v>0</v>
      </c>
      <c r="F31" s="1815">
        <f t="shared" si="3"/>
        <v>0</v>
      </c>
      <c r="G31" s="1816">
        <f t="shared" si="4"/>
        <v>0</v>
      </c>
    </row>
    <row r="32" spans="1:8" hidden="1" x14ac:dyDescent="0.25">
      <c r="A32" s="1675"/>
      <c r="B32" s="1869"/>
      <c r="C32" s="1676"/>
      <c r="D32" s="1867"/>
      <c r="E32" s="1562">
        <f t="shared" si="2"/>
        <v>0</v>
      </c>
      <c r="F32" s="1815">
        <f t="shared" si="3"/>
        <v>0</v>
      </c>
      <c r="G32" s="1816">
        <f t="shared" si="4"/>
        <v>0</v>
      </c>
    </row>
    <row r="33" spans="1:7" hidden="1" x14ac:dyDescent="0.25">
      <c r="A33" s="1675"/>
      <c r="B33" s="1869"/>
      <c r="C33" s="1676"/>
      <c r="D33" s="1867"/>
      <c r="E33" s="1562">
        <f t="shared" si="2"/>
        <v>0</v>
      </c>
      <c r="F33" s="1815">
        <f t="shared" si="3"/>
        <v>0</v>
      </c>
      <c r="G33" s="1816">
        <f t="shared" si="4"/>
        <v>0</v>
      </c>
    </row>
    <row r="34" spans="1:7" hidden="1" x14ac:dyDescent="0.25">
      <c r="A34" s="1675"/>
      <c r="B34" s="1869"/>
      <c r="C34" s="1676"/>
      <c r="D34" s="1867"/>
      <c r="E34" s="1562">
        <f t="shared" si="2"/>
        <v>0</v>
      </c>
      <c r="F34" s="1815">
        <f t="shared" si="3"/>
        <v>0</v>
      </c>
      <c r="G34" s="1816">
        <f t="shared" si="4"/>
        <v>0</v>
      </c>
    </row>
    <row r="35" spans="1:7" hidden="1" x14ac:dyDescent="0.25">
      <c r="A35" s="1675"/>
      <c r="B35" s="1869"/>
      <c r="C35" s="1676"/>
      <c r="D35" s="1867"/>
      <c r="E35" s="1562">
        <f t="shared" si="2"/>
        <v>0</v>
      </c>
      <c r="F35" s="1815">
        <f t="shared" si="3"/>
        <v>0</v>
      </c>
      <c r="G35" s="1816">
        <f t="shared" si="4"/>
        <v>0</v>
      </c>
    </row>
    <row r="36" spans="1:7" hidden="1" x14ac:dyDescent="0.25">
      <c r="A36" s="1675"/>
      <c r="B36" s="1869"/>
      <c r="C36" s="1676"/>
      <c r="D36" s="1867"/>
      <c r="E36" s="1562">
        <f t="shared" si="2"/>
        <v>0</v>
      </c>
      <c r="F36" s="1815">
        <f t="shared" si="3"/>
        <v>0</v>
      </c>
      <c r="G36" s="1816">
        <f t="shared" si="4"/>
        <v>0</v>
      </c>
    </row>
    <row r="37" spans="1:7" hidden="1" x14ac:dyDescent="0.25">
      <c r="A37" s="1675"/>
      <c r="B37" s="1869"/>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hidden="1"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54972</v>
      </c>
      <c r="E141" s="1563">
        <f t="shared" si="1"/>
        <v>25000</v>
      </c>
      <c r="F141" s="1817">
        <f>SUM(F17:F140)</f>
        <v>54972</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v>24810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3391515</v>
      </c>
      <c r="F19" s="1822"/>
      <c r="G19" s="1824">
        <f>'Expenditures 15-22'!K33-SUM('Expenditures 15-22'!G33,'Expenditures 15-22'!I33)+'Expenditures 15-22'!D229</f>
        <v>3391515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186567</v>
      </c>
      <c r="F21" s="1825"/>
      <c r="G21" s="1828">
        <f>'Expenditures 15-22'!K42-SUM('Expenditures 15-22'!G42,'Expenditures 15-22'!I42)+'Expenditures 15-22'!K120-SUM('Expenditures 15-22'!G120,'Expenditures 15-22'!I120)+'Expenditures 15-22'!K180-SUM('Expenditures 15-22'!G180,'Expenditures 15-22'!I180)+'Expenditures 15-22'!D238</f>
        <v>186567</v>
      </c>
      <c r="H21" s="988"/>
      <c r="I21" s="162"/>
    </row>
    <row r="22" spans="1:9" s="669" customFormat="1" ht="12" customHeight="1" x14ac:dyDescent="0.2">
      <c r="A22" s="995" t="s">
        <v>585</v>
      </c>
      <c r="B22" s="996"/>
      <c r="C22" s="994">
        <v>2200</v>
      </c>
      <c r="D22" s="1825"/>
      <c r="E22" s="1827">
        <f>'Expenditures 15-22'!K47-SUM('Expenditures 15-22'!G47,'Expenditures 15-22'!I47)+'Expenditures 15-22'!D243</f>
        <v>22303</v>
      </c>
      <c r="F22" s="1825"/>
      <c r="G22" s="1828">
        <f>'Expenditures 15-22'!K47-SUM('Expenditures 15-22'!G47,'Expenditures 15-22'!I47)+'Expenditures 15-22'!D243</f>
        <v>22303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291541</v>
      </c>
      <c r="F23" s="1825"/>
      <c r="G23" s="1827">
        <f>'Expenditures 15-22'!K53-SUM('Expenditures 15-22'!G53,'Expenditures 15-22'!I53)+'Expenditures 15-22'!D257+'Expenditures 15-22'!K330-SUM('Expenditures 15-22'!G330,'Expenditures 15-22'!I330)</f>
        <v>291541</v>
      </c>
      <c r="H23" s="988"/>
      <c r="I23" s="162"/>
    </row>
    <row r="24" spans="1:9" s="669" customFormat="1" ht="12" customHeight="1" x14ac:dyDescent="0.2">
      <c r="A24" s="995" t="s">
        <v>587</v>
      </c>
      <c r="B24" s="996"/>
      <c r="C24" s="994">
        <v>2400</v>
      </c>
      <c r="D24" s="1825"/>
      <c r="E24" s="1827">
        <f>'Expenditures 15-22'!K57-SUM('Expenditures 15-22'!G57,'Expenditures 15-22'!I57)+'Expenditures 15-22'!D261</f>
        <v>245361</v>
      </c>
      <c r="F24" s="1825"/>
      <c r="G24" s="1828">
        <f>'Expenditures 15-22'!K57-SUM('Expenditures 15-22'!G57,'Expenditures 15-22'!I57)+'Expenditures 15-22'!D261</f>
        <v>245361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85877</v>
      </c>
      <c r="E27" s="1827">
        <f>E8</f>
        <v>0</v>
      </c>
      <c r="F27" s="1827">
        <f>'Expenditures 15-22'!K60-SUM('Expenditures 15-22'!G60,'Expenditures 15-22'!I60)+'Expenditures 15-22'!D264-E8</f>
        <v>85877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416367</v>
      </c>
      <c r="F28" s="1829">
        <f>'Expenditures 15-22'!K61-SUM('Expenditures 15-22'!G61,'Expenditures 15-22'!I61)+'Expenditures 15-22'!K124-SUM('Expenditures 15-22'!G124,'Expenditures 15-22'!I124)+'Expenditures 15-22'!D266-E9</f>
        <v>416367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608814</v>
      </c>
      <c r="F29" s="1825"/>
      <c r="G29" s="1828">
        <f>'Expenditures 15-22'!K62-SUM('Expenditures 15-22'!G62,'Expenditures 15-22'!I62)+'Expenditures 15-22'!K125-SUM('Expenditures 15-22'!G125,'Expenditures 15-22'!I125)+'Expenditures 15-22'!K182-SUM('Expenditures 15-22'!G182,'Expenditures 15-22'!I182)+'Expenditures 15-22'!D267</f>
        <v>608814</v>
      </c>
      <c r="H29" s="986"/>
    </row>
    <row r="30" spans="1:9" ht="12" customHeight="1" x14ac:dyDescent="0.2">
      <c r="A30" s="995" t="s">
        <v>102</v>
      </c>
      <c r="B30" s="998"/>
      <c r="C30" s="994">
        <v>2560</v>
      </c>
      <c r="D30" s="1825"/>
      <c r="E30" s="1827">
        <f>'Expenditures 15-22'!K63-SUM('Expenditures 15-22'!G63,'Expenditures 15-22'!I63)+'Expenditures 15-22'!D268-E10</f>
        <v>206756</v>
      </c>
      <c r="F30" s="1825"/>
      <c r="G30" s="1827">
        <f>'Expenditures 15-22'!K63-SUM('Expenditures 15-22'!G63,'Expenditures 15-22'!I63)+'Expenditures 15-22'!D268-E10</f>
        <v>206756</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85877</v>
      </c>
      <c r="E41" s="1829">
        <f>SUM(E19:E40)</f>
        <v>5369224</v>
      </c>
      <c r="F41" s="1829">
        <f>SUM(F19:F39)</f>
        <v>502244</v>
      </c>
      <c r="G41" s="1829">
        <f>SUM(G19:G40)</f>
        <v>4952857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85877</v>
      </c>
      <c r="F43" s="1830" t="s">
        <v>495</v>
      </c>
      <c r="G43" s="1831">
        <f>F41</f>
        <v>502244</v>
      </c>
    </row>
    <row r="44" spans="1:7" ht="12" customHeight="1" x14ac:dyDescent="0.2">
      <c r="A44" s="988"/>
      <c r="B44" s="162"/>
      <c r="C44" s="1002"/>
      <c r="D44" s="1830" t="s">
        <v>494</v>
      </c>
      <c r="E44" s="1831">
        <f>E41</f>
        <v>5369224</v>
      </c>
      <c r="F44" s="1830" t="s">
        <v>494</v>
      </c>
      <c r="G44" s="1831">
        <f>G41</f>
        <v>4952857</v>
      </c>
    </row>
    <row r="45" spans="1:7" ht="12" customHeight="1" x14ac:dyDescent="0.2">
      <c r="A45" s="988"/>
      <c r="B45" s="162"/>
      <c r="C45" s="162"/>
      <c r="D45" s="1832" t="s">
        <v>1063</v>
      </c>
      <c r="E45" s="1833">
        <f>(E43/E44)</f>
        <v>1.5994303832360134E-2</v>
      </c>
      <c r="F45" s="1832" t="s">
        <v>1063</v>
      </c>
      <c r="G45" s="1833">
        <f>(G43/G44)</f>
        <v>0.1014049062995358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E27" sqref="E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Woodland CUSD 5</v>
      </c>
      <c r="D6" s="2315"/>
      <c r="E6" s="2315"/>
      <c r="F6" s="1877"/>
    </row>
    <row r="7" spans="1:10" ht="11.25" customHeight="1" thickBot="1" x14ac:dyDescent="0.3">
      <c r="A7" s="1875"/>
      <c r="B7" s="1876"/>
      <c r="C7" s="2316">
        <f>COVER!A13</f>
        <v>17053005026</v>
      </c>
      <c r="D7" s="2316"/>
      <c r="E7" s="2316"/>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2083</v>
      </c>
      <c r="D26" s="1890" t="s">
        <v>2083</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Woodland CUSD 5</v>
      </c>
      <c r="J6" s="2336"/>
      <c r="Q6" s="1686"/>
    </row>
    <row r="7" spans="1:17" x14ac:dyDescent="0.2">
      <c r="A7" s="2337" t="s">
        <v>924</v>
      </c>
      <c r="B7" s="2338"/>
      <c r="C7" s="2338"/>
      <c r="D7" s="2338"/>
      <c r="E7" s="2339"/>
      <c r="F7" s="1018"/>
      <c r="G7" s="1010"/>
      <c r="H7" s="1017" t="s">
        <v>390</v>
      </c>
      <c r="I7" s="2340">
        <f>COVER!A13</f>
        <v>17053005026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160615</v>
      </c>
      <c r="F12" s="1040"/>
      <c r="G12" s="1834">
        <f t="shared" ref="G12:G18" si="0">SUM(E12:F12)</f>
        <v>160615</v>
      </c>
      <c r="H12" s="1041">
        <v>167830</v>
      </c>
      <c r="I12" s="1040"/>
      <c r="J12" s="1834">
        <f t="shared" ref="J12:J18" si="1">SUM(H12:I12)</f>
        <v>167830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160615</v>
      </c>
      <c r="F19" s="1836">
        <f t="shared" si="2"/>
        <v>0</v>
      </c>
      <c r="G19" s="1836">
        <f t="shared" si="2"/>
        <v>160615</v>
      </c>
      <c r="H19" s="1836">
        <f t="shared" si="2"/>
        <v>167830</v>
      </c>
      <c r="I19" s="1836">
        <f t="shared" si="2"/>
        <v>0</v>
      </c>
      <c r="J19" s="1836">
        <f t="shared" si="2"/>
        <v>167830</v>
      </c>
    </row>
    <row r="20" spans="1:10" ht="13.5" thickTop="1" x14ac:dyDescent="0.2">
      <c r="A20" s="1036">
        <v>9</v>
      </c>
      <c r="B20" s="2347" t="s">
        <v>1703</v>
      </c>
      <c r="C20" s="2347"/>
      <c r="D20" s="2348"/>
      <c r="E20" s="1047"/>
      <c r="F20" s="1047"/>
      <c r="G20" s="1047"/>
      <c r="H20" s="1047"/>
      <c r="I20" s="1047"/>
      <c r="J20" s="1837">
        <f>IF(AND(G19&gt;0,J19&gt;0),(((J19-G19)/G19)),"Enter Budget Data")</f>
        <v>4.4921084581141239E-2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7" sqref="A17:A2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2108</v>
      </c>
    </row>
    <row r="6" spans="1:2" x14ac:dyDescent="0.2">
      <c r="A6" s="1069">
        <v>2</v>
      </c>
      <c r="B6" s="329" t="s">
        <v>2109</v>
      </c>
    </row>
    <row r="7" spans="1:2" x14ac:dyDescent="0.2">
      <c r="A7" s="1069">
        <v>3</v>
      </c>
      <c r="B7" s="329" t="s">
        <v>2110</v>
      </c>
    </row>
    <row r="8" spans="1:2" x14ac:dyDescent="0.2">
      <c r="A8" s="1069">
        <v>4</v>
      </c>
      <c r="B8" s="329" t="s">
        <v>2111</v>
      </c>
    </row>
    <row r="9" spans="1:2" x14ac:dyDescent="0.2">
      <c r="A9" s="1069">
        <v>5</v>
      </c>
      <c r="B9" s="329" t="s">
        <v>2112</v>
      </c>
    </row>
    <row r="10" spans="1:2" x14ac:dyDescent="0.2">
      <c r="A10" s="1069">
        <v>6</v>
      </c>
      <c r="B10" s="329" t="s">
        <v>2113</v>
      </c>
    </row>
    <row r="11" spans="1:2" x14ac:dyDescent="0.2">
      <c r="A11" s="1069">
        <v>7</v>
      </c>
      <c r="B11" s="329" t="s">
        <v>2114</v>
      </c>
    </row>
    <row r="12" spans="1:2" x14ac:dyDescent="0.2">
      <c r="A12" s="1069">
        <v>8</v>
      </c>
      <c r="B12" s="329" t="s">
        <v>2115</v>
      </c>
    </row>
    <row r="13" spans="1:2" x14ac:dyDescent="0.2">
      <c r="A13" s="1069">
        <v>9</v>
      </c>
      <c r="B13" s="329" t="s">
        <v>2116</v>
      </c>
    </row>
    <row r="14" spans="1:2" x14ac:dyDescent="0.2">
      <c r="A14" s="1069">
        <v>10</v>
      </c>
      <c r="B14" s="329" t="s">
        <v>2117</v>
      </c>
    </row>
    <row r="15" spans="1:2" x14ac:dyDescent="0.2">
      <c r="A15" s="1069">
        <v>11</v>
      </c>
      <c r="B15" s="329" t="s">
        <v>2118</v>
      </c>
    </row>
    <row r="16" spans="1:2" x14ac:dyDescent="0.2">
      <c r="A16" s="1069">
        <v>12</v>
      </c>
      <c r="B16" s="329" t="s">
        <v>2119</v>
      </c>
    </row>
    <row r="17" spans="1:1" x14ac:dyDescent="0.2">
      <c r="A17" s="1069"/>
    </row>
    <row r="18" spans="1:1" x14ac:dyDescent="0.2">
      <c r="A18" s="1069"/>
    </row>
    <row r="19" spans="1:1" x14ac:dyDescent="0.2">
      <c r="A19" s="1069"/>
    </row>
    <row r="20" spans="1:1" x14ac:dyDescent="0.2">
      <c r="A20" s="1069"/>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Woodland CUSD 5</v>
      </c>
    </row>
    <row r="65" spans="2:2" x14ac:dyDescent="0.2">
      <c r="B65" s="1071">
        <f>COVER!A13</f>
        <v>17053005026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0</xdr:col>
                <xdr:colOff>0</xdr:colOff>
                <xdr:row>5</xdr:row>
                <xdr:rowOff>104775</xdr:rowOff>
              </from>
              <to>
                <xdr:col>1</xdr:col>
                <xdr:colOff>790575</xdr:colOff>
                <xdr:row>9</xdr:row>
                <xdr:rowOff>142875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6" r:id="rId8">
          <objectPr defaultSize="0" r:id="rId9">
            <anchor moveWithCells="1">
              <from>
                <xdr:col>1</xdr:col>
                <xdr:colOff>1333500</xdr:colOff>
                <xdr:row>1</xdr:row>
                <xdr:rowOff>9525</xdr:rowOff>
              </from>
              <to>
                <xdr:col>1</xdr:col>
                <xdr:colOff>2247900</xdr:colOff>
                <xdr:row>5</xdr:row>
                <xdr:rowOff>47625</xdr:rowOff>
              </to>
            </anchor>
          </objectPr>
        </oleObject>
      </mc:Choice>
      <mc:Fallback>
        <oleObject progId="Acrobat Document" dvAspect="DVASPECT_ICON" shapeId="35846"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5017174</v>
      </c>
      <c r="C8" s="1838">
        <f>'Acct Summary 7-8'!D8</f>
        <v>403310</v>
      </c>
      <c r="D8" s="1838">
        <f>'Acct Summary 7-8'!F8</f>
        <v>774741</v>
      </c>
      <c r="E8" s="1838">
        <f>'Acct Summary 7-8'!I8</f>
        <v>5923</v>
      </c>
      <c r="F8" s="1838">
        <f>SUM(B8:E8)</f>
        <v>6201148</v>
      </c>
    </row>
    <row r="9" spans="1:8" s="1080" customFormat="1" ht="14.25" customHeight="1" thickBot="1" x14ac:dyDescent="0.25">
      <c r="A9" s="1079" t="s">
        <v>1436</v>
      </c>
      <c r="B9" s="1839">
        <f>'Acct Summary 7-8'!C17</f>
        <v>4849872</v>
      </c>
      <c r="C9" s="1839">
        <f>'Acct Summary 7-8'!D17</f>
        <v>396029</v>
      </c>
      <c r="D9" s="1839">
        <f>'Acct Summary 7-8'!F17</f>
        <v>603304</v>
      </c>
      <c r="E9" s="1838"/>
      <c r="F9" s="1838">
        <f>SUM(B9:E9)</f>
        <v>5849205</v>
      </c>
    </row>
    <row r="10" spans="1:8" s="1080" customFormat="1" ht="14.25" thickTop="1" thickBot="1" x14ac:dyDescent="0.25">
      <c r="A10" s="1081" t="s">
        <v>1437</v>
      </c>
      <c r="B10" s="1840">
        <f>(B8-B9)</f>
        <v>167302</v>
      </c>
      <c r="C10" s="1840">
        <f>(C8-C9)</f>
        <v>7281</v>
      </c>
      <c r="D10" s="1840">
        <f>(D8-D9)</f>
        <v>171437</v>
      </c>
      <c r="E10" s="1839">
        <f>(E8-E9)</f>
        <v>5923</v>
      </c>
      <c r="F10" s="1841">
        <f>SUM(F8-F9)</f>
        <v>351943</v>
      </c>
    </row>
    <row r="11" spans="1:8" s="1080" customFormat="1" ht="14.25" thickTop="1" thickBot="1" x14ac:dyDescent="0.25">
      <c r="A11" s="1082" t="s">
        <v>1785</v>
      </c>
      <c r="B11" s="1842">
        <f>'Acct Summary 7-8'!C81</f>
        <v>877874</v>
      </c>
      <c r="C11" s="1842">
        <f>'Acct Summary 7-8'!D81</f>
        <v>346540</v>
      </c>
      <c r="D11" s="1842">
        <f>'Acct Summary 7-8'!F81</f>
        <v>439890</v>
      </c>
      <c r="E11" s="1842">
        <f>'Acct Summary 7-8'!I81</f>
        <v>260241</v>
      </c>
      <c r="F11" s="1843">
        <f>SUM(B11:E11)</f>
        <v>1924545</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17053005026</v>
      </c>
    </row>
    <row r="3" spans="1:2" x14ac:dyDescent="0.2">
      <c r="A3" t="s">
        <v>1013</v>
      </c>
      <c r="B3" s="138" t="str">
        <f>COVER!A15</f>
        <v xml:space="preserve">LIVINGSTON </v>
      </c>
    </row>
    <row r="4" spans="1:2" x14ac:dyDescent="0.2">
      <c r="A4" t="s">
        <v>1064</v>
      </c>
      <c r="B4" s="138" t="str">
        <f>COVER!A17</f>
        <v>Woodland CUSD 5</v>
      </c>
    </row>
    <row r="5" spans="1:2" x14ac:dyDescent="0.2">
      <c r="A5" t="s">
        <v>728</v>
      </c>
      <c r="B5" s="138" t="str">
        <f>COVER!A38</f>
        <v xml:space="preserve">RYAN MCGUCKIN </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66.004501000000005</v>
      </c>
    </row>
    <row r="16" spans="1:2" x14ac:dyDescent="0.2">
      <c r="A16" t="s">
        <v>442</v>
      </c>
      <c r="B16" s="138" t="str">
        <f>COVER!T13</f>
        <v>HOPKINS &amp; ASSOCIATES, CPAS</v>
      </c>
    </row>
    <row r="17" spans="1:2" x14ac:dyDescent="0.2">
      <c r="A17" t="s">
        <v>939</v>
      </c>
      <c r="B17" s="138" t="str">
        <f>COVER!T15</f>
        <v xml:space="preserve">JOEL HOPKINS </v>
      </c>
    </row>
    <row r="18" spans="1:2" x14ac:dyDescent="0.2">
      <c r="A18" t="s">
        <v>1212</v>
      </c>
      <c r="B18" s="138" t="str">
        <f>COVER!T17</f>
        <v>314 S MCCOY STREET</v>
      </c>
    </row>
    <row r="19" spans="1:2" x14ac:dyDescent="0.2">
      <c r="A19" t="s">
        <v>941</v>
      </c>
      <c r="B19" s="138" t="str">
        <f>COVER!T25</f>
        <v>JOELHOPKINS@MSN.COM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877874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872821</v>
      </c>
      <c r="D92" s="2" t="str">
        <f t="shared" si="0"/>
        <v>Error?</v>
      </c>
    </row>
    <row r="93" spans="1:4" x14ac:dyDescent="0.2">
      <c r="A93" s="5">
        <v>32</v>
      </c>
      <c r="B93" s="138">
        <f>'Assets-Liab 5-6'!C41</f>
        <v>877874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346540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346540</v>
      </c>
      <c r="D123" s="2" t="str">
        <f t="shared" si="0"/>
        <v>Error?</v>
      </c>
    </row>
    <row r="124" spans="1:4" x14ac:dyDescent="0.2">
      <c r="A124" s="5">
        <v>63</v>
      </c>
      <c r="B124" s="138">
        <f>'Assets-Liab 5-6'!D41</f>
        <v>346540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2485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2485</v>
      </c>
      <c r="D140" s="2" t="str">
        <f t="shared" si="1"/>
        <v>Error?</v>
      </c>
    </row>
    <row r="141" spans="1:4" x14ac:dyDescent="0.2">
      <c r="A141" s="5">
        <v>80</v>
      </c>
      <c r="B141" s="138">
        <f>'Assets-Liab 5-6'!E41</f>
        <v>2485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439890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439890</v>
      </c>
      <c r="D170" s="2" t="str">
        <f t="shared" si="1"/>
        <v>Error?</v>
      </c>
    </row>
    <row r="171" spans="1:4" x14ac:dyDescent="0.2">
      <c r="A171" s="5">
        <v>110</v>
      </c>
      <c r="B171" s="138">
        <f>'Assets-Liab 5-6'!F41</f>
        <v>439890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45751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45751</v>
      </c>
      <c r="D189" s="2" t="str">
        <f t="shared" si="1"/>
        <v>Error?</v>
      </c>
    </row>
    <row r="190" spans="1:4" x14ac:dyDescent="0.2">
      <c r="A190" s="5">
        <v>129</v>
      </c>
      <c r="B190" s="138">
        <f>'Assets-Liab 5-6'!G41</f>
        <v>45751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204069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204069</v>
      </c>
      <c r="D212" s="2" t="str">
        <f t="shared" si="2"/>
        <v>Error?</v>
      </c>
    </row>
    <row r="213" spans="1:4" x14ac:dyDescent="0.2">
      <c r="A213" s="12">
        <v>152</v>
      </c>
      <c r="B213" s="138">
        <f>'Assets-Liab 5-6'!H41</f>
        <v>204069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15000</v>
      </c>
      <c r="D273" s="2" t="str">
        <f t="shared" si="3"/>
        <v>Error?</v>
      </c>
    </row>
    <row r="274" spans="1:4" x14ac:dyDescent="0.2">
      <c r="A274" s="5">
        <v>213</v>
      </c>
      <c r="B274" s="138">
        <f>'Assets-Liab 5-6'!M17</f>
        <v>3642049</v>
      </c>
      <c r="D274" s="2" t="str">
        <f t="shared" si="3"/>
        <v>Error?</v>
      </c>
    </row>
    <row r="275" spans="1:4" x14ac:dyDescent="0.2">
      <c r="A275" s="5">
        <v>214</v>
      </c>
      <c r="B275" s="138">
        <f>'Assets-Liab 5-6'!M18</f>
        <v>1598516</v>
      </c>
      <c r="D275" s="2" t="str">
        <f t="shared" si="3"/>
        <v>Error?</v>
      </c>
    </row>
    <row r="276" spans="1:4" x14ac:dyDescent="0.2">
      <c r="A276" s="5">
        <v>215</v>
      </c>
      <c r="B276" s="138">
        <f>'Assets-Liab 5-6'!M19</f>
        <v>601234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5856799</v>
      </c>
      <c r="C279" s="2" t="s">
        <v>594</v>
      </c>
      <c r="D279" s="2" t="str">
        <f t="shared" si="3"/>
        <v>Error?</v>
      </c>
    </row>
    <row r="280" spans="1:4" x14ac:dyDescent="0.2">
      <c r="A280" s="5">
        <v>219</v>
      </c>
      <c r="B280" s="138">
        <f>'Assets-Liab 5-6'!M40</f>
        <v>5856799</v>
      </c>
      <c r="D280" s="2" t="str">
        <f t="shared" si="3"/>
        <v>Error?</v>
      </c>
    </row>
    <row r="281" spans="1:4" x14ac:dyDescent="0.2">
      <c r="A281" s="5">
        <v>220</v>
      </c>
      <c r="B281" s="138">
        <f>'Assets-Liab 5-6'!M41</f>
        <v>5856799</v>
      </c>
      <c r="C281" s="2" t="s">
        <v>594</v>
      </c>
      <c r="D281" s="2" t="str">
        <f t="shared" si="3"/>
        <v>Error?</v>
      </c>
    </row>
    <row r="282" spans="1:4" x14ac:dyDescent="0.2">
      <c r="A282" s="5">
        <v>221</v>
      </c>
      <c r="B282" s="138">
        <f>'Assets-Liab 5-6'!N21</f>
        <v>2485</v>
      </c>
      <c r="D282" s="2" t="str">
        <f t="shared" si="3"/>
        <v>Error?</v>
      </c>
    </row>
    <row r="283" spans="1:4" x14ac:dyDescent="0.2">
      <c r="A283" s="5">
        <v>222</v>
      </c>
      <c r="B283" s="138">
        <f>'Assets-Liab 5-6'!N22</f>
        <v>1637515</v>
      </c>
      <c r="D283" s="2" t="str">
        <f t="shared" si="3"/>
        <v>Error?</v>
      </c>
    </row>
    <row r="284" spans="1:4" x14ac:dyDescent="0.2">
      <c r="A284" s="5">
        <v>223</v>
      </c>
      <c r="B284" s="138">
        <f>'Assets-Liab 5-6'!N23</f>
        <v>1640000</v>
      </c>
      <c r="C284" s="2" t="s">
        <v>594</v>
      </c>
      <c r="D284" s="2" t="str">
        <f t="shared" si="3"/>
        <v>Error?</v>
      </c>
    </row>
    <row r="285" spans="1:4" x14ac:dyDescent="0.2">
      <c r="A285" s="5">
        <v>224</v>
      </c>
      <c r="B285" s="138">
        <f>'Assets-Liab 5-6'!N36</f>
        <v>1640000</v>
      </c>
      <c r="D285" s="2" t="str">
        <f t="shared" si="3"/>
        <v>Error?</v>
      </c>
    </row>
    <row r="286" spans="1:4" x14ac:dyDescent="0.2">
      <c r="A286" s="10">
        <v>225</v>
      </c>
      <c r="D286" s="2" t="str">
        <f t="shared" si="3"/>
        <v>OK</v>
      </c>
    </row>
    <row r="287" spans="1:4" x14ac:dyDescent="0.2">
      <c r="A287" s="5">
        <v>226</v>
      </c>
      <c r="B287" s="138">
        <f>'Assets-Liab 5-6'!N37</f>
        <v>1640000</v>
      </c>
      <c r="C287" s="2" t="s">
        <v>594</v>
      </c>
      <c r="D287" s="2" t="str">
        <f t="shared" si="3"/>
        <v>Error?</v>
      </c>
    </row>
    <row r="288" spans="1:4" x14ac:dyDescent="0.2">
      <c r="A288" s="5">
        <v>227</v>
      </c>
      <c r="B288" s="138">
        <f>'Assets-Liab 5-6'!N41</f>
        <v>1640000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1593802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149762</v>
      </c>
      <c r="D717" s="2" t="str">
        <f t="shared" si="10"/>
        <v>Error?</v>
      </c>
    </row>
    <row r="718" spans="1:4" x14ac:dyDescent="0.2">
      <c r="A718" s="5">
        <v>657</v>
      </c>
      <c r="B718" s="138">
        <f>'Expenditures 15-22'!C14</f>
        <v>70152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2572821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64008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52648</v>
      </c>
      <c r="D726" s="2" t="str">
        <f t="shared" si="10"/>
        <v>Error?</v>
      </c>
    </row>
    <row r="727" spans="1:4" x14ac:dyDescent="0.2">
      <c r="A727" s="5">
        <v>666</v>
      </c>
      <c r="B727" s="138">
        <f>'Expenditures 15-22'!C42</f>
        <v>116656</v>
      </c>
      <c r="C727" s="2" t="s">
        <v>594</v>
      </c>
      <c r="D727" s="2" t="str">
        <f t="shared" si="10"/>
        <v>Error?</v>
      </c>
    </row>
    <row r="728" spans="1:4" x14ac:dyDescent="0.2">
      <c r="A728" s="5">
        <v>667</v>
      </c>
      <c r="B728" s="138">
        <f>'Expenditures 15-22'!C44</f>
        <v>4760</v>
      </c>
      <c r="D728" s="2" t="str">
        <f t="shared" si="10"/>
        <v>Error?</v>
      </c>
    </row>
    <row r="729" spans="1:4" x14ac:dyDescent="0.2">
      <c r="A729" s="5">
        <v>668</v>
      </c>
      <c r="B729" s="138">
        <f>'Expenditures 15-22'!C45</f>
        <v>10085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14845</v>
      </c>
      <c r="C731" s="2" t="s">
        <v>594</v>
      </c>
      <c r="D731" s="2" t="str">
        <f t="shared" si="10"/>
        <v>Error?</v>
      </c>
    </row>
    <row r="732" spans="1:4" x14ac:dyDescent="0.2">
      <c r="A732" s="5">
        <v>671</v>
      </c>
      <c r="B732" s="138">
        <f>'Expenditures 15-22'!C49</f>
        <v>2250</v>
      </c>
      <c r="D732" s="2" t="str">
        <f t="shared" si="10"/>
        <v>Error?</v>
      </c>
    </row>
    <row r="733" spans="1:4" x14ac:dyDescent="0.2">
      <c r="A733" s="5">
        <v>672</v>
      </c>
      <c r="B733" s="138">
        <f>'Expenditures 15-22'!C50</f>
        <v>111088</v>
      </c>
      <c r="D733" s="2" t="str">
        <f t="shared" si="10"/>
        <v>Error?</v>
      </c>
    </row>
    <row r="734" spans="1:4" x14ac:dyDescent="0.2">
      <c r="A734" s="5">
        <v>673</v>
      </c>
      <c r="B734" s="138">
        <f>'Expenditures 15-22'!C53</f>
        <v>113338</v>
      </c>
      <c r="C734" s="2" t="s">
        <v>594</v>
      </c>
      <c r="D734" s="2" t="str">
        <f t="shared" si="10"/>
        <v>Error?</v>
      </c>
    </row>
    <row r="735" spans="1:4" x14ac:dyDescent="0.2">
      <c r="A735" s="5">
        <v>674</v>
      </c>
      <c r="B735" s="138">
        <f>'Expenditures 15-22'!C55</f>
        <v>187914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187914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64330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76812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141142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573895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3146716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233617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15473</v>
      </c>
      <c r="D775" s="2" t="str">
        <f t="shared" si="11"/>
        <v>Error?</v>
      </c>
    </row>
    <row r="776" spans="1:4" x14ac:dyDescent="0.2">
      <c r="A776" s="5">
        <v>715</v>
      </c>
      <c r="B776" s="138">
        <f>'Expenditures 15-22'!D14</f>
        <v>602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386171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961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7366</v>
      </c>
      <c r="D784" s="2" t="str">
        <f t="shared" si="11"/>
        <v>Error?</v>
      </c>
    </row>
    <row r="785" spans="1:4" x14ac:dyDescent="0.2">
      <c r="A785" s="5">
        <v>724</v>
      </c>
      <c r="B785" s="138">
        <f>'Expenditures 15-22'!D42</f>
        <v>8327</v>
      </c>
      <c r="C785" s="2" t="s">
        <v>594</v>
      </c>
      <c r="D785" s="2" t="str">
        <f t="shared" si="11"/>
        <v>Error?</v>
      </c>
    </row>
    <row r="786" spans="1:4" x14ac:dyDescent="0.2">
      <c r="A786" s="5">
        <v>725</v>
      </c>
      <c r="B786" s="138">
        <f>'Expenditures 15-22'!D44</f>
        <v>48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34458</v>
      </c>
      <c r="D791" s="2" t="str">
        <f t="shared" si="11"/>
        <v>Error?</v>
      </c>
    </row>
    <row r="792" spans="1:4" x14ac:dyDescent="0.2">
      <c r="A792" s="5">
        <v>731</v>
      </c>
      <c r="B792" s="138">
        <f>'Expenditures 15-22'!D53</f>
        <v>34458</v>
      </c>
      <c r="C792" s="2" t="s">
        <v>594</v>
      </c>
      <c r="D792" s="2" t="str">
        <f t="shared" si="11"/>
        <v>Error?</v>
      </c>
    </row>
    <row r="793" spans="1:4" x14ac:dyDescent="0.2">
      <c r="A793" s="5">
        <v>732</v>
      </c>
      <c r="B793" s="138">
        <f>'Expenditures 15-22'!D55</f>
        <v>42018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42018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4929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5013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89864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476035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54084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685</v>
      </c>
      <c r="D833" s="2" t="str">
        <f t="shared" si="12"/>
        <v>Error?</v>
      </c>
    </row>
    <row r="834" spans="1:4" x14ac:dyDescent="0.2">
      <c r="A834" s="5">
        <v>773</v>
      </c>
      <c r="B834" s="138">
        <f>'Expenditures 15-22'!E14</f>
        <v>43351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142866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1120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24967</v>
      </c>
      <c r="D842" s="2" t="str">
        <f t="shared" si="12"/>
        <v>Error?</v>
      </c>
    </row>
    <row r="843" spans="1:4" x14ac:dyDescent="0.2">
      <c r="A843" s="5">
        <v>782</v>
      </c>
      <c r="B843" s="138">
        <f>'Expenditures 15-22'!E42</f>
        <v>26087</v>
      </c>
      <c r="C843" s="2" t="s">
        <v>594</v>
      </c>
      <c r="D843" s="2" t="str">
        <f t="shared" si="12"/>
        <v>Error?</v>
      </c>
    </row>
    <row r="844" spans="1:4" x14ac:dyDescent="0.2">
      <c r="A844" s="5">
        <v>783</v>
      </c>
      <c r="B844" s="138">
        <f>'Expenditures 15-22'!E44</f>
        <v>6703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6703</v>
      </c>
      <c r="C847" s="2" t="s">
        <v>594</v>
      </c>
      <c r="D847" s="2" t="str">
        <f t="shared" si="12"/>
        <v>Error?</v>
      </c>
    </row>
    <row r="848" spans="1:4" x14ac:dyDescent="0.2">
      <c r="A848" s="5">
        <v>787</v>
      </c>
      <c r="B848" s="138">
        <f>'Expenditures 15-22'!E49</f>
        <v>35065</v>
      </c>
      <c r="D848" s="2" t="str">
        <f t="shared" si="12"/>
        <v>Error?</v>
      </c>
    </row>
    <row r="849" spans="1:4" x14ac:dyDescent="0.2">
      <c r="A849" s="5">
        <v>788</v>
      </c>
      <c r="B849" s="138">
        <f>'Expenditures 15-22'!E50</f>
        <v>11985</v>
      </c>
      <c r="D849" s="2" t="str">
        <f t="shared" si="12"/>
        <v>Error?</v>
      </c>
    </row>
    <row r="850" spans="1:4" x14ac:dyDescent="0.2">
      <c r="A850" s="5">
        <v>789</v>
      </c>
      <c r="B850" s="138">
        <f>'Expenditures 15-22'!E53</f>
        <v>47050</v>
      </c>
      <c r="C850" s="2" t="s">
        <v>594</v>
      </c>
      <c r="D850" s="2" t="str">
        <f t="shared" si="12"/>
        <v>Error?</v>
      </c>
    </row>
    <row r="851" spans="1:4" x14ac:dyDescent="0.2">
      <c r="A851" s="5">
        <v>790</v>
      </c>
      <c r="B851" s="138">
        <f>'Expenditures 15-22'!E55</f>
        <v>2944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2944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4103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6818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10921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93705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424226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66327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9727</v>
      </c>
      <c r="D891" s="2" t="str">
        <f t="shared" si="12"/>
        <v>Error?</v>
      </c>
    </row>
    <row r="892" spans="1:4" x14ac:dyDescent="0.2">
      <c r="A892" s="5">
        <v>831</v>
      </c>
      <c r="B892" s="138">
        <f>'Expenditures 15-22'!F14</f>
        <v>8442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91759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26065</v>
      </c>
      <c r="D900" s="2" t="str">
        <f t="shared" si="13"/>
        <v>Error?</v>
      </c>
    </row>
    <row r="901" spans="1:4" x14ac:dyDescent="0.2">
      <c r="A901" s="5">
        <v>840</v>
      </c>
      <c r="B901" s="138">
        <f>'Expenditures 15-22'!F42</f>
        <v>26076</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487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487</v>
      </c>
      <c r="C905" s="2" t="s">
        <v>594</v>
      </c>
      <c r="D905" s="2" t="str">
        <f t="shared" si="13"/>
        <v>Error?</v>
      </c>
    </row>
    <row r="906" spans="1:4" x14ac:dyDescent="0.2">
      <c r="A906" s="5">
        <v>845</v>
      </c>
      <c r="B906" s="138">
        <f>'Expenditures 15-22'!F49</f>
        <v>7099</v>
      </c>
      <c r="D906" s="2" t="str">
        <f t="shared" si="13"/>
        <v>Error?</v>
      </c>
    </row>
    <row r="907" spans="1:4" x14ac:dyDescent="0.2">
      <c r="A907" s="5">
        <v>846</v>
      </c>
      <c r="B907" s="138">
        <f>'Expenditures 15-22'!F50</f>
        <v>3084</v>
      </c>
      <c r="D907" s="2" t="str">
        <f t="shared" si="13"/>
        <v>Error?</v>
      </c>
    </row>
    <row r="908" spans="1:4" x14ac:dyDescent="0.2">
      <c r="A908" s="5">
        <v>847</v>
      </c>
      <c r="B908" s="138">
        <f>'Expenditures 15-22'!F53</f>
        <v>10183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110520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112041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148787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240546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2000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14532</v>
      </c>
      <c r="D958" s="2" t="str">
        <f t="shared" si="13"/>
        <v>Error?</v>
      </c>
    </row>
    <row r="959" spans="1:4" x14ac:dyDescent="0.2">
      <c r="A959" s="5">
        <v>898</v>
      </c>
      <c r="B959" s="138">
        <f>'Expenditures 15-22'!G42</f>
        <v>14532</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14532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16532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113174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432643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545817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1947830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175647</v>
      </c>
      <c r="C1105" s="2" t="s">
        <v>594</v>
      </c>
      <c r="D1105" s="2" t="str">
        <f t="shared" si="16"/>
        <v>Error?</v>
      </c>
    </row>
    <row r="1106" spans="1:4" x14ac:dyDescent="0.2">
      <c r="A1106" s="5">
        <v>1045</v>
      </c>
      <c r="B1106" s="138">
        <f>'Expenditures 15-22'!K14</f>
        <v>122547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3308791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66100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125578</v>
      </c>
      <c r="C1114" s="2" t="s">
        <v>594</v>
      </c>
      <c r="D1114" s="2" t="str">
        <f t="shared" si="16"/>
        <v>Error?</v>
      </c>
    </row>
    <row r="1115" spans="1:4" x14ac:dyDescent="0.2">
      <c r="A1115" s="5">
        <v>1054</v>
      </c>
      <c r="B1115" s="138">
        <f>'Expenditures 15-22'!K42</f>
        <v>191678</v>
      </c>
      <c r="C1115" s="2" t="s">
        <v>594</v>
      </c>
      <c r="D1115" s="2" t="str">
        <f t="shared" si="16"/>
        <v>Error?</v>
      </c>
    </row>
    <row r="1116" spans="1:4" x14ac:dyDescent="0.2">
      <c r="A1116" s="5">
        <v>1055</v>
      </c>
      <c r="B1116" s="138">
        <f>'Expenditures 15-22'!K44</f>
        <v>11511</v>
      </c>
      <c r="C1116" s="2" t="s">
        <v>594</v>
      </c>
      <c r="D1116" s="2" t="str">
        <f t="shared" si="16"/>
        <v>Error?</v>
      </c>
    </row>
    <row r="1117" spans="1:4" x14ac:dyDescent="0.2">
      <c r="A1117" s="5">
        <v>1056</v>
      </c>
      <c r="B1117" s="138">
        <f>'Expenditures 15-22'!K45</f>
        <v>10572</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22083</v>
      </c>
      <c r="C1119" s="2" t="s">
        <v>594</v>
      </c>
      <c r="D1119" s="2" t="str">
        <f t="shared" si="16"/>
        <v>Error?</v>
      </c>
    </row>
    <row r="1120" spans="1:4" x14ac:dyDescent="0.2">
      <c r="A1120" s="5">
        <v>1059</v>
      </c>
      <c r="B1120" s="138">
        <f>'Expenditures 15-22'!K49</f>
        <v>44414</v>
      </c>
      <c r="C1120" s="2" t="s">
        <v>594</v>
      </c>
      <c r="D1120" s="2" t="str">
        <f t="shared" si="16"/>
        <v>Error?</v>
      </c>
    </row>
    <row r="1121" spans="1:4" x14ac:dyDescent="0.2">
      <c r="A1121" s="5">
        <v>1060</v>
      </c>
      <c r="B1121" s="138">
        <f>'Expenditures 15-22'!K50</f>
        <v>160615</v>
      </c>
      <c r="C1121" s="2" t="s">
        <v>594</v>
      </c>
      <c r="D1121" s="2" t="str">
        <f t="shared" si="16"/>
        <v>Error?</v>
      </c>
    </row>
    <row r="1122" spans="1:4" x14ac:dyDescent="0.2">
      <c r="A1122" s="5">
        <v>1061</v>
      </c>
      <c r="B1122" s="138">
        <f>'Expenditures 15-22'!K53</f>
        <v>205029</v>
      </c>
      <c r="C1122" s="2" t="s">
        <v>594</v>
      </c>
      <c r="D1122" s="2" t="str">
        <f t="shared" si="16"/>
        <v>Error?</v>
      </c>
    </row>
    <row r="1123" spans="1:4" x14ac:dyDescent="0.2">
      <c r="A1123" s="5">
        <v>1062</v>
      </c>
      <c r="B1123" s="138">
        <f>'Expenditures 15-22'!K55</f>
        <v>232876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232876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74883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194234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269117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920783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620298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4849872</v>
      </c>
      <c r="C1152" s="2" t="s">
        <v>594</v>
      </c>
      <c r="D1152" s="2" t="str">
        <f t="shared" si="17"/>
        <v>Error?</v>
      </c>
    </row>
    <row r="1153" spans="1:4" x14ac:dyDescent="0.2">
      <c r="A1153" s="5">
        <v>1092</v>
      </c>
      <c r="B1153" s="138">
        <f>'Expenditures 15-22'!K115</f>
        <v>167302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165252</v>
      </c>
      <c r="D1221" s="2" t="str">
        <f t="shared" si="18"/>
        <v>Error?</v>
      </c>
    </row>
    <row r="1222" spans="1:4" x14ac:dyDescent="0.2">
      <c r="A1222" s="10">
        <v>1161</v>
      </c>
      <c r="D1222" s="2" t="str">
        <f t="shared" si="18"/>
        <v>OK</v>
      </c>
    </row>
    <row r="1223" spans="1:4" x14ac:dyDescent="0.2">
      <c r="A1223" s="5">
        <v>1162</v>
      </c>
      <c r="B1223" s="138">
        <f>'Expenditures 15-22'!C127</f>
        <v>165252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165252</v>
      </c>
      <c r="C1225" s="2" t="s">
        <v>594</v>
      </c>
      <c r="D1225" s="2" t="str">
        <f t="shared" si="18"/>
        <v>Error?</v>
      </c>
    </row>
    <row r="1226" spans="1:4" x14ac:dyDescent="0.2">
      <c r="A1226" s="5">
        <v>1165</v>
      </c>
      <c r="B1226" s="138">
        <f>'Expenditures 15-22'!C151</f>
        <v>165252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26770</v>
      </c>
      <c r="D1229" s="2" t="str">
        <f t="shared" si="18"/>
        <v>Error?</v>
      </c>
    </row>
    <row r="1230" spans="1:4" x14ac:dyDescent="0.2">
      <c r="A1230" s="10">
        <v>1169</v>
      </c>
      <c r="D1230" s="2" t="str">
        <f t="shared" si="18"/>
        <v>OK</v>
      </c>
    </row>
    <row r="1231" spans="1:4" x14ac:dyDescent="0.2">
      <c r="A1231" s="5">
        <v>1170</v>
      </c>
      <c r="B1231" s="138">
        <f>'Expenditures 15-22'!D127</f>
        <v>26770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26770</v>
      </c>
      <c r="C1233" s="2" t="s">
        <v>594</v>
      </c>
      <c r="D1233" s="2" t="str">
        <f t="shared" si="18"/>
        <v>Error?</v>
      </c>
    </row>
    <row r="1234" spans="1:4" x14ac:dyDescent="0.2">
      <c r="A1234" s="5">
        <v>1173</v>
      </c>
      <c r="B1234" s="138">
        <f>'Expenditures 15-22'!D151</f>
        <v>26770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82107</v>
      </c>
      <c r="D1237" s="2" t="str">
        <f t="shared" si="18"/>
        <v>Error?</v>
      </c>
    </row>
    <row r="1238" spans="1:4" x14ac:dyDescent="0.2">
      <c r="A1238" s="10">
        <v>1177</v>
      </c>
      <c r="D1238" s="2" t="str">
        <f t="shared" si="18"/>
        <v>OK</v>
      </c>
    </row>
    <row r="1239" spans="1:4" x14ac:dyDescent="0.2">
      <c r="A1239" s="5">
        <v>1178</v>
      </c>
      <c r="B1239" s="138">
        <f>'Expenditures 15-22'!E127</f>
        <v>82107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82107</v>
      </c>
      <c r="C1241" s="2" t="s">
        <v>594</v>
      </c>
      <c r="D1241" s="2" t="str">
        <f t="shared" si="18"/>
        <v>Error?</v>
      </c>
    </row>
    <row r="1242" spans="1:4" x14ac:dyDescent="0.2">
      <c r="A1242" s="5">
        <v>1181</v>
      </c>
      <c r="B1242" s="138">
        <f>'Expenditures 15-22'!E151</f>
        <v>82107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116927</v>
      </c>
      <c r="D1245" s="2" t="str">
        <f t="shared" si="18"/>
        <v>Error?</v>
      </c>
    </row>
    <row r="1246" spans="1:4" x14ac:dyDescent="0.2">
      <c r="A1246" s="10">
        <v>1185</v>
      </c>
      <c r="D1246" s="2" t="str">
        <f t="shared" si="18"/>
        <v>OK</v>
      </c>
    </row>
    <row r="1247" spans="1:4" x14ac:dyDescent="0.2">
      <c r="A1247" s="5">
        <v>1186</v>
      </c>
      <c r="B1247" s="138">
        <f>'Expenditures 15-22'!F127</f>
        <v>116927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116927</v>
      </c>
      <c r="C1249" s="2" t="s">
        <v>594</v>
      </c>
      <c r="D1249" s="2" t="str">
        <f t="shared" si="18"/>
        <v>Error?</v>
      </c>
    </row>
    <row r="1250" spans="1:4" x14ac:dyDescent="0.2">
      <c r="A1250" s="5">
        <v>1189</v>
      </c>
      <c r="B1250" s="138">
        <f>'Expenditures 15-22'!F151</f>
        <v>116927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4973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4973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4973</v>
      </c>
      <c r="C1258" s="2" t="s">
        <v>594</v>
      </c>
      <c r="D1258" s="2" t="str">
        <f t="shared" si="18"/>
        <v>Error?</v>
      </c>
    </row>
    <row r="1259" spans="1:4" x14ac:dyDescent="0.2">
      <c r="A1259" s="5">
        <v>1198</v>
      </c>
      <c r="B1259" s="138">
        <f>'Expenditures 15-22'!G151</f>
        <v>4973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396029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396029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396029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396029</v>
      </c>
      <c r="C1288" s="2" t="s">
        <v>594</v>
      </c>
      <c r="D1288" s="2" t="str">
        <f t="shared" si="19"/>
        <v>Error?</v>
      </c>
    </row>
    <row r="1289" spans="1:4" x14ac:dyDescent="0.2">
      <c r="A1289" s="5">
        <v>1228</v>
      </c>
      <c r="B1289" s="138">
        <f>'Expenditures 15-22'!K152</f>
        <v>7281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6328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31828</v>
      </c>
      <c r="C1317" s="2" t="s">
        <v>594</v>
      </c>
      <c r="D1317" s="2" t="str">
        <f t="shared" si="19"/>
        <v>Error?</v>
      </c>
    </row>
    <row r="1318" spans="1:4" x14ac:dyDescent="0.2">
      <c r="A1318" s="5">
        <v>1257</v>
      </c>
      <c r="B1318" s="138">
        <f>'Expenditures 15-22'!H174</f>
        <v>31828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6328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31828</v>
      </c>
      <c r="C1331" s="2" t="s">
        <v>594</v>
      </c>
      <c r="D1331" s="2" t="str">
        <f t="shared" si="19"/>
        <v>Error?</v>
      </c>
    </row>
    <row r="1332" spans="1:4" x14ac:dyDescent="0.2">
      <c r="A1332" s="5">
        <v>1271</v>
      </c>
      <c r="B1332" s="138">
        <f>'Expenditures 15-22'!K174</f>
        <v>31828</v>
      </c>
      <c r="C1332" s="2" t="s">
        <v>594</v>
      </c>
      <c r="D1332" s="2" t="str">
        <f t="shared" si="19"/>
        <v>Error?</v>
      </c>
    </row>
    <row r="1333" spans="1:4" x14ac:dyDescent="0.2">
      <c r="A1333" s="5">
        <v>1272</v>
      </c>
      <c r="B1333" s="138">
        <f>'Expenditures 15-22'!K175</f>
        <v>-31828</v>
      </c>
      <c r="C1333" s="2" t="s">
        <v>594</v>
      </c>
      <c r="D1333" s="2" t="str">
        <f t="shared" si="19"/>
        <v>Error?</v>
      </c>
    </row>
    <row r="1334" spans="1:4" x14ac:dyDescent="0.2">
      <c r="A1334" s="10">
        <v>1273</v>
      </c>
      <c r="D1334" s="2" t="str">
        <f t="shared" si="19"/>
        <v>OK</v>
      </c>
    </row>
    <row r="1335" spans="1:4" x14ac:dyDescent="0.2">
      <c r="A1335" s="5">
        <v>1274</v>
      </c>
      <c r="B1335" s="138">
        <f>'Expenditures 15-22'!C182</f>
        <v>40812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40812</v>
      </c>
      <c r="C1339" s="2" t="s">
        <v>594</v>
      </c>
      <c r="D1339" s="2" t="str">
        <f t="shared" si="19"/>
        <v>Error?</v>
      </c>
    </row>
    <row r="1340" spans="1:4" x14ac:dyDescent="0.2">
      <c r="A1340" s="5">
        <v>1279</v>
      </c>
      <c r="B1340" s="138">
        <f>'Expenditures 15-22'!C210</f>
        <v>40812</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527057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527057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527057</v>
      </c>
      <c r="C1353" s="2" t="s">
        <v>594</v>
      </c>
      <c r="D1353" s="2" t="str">
        <f t="shared" si="20"/>
        <v>Error?</v>
      </c>
    </row>
    <row r="1354" spans="1:4" x14ac:dyDescent="0.2">
      <c r="A1354" s="5">
        <v>1293</v>
      </c>
      <c r="B1354" s="138">
        <f>'Expenditures 15-22'!F182</f>
        <v>35435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35435</v>
      </c>
      <c r="C1358" s="2" t="s">
        <v>594</v>
      </c>
      <c r="D1358" s="2" t="str">
        <f t="shared" si="20"/>
        <v>Error?</v>
      </c>
    </row>
    <row r="1359" spans="1:4" x14ac:dyDescent="0.2">
      <c r="A1359" s="5">
        <v>1298</v>
      </c>
      <c r="B1359" s="138">
        <f>'Expenditures 15-22'!F210</f>
        <v>35435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603304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603304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603304</v>
      </c>
      <c r="C1388" s="2" t="s">
        <v>594</v>
      </c>
      <c r="D1388" s="2" t="str">
        <f t="shared" si="20"/>
        <v>Error?</v>
      </c>
    </row>
    <row r="1389" spans="1:4" x14ac:dyDescent="0.2">
      <c r="A1389" s="5">
        <v>1328</v>
      </c>
      <c r="B1389" s="138">
        <f>'Expenditures 15-22'!K211</f>
        <v>171437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2172</v>
      </c>
      <c r="D1407" s="2" t="str">
        <f t="shared" ref="D1407:D1470" si="21">IF(ISBLANK(B1407),"OK",IF(A1407-B1407=0,"OK","Error?"))</f>
        <v>Error?</v>
      </c>
    </row>
    <row r="1408" spans="1:4" x14ac:dyDescent="0.2">
      <c r="A1408" s="5">
        <v>1347</v>
      </c>
      <c r="B1408" s="138">
        <f>'Expenditures 15-22'!D223</f>
        <v>3874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84724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928</v>
      </c>
      <c r="D1412" s="2" t="str">
        <f t="shared" si="21"/>
        <v>Error?</v>
      </c>
    </row>
    <row r="1413" spans="1:4" x14ac:dyDescent="0.2">
      <c r="A1413" s="5">
        <v>1352</v>
      </c>
      <c r="B1413" s="138">
        <f>'Expenditures 15-22'!D234</f>
        <v>86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8407</v>
      </c>
      <c r="D1416" s="2" t="str">
        <f t="shared" si="21"/>
        <v>Error?</v>
      </c>
    </row>
    <row r="1417" spans="1:4" x14ac:dyDescent="0.2">
      <c r="A1417" s="5">
        <v>1356</v>
      </c>
      <c r="B1417" s="138">
        <f>'Expenditures 15-22'!D238</f>
        <v>9421</v>
      </c>
      <c r="C1417" s="2" t="s">
        <v>594</v>
      </c>
      <c r="D1417" s="2" t="str">
        <f t="shared" si="21"/>
        <v>Error?</v>
      </c>
    </row>
    <row r="1418" spans="1:4" x14ac:dyDescent="0.2">
      <c r="A1418" s="5">
        <v>1357</v>
      </c>
      <c r="B1418" s="138">
        <f>'Expenditures 15-22'!D240</f>
        <v>74</v>
      </c>
      <c r="D1418" s="2" t="str">
        <f t="shared" si="21"/>
        <v>Error?</v>
      </c>
    </row>
    <row r="1419" spans="1:4" x14ac:dyDescent="0.2">
      <c r="A1419" s="5">
        <v>1358</v>
      </c>
      <c r="B1419" s="138">
        <f>'Expenditures 15-22'!D241</f>
        <v>146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220</v>
      </c>
      <c r="C1421" s="2" t="s">
        <v>594</v>
      </c>
      <c r="D1421" s="2" t="str">
        <f t="shared" si="21"/>
        <v>Error?</v>
      </c>
    </row>
    <row r="1422" spans="1:4" x14ac:dyDescent="0.2">
      <c r="A1422" s="5">
        <v>1361</v>
      </c>
      <c r="B1422" s="138">
        <f>'Expenditures 15-22'!D245</f>
        <v>172</v>
      </c>
      <c r="D1422" s="2" t="str">
        <f t="shared" si="21"/>
        <v>Error?</v>
      </c>
    </row>
    <row r="1423" spans="1:4" x14ac:dyDescent="0.2">
      <c r="A1423" s="5">
        <v>1362</v>
      </c>
      <c r="B1423" s="138">
        <f>'Expenditures 15-22'!D246</f>
        <v>1609</v>
      </c>
      <c r="D1423" s="2" t="str">
        <f t="shared" si="21"/>
        <v>Error?</v>
      </c>
    </row>
    <row r="1424" spans="1:4" x14ac:dyDescent="0.2">
      <c r="A1424" s="5">
        <v>1363</v>
      </c>
      <c r="B1424" s="138">
        <f>'Expenditures 15-22'!D257</f>
        <v>1781</v>
      </c>
      <c r="C1424" s="2" t="s">
        <v>594</v>
      </c>
      <c r="D1424" s="2" t="str">
        <f t="shared" si="21"/>
        <v>Error?</v>
      </c>
    </row>
    <row r="1425" spans="1:4" x14ac:dyDescent="0.2">
      <c r="A1425" s="5">
        <v>1364</v>
      </c>
      <c r="B1425" s="138">
        <f>'Expenditures 15-22'!D259</f>
        <v>12485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12485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10994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25311</v>
      </c>
      <c r="D1431" s="2" t="str">
        <f t="shared" si="21"/>
        <v>Error?</v>
      </c>
    </row>
    <row r="1432" spans="1:4" x14ac:dyDescent="0.2">
      <c r="A1432" s="5">
        <v>1371</v>
      </c>
      <c r="B1432" s="138">
        <f>'Expenditures 15-22'!D267</f>
        <v>5510</v>
      </c>
      <c r="D1432" s="2" t="str">
        <f t="shared" si="21"/>
        <v>Error?</v>
      </c>
    </row>
    <row r="1433" spans="1:4" x14ac:dyDescent="0.2">
      <c r="A1433" s="5">
        <v>1372</v>
      </c>
      <c r="B1433" s="138">
        <f>'Expenditures 15-22'!D268</f>
        <v>12522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54337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78244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162968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2172</v>
      </c>
      <c r="C1471" s="2" t="s">
        <v>594</v>
      </c>
      <c r="D1471" s="2" t="str">
        <f t="shared" ref="D1471:D1534" si="22">IF(ISBLANK(B1471),"OK",IF(A1471-B1471=0,"OK","Error?"))</f>
        <v>Error?</v>
      </c>
    </row>
    <row r="1472" spans="1:4" x14ac:dyDescent="0.2">
      <c r="A1472" s="5">
        <v>1411</v>
      </c>
      <c r="B1472" s="138">
        <f>'Expenditures 15-22'!K223</f>
        <v>3874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84724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928</v>
      </c>
      <c r="C1476" s="2" t="s">
        <v>594</v>
      </c>
      <c r="D1476" s="2" t="str">
        <f t="shared" si="22"/>
        <v>Error?</v>
      </c>
    </row>
    <row r="1477" spans="1:4" x14ac:dyDescent="0.2">
      <c r="A1477" s="5">
        <v>1416</v>
      </c>
      <c r="B1477" s="138">
        <f>'Expenditures 15-22'!K234</f>
        <v>86</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8407</v>
      </c>
      <c r="C1480" s="2" t="s">
        <v>594</v>
      </c>
      <c r="D1480" s="2" t="str">
        <f t="shared" si="22"/>
        <v>Error?</v>
      </c>
    </row>
    <row r="1481" spans="1:4" x14ac:dyDescent="0.2">
      <c r="A1481" s="5">
        <v>1420</v>
      </c>
      <c r="B1481" s="138">
        <f>'Expenditures 15-22'!K238</f>
        <v>9421</v>
      </c>
      <c r="C1481" s="2" t="s">
        <v>594</v>
      </c>
      <c r="D1481" s="2" t="str">
        <f t="shared" si="22"/>
        <v>Error?</v>
      </c>
    </row>
    <row r="1482" spans="1:4" x14ac:dyDescent="0.2">
      <c r="A1482" s="5">
        <v>1421</v>
      </c>
      <c r="B1482" s="138">
        <f>'Expenditures 15-22'!K240</f>
        <v>74</v>
      </c>
      <c r="C1482" s="2" t="s">
        <v>594</v>
      </c>
      <c r="D1482" s="2" t="str">
        <f t="shared" si="22"/>
        <v>Error?</v>
      </c>
    </row>
    <row r="1483" spans="1:4" x14ac:dyDescent="0.2">
      <c r="A1483" s="5">
        <v>1422</v>
      </c>
      <c r="B1483" s="138">
        <f>'Expenditures 15-22'!K241</f>
        <v>146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220</v>
      </c>
      <c r="C1485" s="2" t="s">
        <v>594</v>
      </c>
      <c r="D1485" s="2" t="str">
        <f t="shared" si="22"/>
        <v>Error?</v>
      </c>
    </row>
    <row r="1486" spans="1:4" x14ac:dyDescent="0.2">
      <c r="A1486" s="5">
        <v>1425</v>
      </c>
      <c r="B1486" s="138">
        <f>'Expenditures 15-22'!K245</f>
        <v>172</v>
      </c>
      <c r="C1486" s="2" t="s">
        <v>594</v>
      </c>
      <c r="D1486" s="2" t="str">
        <f t="shared" si="22"/>
        <v>Error?</v>
      </c>
    </row>
    <row r="1487" spans="1:4" x14ac:dyDescent="0.2">
      <c r="A1487" s="5">
        <v>1426</v>
      </c>
      <c r="B1487" s="138">
        <f>'Expenditures 15-22'!K246</f>
        <v>1609</v>
      </c>
      <c r="C1487" s="2" t="s">
        <v>594</v>
      </c>
      <c r="D1487" s="2" t="str">
        <f t="shared" si="22"/>
        <v>Error?</v>
      </c>
    </row>
    <row r="1488" spans="1:4" x14ac:dyDescent="0.2">
      <c r="A1488" s="5">
        <v>1427</v>
      </c>
      <c r="B1488" s="138">
        <f>'Expenditures 15-22'!K257</f>
        <v>1781</v>
      </c>
      <c r="C1488" s="2" t="s">
        <v>594</v>
      </c>
      <c r="D1488" s="2" t="str">
        <f t="shared" si="22"/>
        <v>Error?</v>
      </c>
    </row>
    <row r="1489" spans="1:4" x14ac:dyDescent="0.2">
      <c r="A1489" s="5">
        <v>1428</v>
      </c>
      <c r="B1489" s="138">
        <f>'Expenditures 15-22'!K259</f>
        <v>12485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12485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10994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25311</v>
      </c>
      <c r="C1495" s="2" t="s">
        <v>594</v>
      </c>
      <c r="D1495" s="2" t="str">
        <f t="shared" si="22"/>
        <v>Error?</v>
      </c>
    </row>
    <row r="1496" spans="1:4" x14ac:dyDescent="0.2">
      <c r="A1496" s="5">
        <v>1435</v>
      </c>
      <c r="B1496" s="138">
        <f>'Expenditures 15-22'!K267</f>
        <v>5510</v>
      </c>
      <c r="C1496" s="2" t="s">
        <v>594</v>
      </c>
      <c r="D1496" s="2" t="str">
        <f t="shared" si="22"/>
        <v>Error?</v>
      </c>
    </row>
    <row r="1497" spans="1:4" x14ac:dyDescent="0.2">
      <c r="A1497" s="5">
        <v>1436</v>
      </c>
      <c r="B1497" s="138">
        <f>'Expenditures 15-22'!K268</f>
        <v>12522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54337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78244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162968</v>
      </c>
      <c r="C1517" s="2" t="s">
        <v>594</v>
      </c>
      <c r="D1517" s="2" t="str">
        <f t="shared" si="22"/>
        <v>Error?</v>
      </c>
    </row>
    <row r="1518" spans="1:4" x14ac:dyDescent="0.2">
      <c r="A1518" s="5">
        <v>1457</v>
      </c>
      <c r="B1518" s="138">
        <f>'Expenditures 15-22'!K296</f>
        <v>-41820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13304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13304</v>
      </c>
      <c r="C1535" s="2" t="s">
        <v>594</v>
      </c>
      <c r="D1535" s="2" t="str">
        <f t="shared" ref="D1535:D1598" si="23">IF(ISBLANK(B1535),"OK",IF(A1535-B1535=0,"OK","Error?"))</f>
        <v>Error?</v>
      </c>
    </row>
    <row r="1536" spans="1:4" x14ac:dyDescent="0.2">
      <c r="A1536" s="5">
        <v>1475</v>
      </c>
      <c r="B1536" s="138">
        <f>'Expenditures 15-22'!E312</f>
        <v>13304</v>
      </c>
      <c r="C1536" s="2" t="s">
        <v>594</v>
      </c>
      <c r="D1536" s="2" t="str">
        <f t="shared" si="23"/>
        <v>Error?</v>
      </c>
    </row>
    <row r="1537" spans="1:4" x14ac:dyDescent="0.2">
      <c r="A1537" s="5">
        <v>1476</v>
      </c>
      <c r="B1537" s="138">
        <f>'Expenditures 15-22'!F301</f>
        <v>8562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8562</v>
      </c>
      <c r="C1541" s="2" t="s">
        <v>594</v>
      </c>
      <c r="D1541" s="2" t="str">
        <f t="shared" si="23"/>
        <v>Error?</v>
      </c>
    </row>
    <row r="1542" spans="1:4" x14ac:dyDescent="0.2">
      <c r="A1542" s="5">
        <v>1481</v>
      </c>
      <c r="B1542" s="138">
        <f>'Expenditures 15-22'!F312</f>
        <v>8562</v>
      </c>
      <c r="C1542" s="2" t="s">
        <v>594</v>
      </c>
      <c r="D1542" s="2" t="str">
        <f t="shared" si="23"/>
        <v>Error?</v>
      </c>
    </row>
    <row r="1543" spans="1:4" x14ac:dyDescent="0.2">
      <c r="A1543" s="5">
        <v>1482</v>
      </c>
      <c r="B1543" s="138">
        <f>'Expenditures 15-22'!G301</f>
        <v>123397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123397</v>
      </c>
      <c r="C1547" s="2" t="s">
        <v>594</v>
      </c>
      <c r="D1547" s="2" t="str">
        <f t="shared" si="23"/>
        <v>Error?</v>
      </c>
    </row>
    <row r="1548" spans="1:4" x14ac:dyDescent="0.2">
      <c r="A1548" s="5">
        <v>1487</v>
      </c>
      <c r="B1548" s="138">
        <f>'Expenditures 15-22'!G312</f>
        <v>123397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145263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145263</v>
      </c>
      <c r="C1559" s="2" t="s">
        <v>594</v>
      </c>
      <c r="D1559" s="2" t="str">
        <f t="shared" si="23"/>
        <v>Error?</v>
      </c>
    </row>
    <row r="1560" spans="1:4" x14ac:dyDescent="0.2">
      <c r="A1560" s="5">
        <v>1499</v>
      </c>
      <c r="B1560" s="138">
        <f>'Expenditures 15-22'!K312</f>
        <v>145263</v>
      </c>
      <c r="C1560" s="2" t="s">
        <v>594</v>
      </c>
      <c r="D1560" s="2" t="str">
        <f t="shared" si="23"/>
        <v>Error?</v>
      </c>
    </row>
    <row r="1561" spans="1:4" x14ac:dyDescent="0.2">
      <c r="A1561" s="5">
        <v>1500</v>
      </c>
      <c r="B1561" s="138">
        <f>'Expenditures 15-22'!K313</f>
        <v>103722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622100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877874</v>
      </c>
      <c r="C1630" s="2" t="s">
        <v>594</v>
      </c>
      <c r="D1630" s="2" t="str">
        <f t="shared" si="24"/>
        <v>Error?</v>
      </c>
    </row>
    <row r="1631" spans="1:4" x14ac:dyDescent="0.2">
      <c r="A1631" s="5">
        <v>1570</v>
      </c>
      <c r="B1631" s="138">
        <f>'Acct Summary 7-8'!D79</f>
        <v>371159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346540</v>
      </c>
      <c r="C1644" s="2" t="s">
        <v>594</v>
      </c>
      <c r="D1644" s="2" t="str">
        <f t="shared" si="24"/>
        <v>Error?</v>
      </c>
    </row>
    <row r="1645" spans="1:4" x14ac:dyDescent="0.2">
      <c r="A1645" s="5">
        <v>1584</v>
      </c>
      <c r="B1645" s="138">
        <f>'Acct Summary 7-8'!E79</f>
        <v>2413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2485</v>
      </c>
      <c r="C1658" s="2" t="s">
        <v>594</v>
      </c>
      <c r="D1658" s="2" t="str">
        <f t="shared" si="24"/>
        <v>Error?</v>
      </c>
    </row>
    <row r="1659" spans="1:4" x14ac:dyDescent="0.2">
      <c r="A1659" s="5">
        <v>1598</v>
      </c>
      <c r="B1659" s="138">
        <f>'Acct Summary 7-8'!F79</f>
        <v>268453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439890</v>
      </c>
      <c r="C1672" s="2" t="s">
        <v>594</v>
      </c>
      <c r="D1672" s="2" t="str">
        <f t="shared" si="25"/>
        <v>Error?</v>
      </c>
    </row>
    <row r="1673" spans="1:4" x14ac:dyDescent="0.2">
      <c r="A1673" s="5">
        <v>1612</v>
      </c>
      <c r="B1673" s="138">
        <f>'Acct Summary 7-8'!G79</f>
        <v>87571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45751</v>
      </c>
      <c r="C1686" s="2" t="s">
        <v>594</v>
      </c>
      <c r="D1686" s="2" t="str">
        <f t="shared" si="25"/>
        <v>Error?</v>
      </c>
    </row>
    <row r="1687" spans="1:4" x14ac:dyDescent="0.2">
      <c r="A1687" s="5">
        <v>1626</v>
      </c>
      <c r="B1687" s="138">
        <f>'Acct Summary 7-8'!H79</f>
        <v>215347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204069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1896762</v>
      </c>
      <c r="C1744" s="2" t="s">
        <v>594</v>
      </c>
      <c r="D1744" s="2" t="str">
        <f t="shared" si="26"/>
        <v>Error?</v>
      </c>
    </row>
    <row r="1745" spans="1:5" x14ac:dyDescent="0.2">
      <c r="A1745" s="5">
        <v>1684</v>
      </c>
      <c r="B1745" s="138">
        <f>'Tax Sched 23'!B5</f>
        <v>350982</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280221</v>
      </c>
      <c r="C1747" s="2" t="s">
        <v>594</v>
      </c>
      <c r="D1747" s="2" t="str">
        <f t="shared" si="26"/>
        <v>Error?</v>
      </c>
    </row>
    <row r="1748" spans="1:5" x14ac:dyDescent="0.2">
      <c r="A1748" s="5">
        <v>1687</v>
      </c>
      <c r="B1748" s="138">
        <f>'Tax Sched 23'!B8</f>
        <v>60048</v>
      </c>
      <c r="C1748" s="2" t="s">
        <v>594</v>
      </c>
      <c r="D1748" s="2" t="str">
        <f t="shared" si="26"/>
        <v>Error?</v>
      </c>
    </row>
    <row r="1749" spans="1:5" x14ac:dyDescent="0.2">
      <c r="A1749" s="5">
        <v>1688</v>
      </c>
      <c r="B1749" s="138">
        <f>'Tax Sched 23'!B10</f>
        <v>4055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109868</v>
      </c>
      <c r="C1752" s="2" t="s">
        <v>594</v>
      </c>
      <c r="D1752" s="2" t="str">
        <f t="shared" si="26"/>
        <v>Error?</v>
      </c>
    </row>
    <row r="1753" spans="1:5" x14ac:dyDescent="0.2">
      <c r="A1753" s="5">
        <v>1692</v>
      </c>
      <c r="B1753" s="138">
        <f>'Tax Sched 23'!B12</f>
        <v>2972</v>
      </c>
      <c r="C1753" s="2" t="s">
        <v>594</v>
      </c>
      <c r="D1753" s="2" t="str">
        <f t="shared" si="26"/>
        <v>Error?</v>
      </c>
    </row>
    <row r="1754" spans="1:5" x14ac:dyDescent="0.2">
      <c r="A1754" s="5">
        <v>1693</v>
      </c>
      <c r="B1754" s="138">
        <f>'Tax Sched 23'!B14</f>
        <v>374382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3185380</v>
      </c>
      <c r="C1759" s="2" t="s">
        <v>594</v>
      </c>
      <c r="D1759" s="2" t="str">
        <f t="shared" si="26"/>
        <v>Error?</v>
      </c>
    </row>
    <row r="1760" spans="1:5" x14ac:dyDescent="0.2">
      <c r="A1760" s="5">
        <v>1699</v>
      </c>
      <c r="B1760" s="138">
        <f>'Tax Sched 23'!D4</f>
        <v>1896762</v>
      </c>
      <c r="C1760" s="2" t="s">
        <v>594</v>
      </c>
      <c r="D1760" s="2" t="str">
        <f t="shared" si="26"/>
        <v>Error?</v>
      </c>
    </row>
    <row r="1761" spans="1:5" x14ac:dyDescent="0.2">
      <c r="A1761" s="5">
        <v>1700</v>
      </c>
      <c r="B1761" s="138">
        <f>'Tax Sched 23'!D5</f>
        <v>350982</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280221</v>
      </c>
      <c r="C1763" s="2" t="s">
        <v>594</v>
      </c>
      <c r="D1763" s="2" t="str">
        <f t="shared" si="26"/>
        <v>Error?</v>
      </c>
    </row>
    <row r="1764" spans="1:5" x14ac:dyDescent="0.2">
      <c r="A1764" s="5">
        <v>1703</v>
      </c>
      <c r="B1764" s="138">
        <f>'Tax Sched 23'!D8</f>
        <v>60048</v>
      </c>
      <c r="C1764" s="2" t="s">
        <v>594</v>
      </c>
      <c r="D1764" s="2" t="str">
        <f t="shared" si="26"/>
        <v>Error?</v>
      </c>
    </row>
    <row r="1765" spans="1:5" x14ac:dyDescent="0.2">
      <c r="A1765" s="5">
        <v>1704</v>
      </c>
      <c r="B1765" s="138">
        <f>'Tax Sched 23'!D10</f>
        <v>4055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109868</v>
      </c>
      <c r="C1768" s="2" t="s">
        <v>594</v>
      </c>
      <c r="D1768" s="2" t="str">
        <f t="shared" si="26"/>
        <v>Error?</v>
      </c>
    </row>
    <row r="1769" spans="1:5" x14ac:dyDescent="0.2">
      <c r="A1769" s="5">
        <v>1708</v>
      </c>
      <c r="B1769" s="138">
        <f>'Tax Sched 23'!D12</f>
        <v>2972</v>
      </c>
      <c r="C1769" s="2" t="s">
        <v>594</v>
      </c>
      <c r="D1769" s="2" t="str">
        <f t="shared" si="26"/>
        <v>Error?</v>
      </c>
    </row>
    <row r="1770" spans="1:5" x14ac:dyDescent="0.2">
      <c r="A1770" s="5">
        <v>1709</v>
      </c>
      <c r="B1770" s="138">
        <f>'Tax Sched 23'!D14</f>
        <v>374382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3185380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1925122</v>
      </c>
      <c r="C1792" s="2" t="s">
        <v>594</v>
      </c>
      <c r="D1792" s="2" t="str">
        <f t="shared" si="27"/>
        <v>Error?</v>
      </c>
    </row>
    <row r="1793" spans="1:4" x14ac:dyDescent="0.2">
      <c r="A1793" s="5">
        <v>1732</v>
      </c>
      <c r="B1793" s="138">
        <f>'Tax Sched 23'!F5</f>
        <v>347887</v>
      </c>
      <c r="C1793" s="2" t="s">
        <v>594</v>
      </c>
      <c r="D1793" s="2" t="str">
        <f t="shared" si="27"/>
        <v>Error?</v>
      </c>
    </row>
    <row r="1794" spans="1:4" x14ac:dyDescent="0.2">
      <c r="A1794" s="5">
        <v>1733</v>
      </c>
      <c r="B1794" s="138">
        <f>'Tax Sched 23'!F6</f>
        <v>342781</v>
      </c>
      <c r="C1794" s="2" t="s">
        <v>594</v>
      </c>
      <c r="D1794" s="2" t="str">
        <f t="shared" si="27"/>
        <v>Error?</v>
      </c>
    </row>
    <row r="1795" spans="1:4" x14ac:dyDescent="0.2">
      <c r="A1795" s="5">
        <v>1734</v>
      </c>
      <c r="B1795" s="138">
        <f>'Tax Sched 23'!F7</f>
        <v>297342</v>
      </c>
      <c r="C1795" s="2" t="s">
        <v>594</v>
      </c>
      <c r="D1795" s="2" t="str">
        <f t="shared" si="27"/>
        <v>Error?</v>
      </c>
    </row>
    <row r="1796" spans="1:4" x14ac:dyDescent="0.2">
      <c r="A1796" s="5">
        <v>1735</v>
      </c>
      <c r="B1796" s="138">
        <f>'Tax Sched 23'!F8</f>
        <v>74343</v>
      </c>
      <c r="C1796" s="2" t="s">
        <v>594</v>
      </c>
      <c r="D1796" s="2" t="str">
        <f t="shared" si="27"/>
        <v>Error?</v>
      </c>
    </row>
    <row r="1797" spans="1:4" x14ac:dyDescent="0.2">
      <c r="A1797" s="5">
        <v>1736</v>
      </c>
      <c r="B1797" s="138">
        <f>'Tax Sched 23'!F10</f>
        <v>4068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109025</v>
      </c>
      <c r="C1800" s="2" t="s">
        <v>594</v>
      </c>
      <c r="D1800" s="2" t="str">
        <f t="shared" si="27"/>
        <v>Error?</v>
      </c>
    </row>
    <row r="1801" spans="1:4" x14ac:dyDescent="0.2">
      <c r="A1801" s="5">
        <v>1740</v>
      </c>
      <c r="B1801" s="138">
        <f>'Tax Sched 23'!F12</f>
        <v>2980</v>
      </c>
      <c r="C1801" s="2" t="s">
        <v>594</v>
      </c>
      <c r="D1801" s="2" t="str">
        <f t="shared" si="27"/>
        <v>Error?</v>
      </c>
    </row>
    <row r="1802" spans="1:4" x14ac:dyDescent="0.2">
      <c r="A1802" s="5">
        <v>1741</v>
      </c>
      <c r="B1802" s="138">
        <f>'Tax Sched 23'!F14</f>
        <v>371675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3597142</v>
      </c>
      <c r="C1807" s="2" t="s">
        <v>594</v>
      </c>
      <c r="D1807" s="2" t="str">
        <f t="shared" si="27"/>
        <v>Error?</v>
      </c>
    </row>
    <row r="1808" spans="1:4" x14ac:dyDescent="0.2">
      <c r="A1808" s="5">
        <v>1747</v>
      </c>
      <c r="B1808" s="138">
        <f>'Tax Sched 23'!E4</f>
        <v>1925122</v>
      </c>
      <c r="D1808" s="2" t="str">
        <f t="shared" si="27"/>
        <v>Error?</v>
      </c>
    </row>
    <row r="1809" spans="1:4" x14ac:dyDescent="0.2">
      <c r="A1809" s="5">
        <v>1748</v>
      </c>
      <c r="B1809" s="138">
        <f>'Tax Sched 23'!E5</f>
        <v>347887</v>
      </c>
      <c r="D1809" s="2" t="str">
        <f t="shared" si="27"/>
        <v>Error?</v>
      </c>
    </row>
    <row r="1810" spans="1:4" x14ac:dyDescent="0.2">
      <c r="A1810" s="5">
        <v>1749</v>
      </c>
      <c r="B1810" s="138">
        <f>'Tax Sched 23'!E6</f>
        <v>342781</v>
      </c>
      <c r="D1810" s="2" t="str">
        <f t="shared" si="27"/>
        <v>Error?</v>
      </c>
    </row>
    <row r="1811" spans="1:4" x14ac:dyDescent="0.2">
      <c r="A1811" s="5">
        <v>1750</v>
      </c>
      <c r="B1811" s="138">
        <f>'Tax Sched 23'!E7</f>
        <v>297342</v>
      </c>
      <c r="D1811" s="2" t="str">
        <f t="shared" si="27"/>
        <v>Error?</v>
      </c>
    </row>
    <row r="1812" spans="1:4" x14ac:dyDescent="0.2">
      <c r="A1812" s="5">
        <v>1751</v>
      </c>
      <c r="B1812" s="138">
        <f>'Tax Sched 23'!E8</f>
        <v>74343</v>
      </c>
      <c r="D1812" s="2" t="str">
        <f t="shared" si="27"/>
        <v>Error?</v>
      </c>
    </row>
    <row r="1813" spans="1:4" x14ac:dyDescent="0.2">
      <c r="A1813" s="5">
        <v>1752</v>
      </c>
      <c r="B1813" s="138">
        <f>'Tax Sched 23'!E10</f>
        <v>4068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109025</v>
      </c>
      <c r="D1816" s="2" t="str">
        <f t="shared" si="27"/>
        <v>Error?</v>
      </c>
    </row>
    <row r="1817" spans="1:4" x14ac:dyDescent="0.2">
      <c r="A1817" s="5">
        <v>1756</v>
      </c>
      <c r="B1817" s="138">
        <f>'Tax Sched 23'!E12</f>
        <v>2980</v>
      </c>
      <c r="D1817" s="2" t="str">
        <f t="shared" si="27"/>
        <v>Error?</v>
      </c>
    </row>
    <row r="1818" spans="1:4" x14ac:dyDescent="0.2">
      <c r="A1818" s="5">
        <v>1757</v>
      </c>
      <c r="B1818" s="138">
        <f>'Tax Sched 23'!E14</f>
        <v>371675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3597142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165000</v>
      </c>
      <c r="C1939" s="2" t="s">
        <v>594</v>
      </c>
      <c r="D1939" s="2" t="str">
        <f t="shared" si="29"/>
        <v>Error?</v>
      </c>
    </row>
    <row r="1940" spans="1:5" x14ac:dyDescent="0.2">
      <c r="A1940" s="5">
        <v>1879</v>
      </c>
      <c r="B1940" s="138">
        <f>'Short-Term Long-Term Debt 24'!F49</f>
        <v>1500000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374382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374382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374382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15000</v>
      </c>
      <c r="D2008" s="2" t="str">
        <f t="shared" si="30"/>
        <v>Error?</v>
      </c>
    </row>
    <row r="2009" spans="1:4" x14ac:dyDescent="0.2">
      <c r="A2009" s="5">
        <v>1948</v>
      </c>
      <c r="B2009" s="138">
        <f>'Cap Outlay Deprec 26'!C8</f>
        <v>3161469</v>
      </c>
      <c r="D2009" s="2" t="str">
        <f t="shared" si="30"/>
        <v>Error?</v>
      </c>
    </row>
    <row r="2010" spans="1:4" x14ac:dyDescent="0.2">
      <c r="A2010" s="5">
        <v>1949</v>
      </c>
      <c r="B2010" s="138">
        <f>'Cap Outlay Deprec 26'!C10</f>
        <v>1598516</v>
      </c>
      <c r="D2010" s="2" t="str">
        <f t="shared" si="30"/>
        <v>Error?</v>
      </c>
    </row>
    <row r="2011" spans="1:4" x14ac:dyDescent="0.2">
      <c r="A2011" s="5">
        <v>1950</v>
      </c>
      <c r="B2011" s="138">
        <f>'Cap Outlay Deprec 26'!C12</f>
        <v>579730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5354715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480580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21504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502084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15000</v>
      </c>
      <c r="C2026" s="2" t="s">
        <v>594</v>
      </c>
      <c r="D2026" s="2" t="str">
        <f t="shared" si="30"/>
        <v>Error?</v>
      </c>
    </row>
    <row r="2027" spans="1:4" x14ac:dyDescent="0.2">
      <c r="A2027" s="5">
        <v>1966</v>
      </c>
      <c r="B2027" s="138">
        <f>'Cap Outlay Deprec 26'!F8</f>
        <v>3642049</v>
      </c>
      <c r="C2027" s="2" t="s">
        <v>594</v>
      </c>
      <c r="D2027" s="2" t="str">
        <f t="shared" si="30"/>
        <v>Error?</v>
      </c>
    </row>
    <row r="2028" spans="1:4" x14ac:dyDescent="0.2">
      <c r="A2028" s="5">
        <v>1967</v>
      </c>
      <c r="B2028" s="138">
        <f>'Cap Outlay Deprec 26'!F10</f>
        <v>1598516</v>
      </c>
      <c r="C2028" s="2" t="s">
        <v>594</v>
      </c>
      <c r="D2028" s="2" t="str">
        <f t="shared" si="30"/>
        <v>Error?</v>
      </c>
    </row>
    <row r="2029" spans="1:4" x14ac:dyDescent="0.2">
      <c r="A2029" s="5">
        <v>1968</v>
      </c>
      <c r="B2029" s="138">
        <f>'Cap Outlay Deprec 26'!F12</f>
        <v>601234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5856799</v>
      </c>
      <c r="C2031" s="2" t="s">
        <v>594</v>
      </c>
      <c r="D2031" s="2" t="str">
        <f t="shared" si="30"/>
        <v>Error?</v>
      </c>
    </row>
    <row r="2032" spans="1:4" x14ac:dyDescent="0.2">
      <c r="A2032" s="10">
        <v>1971</v>
      </c>
      <c r="D2032" s="2" t="str">
        <f t="shared" si="30"/>
        <v>OK</v>
      </c>
    </row>
    <row r="2033" spans="1:4" x14ac:dyDescent="0.2">
      <c r="A2033" s="5">
        <v>1972</v>
      </c>
      <c r="B2033" s="138">
        <f>'Cap Outlay Deprec 26'!H8</f>
        <v>2584166</v>
      </c>
      <c r="D2033" s="2" t="str">
        <f t="shared" si="30"/>
        <v>Error?</v>
      </c>
    </row>
    <row r="2034" spans="1:4" x14ac:dyDescent="0.2">
      <c r="A2034" s="5">
        <v>1973</v>
      </c>
      <c r="B2034" s="138">
        <f>'Cap Outlay Deprec 26'!H10</f>
        <v>783127</v>
      </c>
      <c r="D2034" s="2" t="str">
        <f t="shared" si="30"/>
        <v>Error?</v>
      </c>
    </row>
    <row r="2035" spans="1:4" x14ac:dyDescent="0.2">
      <c r="A2035" s="5">
        <v>1974</v>
      </c>
      <c r="B2035" s="138">
        <f>'Cap Outlay Deprec 26'!H12</f>
        <v>292362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3659655</v>
      </c>
      <c r="C2037" s="2" t="s">
        <v>594</v>
      </c>
      <c r="D2037" s="2" t="str">
        <f t="shared" si="30"/>
        <v>Error?</v>
      </c>
    </row>
    <row r="2038" spans="1:4" x14ac:dyDescent="0.2">
      <c r="A2038" s="10">
        <v>1977</v>
      </c>
      <c r="D2038" s="2" t="str">
        <f t="shared" si="30"/>
        <v>OK</v>
      </c>
    </row>
    <row r="2039" spans="1:4" x14ac:dyDescent="0.2">
      <c r="A2039" s="5">
        <v>1978</v>
      </c>
      <c r="B2039" s="138">
        <f>'Cap Outlay Deprec 26'!I8</f>
        <v>23073</v>
      </c>
      <c r="D2039" s="2" t="str">
        <f t="shared" si="30"/>
        <v>Error?</v>
      </c>
    </row>
    <row r="2040" spans="1:4" x14ac:dyDescent="0.2">
      <c r="A2040" s="5">
        <v>1979</v>
      </c>
      <c r="B2040" s="138">
        <f>'Cap Outlay Deprec 26'!I10</f>
        <v>56489</v>
      </c>
      <c r="D2040" s="2" t="str">
        <f t="shared" si="30"/>
        <v>Error?</v>
      </c>
    </row>
    <row r="2041" spans="1:4" x14ac:dyDescent="0.2">
      <c r="A2041" s="5">
        <v>1980</v>
      </c>
      <c r="B2041" s="138">
        <f>'Cap Outlay Deprec 26'!I12</f>
        <v>61306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140868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2607239</v>
      </c>
      <c r="C2051" s="2" t="s">
        <v>594</v>
      </c>
      <c r="D2051" s="2" t="str">
        <f t="shared" si="31"/>
        <v>Error?</v>
      </c>
    </row>
    <row r="2052" spans="1:4" x14ac:dyDescent="0.2">
      <c r="A2052" s="5">
        <v>1991</v>
      </c>
      <c r="B2052" s="138">
        <f>'Cap Outlay Deprec 26'!K10</f>
        <v>839616</v>
      </c>
      <c r="C2052" s="2" t="s">
        <v>594</v>
      </c>
      <c r="D2052" s="2" t="str">
        <f t="shared" si="31"/>
        <v>Error?</v>
      </c>
    </row>
    <row r="2053" spans="1:4" x14ac:dyDescent="0.2">
      <c r="A2053" s="5">
        <v>1992</v>
      </c>
      <c r="B2053" s="138">
        <f>'Cap Outlay Deprec 26'!K12</f>
        <v>353668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3800523</v>
      </c>
      <c r="C2055" s="2" t="s">
        <v>594</v>
      </c>
      <c r="D2055" s="2" t="str">
        <f t="shared" si="31"/>
        <v>Error?</v>
      </c>
    </row>
    <row r="2056" spans="1:4" x14ac:dyDescent="0.2">
      <c r="A2056" s="5">
        <v>1995</v>
      </c>
      <c r="B2056" s="138">
        <f>'Cap Outlay Deprec 26'!L5</f>
        <v>15000</v>
      </c>
      <c r="C2056" s="2" t="s">
        <v>594</v>
      </c>
      <c r="D2056" s="2" t="str">
        <f t="shared" si="31"/>
        <v>Error?</v>
      </c>
    </row>
    <row r="2057" spans="1:4" x14ac:dyDescent="0.2">
      <c r="A2057" s="5">
        <v>1996</v>
      </c>
      <c r="B2057" s="138">
        <f>'Cap Outlay Deprec 26'!L8</f>
        <v>1034810</v>
      </c>
      <c r="C2057" s="2" t="s">
        <v>594</v>
      </c>
      <c r="D2057" s="2" t="str">
        <f t="shared" si="31"/>
        <v>Error?</v>
      </c>
    </row>
    <row r="2058" spans="1:4" x14ac:dyDescent="0.2">
      <c r="A2058" s="5">
        <v>1997</v>
      </c>
      <c r="B2058" s="138">
        <f>'Cap Outlay Deprec 26'!L10</f>
        <v>758900</v>
      </c>
      <c r="C2058" s="2" t="s">
        <v>594</v>
      </c>
      <c r="D2058" s="2" t="str">
        <f t="shared" si="31"/>
        <v>Error?</v>
      </c>
    </row>
    <row r="2059" spans="1:4" x14ac:dyDescent="0.2">
      <c r="A2059" s="5">
        <v>1998</v>
      </c>
      <c r="B2059" s="138">
        <f>'Cap Outlay Deprec 26'!L12</f>
        <v>247566</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2056276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424619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612274</v>
      </c>
      <c r="C2088" s="2" t="s">
        <v>594</v>
      </c>
      <c r="D2088" s="2" t="str">
        <f t="shared" si="31"/>
        <v>Error?</v>
      </c>
    </row>
    <row r="2089" spans="1:4" x14ac:dyDescent="0.2">
      <c r="A2089" s="5">
        <v>2028</v>
      </c>
      <c r="B2089" s="138">
        <f>'Expenditures 15-22'!K92</f>
        <v>8024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5053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2977805</v>
      </c>
      <c r="C2551" s="2" t="s">
        <v>594</v>
      </c>
      <c r="D2551" s="2" t="str">
        <f t="shared" si="38"/>
        <v>Error?</v>
      </c>
    </row>
    <row r="2552" spans="1:4" x14ac:dyDescent="0.2">
      <c r="A2552" s="10">
        <v>2491</v>
      </c>
      <c r="D2552" s="2" t="str">
        <f t="shared" si="38"/>
        <v>OK</v>
      </c>
    </row>
    <row r="2553" spans="1:4" x14ac:dyDescent="0.2">
      <c r="A2553" s="5">
        <v>2492</v>
      </c>
      <c r="B2553" s="138">
        <f>'Acct Summary 7-8'!C6</f>
        <v>1631660</v>
      </c>
      <c r="C2553" s="2" t="s">
        <v>594</v>
      </c>
      <c r="D2553" s="2" t="str">
        <f t="shared" si="38"/>
        <v>Error?</v>
      </c>
    </row>
    <row r="2554" spans="1:4" x14ac:dyDescent="0.2">
      <c r="A2554" s="5">
        <v>2493</v>
      </c>
      <c r="B2554" s="138">
        <f>'Acct Summary 7-8'!C7</f>
        <v>407709</v>
      </c>
      <c r="C2554" s="2" t="s">
        <v>594</v>
      </c>
      <c r="D2554" s="2" t="str">
        <f t="shared" si="38"/>
        <v>Error?</v>
      </c>
    </row>
    <row r="2555" spans="1:4" x14ac:dyDescent="0.2">
      <c r="A2555" s="5">
        <v>2494</v>
      </c>
      <c r="B2555" s="138">
        <f>'Acct Summary 7-8'!C8</f>
        <v>5017174</v>
      </c>
      <c r="C2555" s="2" t="s">
        <v>594</v>
      </c>
      <c r="D2555" s="2" t="str">
        <f t="shared" si="38"/>
        <v>Error?</v>
      </c>
    </row>
    <row r="2556" spans="1:4" x14ac:dyDescent="0.2">
      <c r="A2556" s="5">
        <v>2495</v>
      </c>
      <c r="B2556" s="138">
        <f>'Acct Summary 7-8'!C12</f>
        <v>3308791</v>
      </c>
      <c r="C2556" s="2" t="s">
        <v>594</v>
      </c>
      <c r="D2556" s="2" t="str">
        <f t="shared" si="38"/>
        <v>Error?</v>
      </c>
    </row>
    <row r="2557" spans="1:4" x14ac:dyDescent="0.2">
      <c r="A2557" s="5">
        <v>2496</v>
      </c>
      <c r="B2557" s="138">
        <f>'Acct Summary 7-8'!C13</f>
        <v>920783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620298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4849872</v>
      </c>
      <c r="C2561" s="2" t="s">
        <v>594</v>
      </c>
      <c r="D2561" s="2" t="str">
        <f t="shared" si="39"/>
        <v>Error?</v>
      </c>
    </row>
    <row r="2562" spans="1:4" x14ac:dyDescent="0.2">
      <c r="A2562" s="5">
        <v>2501</v>
      </c>
      <c r="B2562" s="138">
        <f>'Acct Summary 7-8'!C20</f>
        <v>167302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403310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403310</v>
      </c>
      <c r="C2568" s="2" t="s">
        <v>594</v>
      </c>
      <c r="D2568" s="2" t="str">
        <f t="shared" si="39"/>
        <v>Error?</v>
      </c>
    </row>
    <row r="2569" spans="1:4" x14ac:dyDescent="0.2">
      <c r="A2569" s="5">
        <v>2508</v>
      </c>
      <c r="B2569" s="138">
        <f>'Acct Summary 7-8'!D13</f>
        <v>396029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396029</v>
      </c>
      <c r="C2573" s="2" t="s">
        <v>594</v>
      </c>
      <c r="D2573" s="2" t="str">
        <f t="shared" si="39"/>
        <v>Error?</v>
      </c>
    </row>
    <row r="2574" spans="1:4" x14ac:dyDescent="0.2">
      <c r="A2574" s="5">
        <v>2513</v>
      </c>
      <c r="B2574" s="138">
        <f>'Acct Summary 7-8'!D20</f>
        <v>7281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286533</v>
      </c>
      <c r="C2591" s="2" t="s">
        <v>594</v>
      </c>
      <c r="D2591" s="2" t="str">
        <f t="shared" si="39"/>
        <v>Error?</v>
      </c>
    </row>
    <row r="2592" spans="1:4" x14ac:dyDescent="0.2">
      <c r="A2592" s="10">
        <v>2531</v>
      </c>
      <c r="D2592" s="2" t="str">
        <f t="shared" si="39"/>
        <v>OK</v>
      </c>
    </row>
    <row r="2593" spans="1:4" x14ac:dyDescent="0.2">
      <c r="A2593" s="5">
        <v>2532</v>
      </c>
      <c r="B2593" s="138">
        <f>'Acct Summary 7-8'!F6</f>
        <v>488208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774741</v>
      </c>
      <c r="C2595" s="2" t="s">
        <v>594</v>
      </c>
      <c r="D2595" s="2" t="str">
        <f t="shared" si="39"/>
        <v>Error?</v>
      </c>
    </row>
    <row r="2596" spans="1:4" x14ac:dyDescent="0.2">
      <c r="A2596" s="5">
        <v>2535</v>
      </c>
      <c r="B2596" s="138">
        <f>'Acct Summary 7-8'!F13</f>
        <v>603304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603304</v>
      </c>
      <c r="C2600" s="2" t="s">
        <v>594</v>
      </c>
      <c r="D2600" s="2" t="str">
        <f t="shared" si="39"/>
        <v>Error?</v>
      </c>
    </row>
    <row r="2601" spans="1:4" x14ac:dyDescent="0.2">
      <c r="A2601" s="5">
        <v>2540</v>
      </c>
      <c r="B2601" s="138">
        <f>'Acct Summary 7-8'!F20</f>
        <v>171437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121148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121148</v>
      </c>
      <c r="C2606" s="2" t="s">
        <v>594</v>
      </c>
      <c r="D2606" s="2" t="str">
        <f t="shared" si="39"/>
        <v>Error?</v>
      </c>
    </row>
    <row r="2607" spans="1:4" x14ac:dyDescent="0.2">
      <c r="A2607" s="5">
        <v>2546</v>
      </c>
      <c r="B2607" s="138">
        <f>'Acct Summary 7-8'!G12</f>
        <v>84724</v>
      </c>
      <c r="C2607" s="2" t="s">
        <v>594</v>
      </c>
      <c r="D2607" s="2" t="str">
        <f t="shared" si="39"/>
        <v>Error?</v>
      </c>
    </row>
    <row r="2608" spans="1:4" x14ac:dyDescent="0.2">
      <c r="A2608" s="5">
        <v>2547</v>
      </c>
      <c r="B2608" s="138">
        <f>'Acct Summary 7-8'!G13</f>
        <v>78244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162968</v>
      </c>
      <c r="C2612" s="2" t="s">
        <v>594</v>
      </c>
      <c r="D2612" s="2" t="str">
        <f t="shared" si="39"/>
        <v>Error?</v>
      </c>
    </row>
    <row r="2613" spans="1:4" x14ac:dyDescent="0.2">
      <c r="A2613" s="5">
        <v>2552</v>
      </c>
      <c r="B2613" s="138">
        <f>'Acct Summary 7-8'!G20</f>
        <v>-41820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31828</v>
      </c>
      <c r="C2634" s="2" t="s">
        <v>594</v>
      </c>
      <c r="D2634" s="2" t="str">
        <f t="shared" si="40"/>
        <v>Error?</v>
      </c>
    </row>
    <row r="2635" spans="1:4" x14ac:dyDescent="0.2">
      <c r="A2635" s="5">
        <v>2574</v>
      </c>
      <c r="B2635" s="138">
        <f>'Acct Summary 7-8'!E17</f>
        <v>31828</v>
      </c>
      <c r="C2635" s="2" t="s">
        <v>594</v>
      </c>
      <c r="D2635" s="2" t="str">
        <f t="shared" si="40"/>
        <v>Error?</v>
      </c>
    </row>
    <row r="2636" spans="1:4" x14ac:dyDescent="0.2">
      <c r="A2636" s="5">
        <v>2575</v>
      </c>
      <c r="B2636" s="138">
        <f>'Acct Summary 7-8'!E20</f>
        <v>-31828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248985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248985</v>
      </c>
      <c r="C2658" s="2" t="s">
        <v>594</v>
      </c>
      <c r="D2658" s="2" t="str">
        <f t="shared" si="40"/>
        <v>Error?</v>
      </c>
    </row>
    <row r="2659" spans="1:4" x14ac:dyDescent="0.2">
      <c r="A2659" s="5">
        <v>2598</v>
      </c>
      <c r="B2659" s="138">
        <f>'Acct Summary 7-8'!H13</f>
        <v>145263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145263</v>
      </c>
      <c r="C2661" s="2" t="s">
        <v>594</v>
      </c>
      <c r="D2661" s="2" t="str">
        <f t="shared" si="40"/>
        <v>Error?</v>
      </c>
    </row>
    <row r="2662" spans="1:4" x14ac:dyDescent="0.2">
      <c r="A2662" s="5">
        <v>2601</v>
      </c>
      <c r="B2662" s="138">
        <f>'Acct Summary 7-8'!H20</f>
        <v>103722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187655</v>
      </c>
      <c r="C2789" s="2" t="s">
        <v>594</v>
      </c>
      <c r="D2789" s="2" t="str">
        <f t="shared" si="42"/>
        <v>Error?</v>
      </c>
    </row>
    <row r="2790" spans="1:4" x14ac:dyDescent="0.2">
      <c r="A2790" s="5">
        <v>2729</v>
      </c>
      <c r="B2790" s="138">
        <f>'Expenditures 15-22'!E102</f>
        <v>187655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260241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87285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260241</v>
      </c>
      <c r="D2912" s="2" t="str">
        <f t="shared" si="44"/>
        <v>Error?</v>
      </c>
    </row>
    <row r="2913" spans="1:4" x14ac:dyDescent="0.2">
      <c r="A2913" s="5">
        <v>2852</v>
      </c>
      <c r="B2913" s="138">
        <f>'Assets-Liab 5-6'!I41</f>
        <v>260241</v>
      </c>
      <c r="C2913" s="2" t="s">
        <v>594</v>
      </c>
      <c r="D2913" s="2" t="str">
        <f t="shared" si="44"/>
        <v>Error?</v>
      </c>
    </row>
    <row r="2914" spans="1:4" x14ac:dyDescent="0.2">
      <c r="A2914" s="5">
        <v>2853</v>
      </c>
      <c r="B2914" s="138">
        <f>'Assets-Liab 5-6'!L33</f>
        <v>84285</v>
      </c>
      <c r="D2914" s="2" t="str">
        <f t="shared" si="44"/>
        <v>Error?</v>
      </c>
    </row>
    <row r="2915" spans="1:4" x14ac:dyDescent="0.2">
      <c r="A2915" s="10">
        <v>2854</v>
      </c>
      <c r="D2915" s="2" t="str">
        <f t="shared" si="44"/>
        <v>OK</v>
      </c>
    </row>
    <row r="2916" spans="1:4" x14ac:dyDescent="0.2">
      <c r="A2916" s="5">
        <v>2855</v>
      </c>
      <c r="B2916" s="138">
        <f>'Assets-Liab 5-6'!L34</f>
        <v>84285</v>
      </c>
      <c r="C2916" s="2" t="s">
        <v>594</v>
      </c>
      <c r="D2916" s="2" t="str">
        <f t="shared" si="44"/>
        <v>Error?</v>
      </c>
    </row>
    <row r="2917" spans="1:4" x14ac:dyDescent="0.2">
      <c r="A2917" s="5">
        <v>2856</v>
      </c>
      <c r="B2917" s="138">
        <f>'Assets-Liab 5-6'!L41</f>
        <v>87285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187655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424619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612274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67825</v>
      </c>
      <c r="D3055" s="2" t="str">
        <f t="shared" si="46"/>
        <v>Error?</v>
      </c>
    </row>
    <row r="3056" spans="1:4" x14ac:dyDescent="0.2">
      <c r="A3056" s="5">
        <v>2995</v>
      </c>
      <c r="B3056" s="138">
        <f>'Expenditures 15-22'!D10</f>
        <v>18156</v>
      </c>
      <c r="D3056" s="2" t="str">
        <f t="shared" si="46"/>
        <v>Error?</v>
      </c>
    </row>
    <row r="3057" spans="1:4" x14ac:dyDescent="0.2">
      <c r="A3057" s="5">
        <v>2996</v>
      </c>
      <c r="B3057" s="138">
        <f>'Expenditures 15-22'!E10</f>
        <v>6785</v>
      </c>
      <c r="D3057" s="2" t="str">
        <f t="shared" si="46"/>
        <v>Error?</v>
      </c>
    </row>
    <row r="3058" spans="1:4" x14ac:dyDescent="0.2">
      <c r="A3058" s="5">
        <v>2997</v>
      </c>
      <c r="B3058" s="138">
        <f>'Expenditures 15-22'!F10</f>
        <v>3791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96557</v>
      </c>
      <c r="C3062" s="2" t="s">
        <v>594</v>
      </c>
      <c r="D3062" s="2" t="str">
        <f t="shared" si="46"/>
        <v>Error?</v>
      </c>
    </row>
    <row r="3063" spans="1:4" x14ac:dyDescent="0.2">
      <c r="A3063" s="10">
        <v>3002</v>
      </c>
      <c r="D3063" s="2" t="str">
        <f t="shared" si="46"/>
        <v>OK</v>
      </c>
    </row>
    <row r="3064" spans="1:4" x14ac:dyDescent="0.2">
      <c r="A3064" s="5">
        <v>3003</v>
      </c>
      <c r="B3064" s="138">
        <f>'Expenditures 15-22'!D219</f>
        <v>3864</v>
      </c>
      <c r="D3064" s="2" t="str">
        <f t="shared" si="46"/>
        <v>Error?</v>
      </c>
    </row>
    <row r="3065" spans="1:4" x14ac:dyDescent="0.2">
      <c r="A3065" s="5">
        <v>3004</v>
      </c>
      <c r="B3065" s="138">
        <f>'Expenditures 15-22'!K219</f>
        <v>3864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3000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5923</v>
      </c>
      <c r="C3225" s="2" t="s">
        <v>594</v>
      </c>
      <c r="D3225" s="2" t="str">
        <f t="shared" si="49"/>
        <v>Error?</v>
      </c>
    </row>
    <row r="3226" spans="1:4" x14ac:dyDescent="0.2">
      <c r="A3226" s="5">
        <v>3165</v>
      </c>
      <c r="B3226" s="138">
        <f>'Acct Summary 7-8'!I8</f>
        <v>5923</v>
      </c>
      <c r="C3226" s="2" t="s">
        <v>594</v>
      </c>
      <c r="D3226" s="2" t="str">
        <f t="shared" si="49"/>
        <v>Error?</v>
      </c>
    </row>
    <row r="3227" spans="1:4" x14ac:dyDescent="0.2">
      <c r="A3227" s="5">
        <v>3166</v>
      </c>
      <c r="B3227" s="138">
        <f>'Acct Summary 7-8'!I20</f>
        <v>5923</v>
      </c>
      <c r="C3227" s="2" t="s">
        <v>594</v>
      </c>
      <c r="D3227" s="2" t="str">
        <f t="shared" si="49"/>
        <v>Error?</v>
      </c>
    </row>
    <row r="3228" spans="1:4" x14ac:dyDescent="0.2">
      <c r="A3228" s="5">
        <v>3167</v>
      </c>
      <c r="B3228" s="138">
        <f>'Acct Summary 7-8'!C43</f>
        <v>115000</v>
      </c>
      <c r="D3228" s="2" t="str">
        <f t="shared" si="49"/>
        <v>Error?</v>
      </c>
    </row>
    <row r="3229" spans="1:4" x14ac:dyDescent="0.2">
      <c r="A3229" s="5">
        <v>3168</v>
      </c>
      <c r="B3229" s="138">
        <f>'Acct Summary 7-8'!C44</f>
        <v>115000</v>
      </c>
      <c r="C3229" s="2" t="s">
        <v>594</v>
      </c>
      <c r="D3229" s="2" t="str">
        <f t="shared" si="49"/>
        <v>Error?</v>
      </c>
    </row>
    <row r="3230" spans="1:4" x14ac:dyDescent="0.2">
      <c r="A3230" s="5">
        <v>3169</v>
      </c>
      <c r="B3230" s="138">
        <f>'Acct Summary 7-8'!C75</f>
        <v>26528</v>
      </c>
      <c r="D3230" s="2" t="str">
        <f t="shared" si="49"/>
        <v>Error?</v>
      </c>
    </row>
    <row r="3231" spans="1:4" x14ac:dyDescent="0.2">
      <c r="A3231" s="5">
        <v>3170</v>
      </c>
      <c r="B3231" s="138">
        <f>'Acct Summary 7-8'!C76</f>
        <v>26528</v>
      </c>
      <c r="C3231" s="2" t="s">
        <v>594</v>
      </c>
      <c r="D3231" s="2" t="str">
        <f t="shared" si="49"/>
        <v>Error?</v>
      </c>
    </row>
    <row r="3232" spans="1:4" x14ac:dyDescent="0.2">
      <c r="A3232" s="5">
        <v>3171</v>
      </c>
      <c r="B3232" s="138">
        <f>'Acct Summary 7-8'!C77</f>
        <v>88472</v>
      </c>
      <c r="C3232" s="2" t="s">
        <v>594</v>
      </c>
      <c r="D3232" s="2" t="str">
        <f t="shared" si="49"/>
        <v>Error?</v>
      </c>
    </row>
    <row r="3233" spans="1:4" x14ac:dyDescent="0.2">
      <c r="A3233" s="5">
        <v>3172</v>
      </c>
      <c r="B3233" s="138">
        <f>'Acct Summary 7-8'!C78</f>
        <v>255774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31900</v>
      </c>
      <c r="D3236" s="2" t="str">
        <f t="shared" si="49"/>
        <v>Error?</v>
      </c>
    </row>
    <row r="3237" spans="1:4" x14ac:dyDescent="0.2">
      <c r="A3237" s="5">
        <v>3176</v>
      </c>
      <c r="B3237" s="138">
        <f>'Acct Summary 7-8'!D76</f>
        <v>31900</v>
      </c>
      <c r="C3237" s="2" t="s">
        <v>594</v>
      </c>
      <c r="D3237" s="2" t="str">
        <f t="shared" si="49"/>
        <v>Error?</v>
      </c>
    </row>
    <row r="3238" spans="1:4" x14ac:dyDescent="0.2">
      <c r="A3238" s="5">
        <v>3177</v>
      </c>
      <c r="B3238" s="138">
        <f>'Acct Summary 7-8'!D77</f>
        <v>-31900</v>
      </c>
      <c r="C3238" s="2" t="s">
        <v>594</v>
      </c>
      <c r="D3238" s="2" t="str">
        <f t="shared" si="49"/>
        <v>Error?</v>
      </c>
    </row>
    <row r="3239" spans="1:4" x14ac:dyDescent="0.2">
      <c r="A3239" s="5">
        <v>3178</v>
      </c>
      <c r="B3239" s="138">
        <f>'Acct Summary 7-8'!D78</f>
        <v>-24619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171437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-41820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31900</v>
      </c>
      <c r="D3273" s="2" t="str">
        <f t="shared" si="50"/>
        <v>Error?</v>
      </c>
    </row>
    <row r="3274" spans="1:4" x14ac:dyDescent="0.2">
      <c r="A3274" s="5">
        <v>3213</v>
      </c>
      <c r="B3274" s="138">
        <f>'Acct Summary 7-8'!E44</f>
        <v>31900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31900</v>
      </c>
      <c r="C3277" s="2" t="s">
        <v>594</v>
      </c>
      <c r="D3277" s="2" t="str">
        <f t="shared" si="50"/>
        <v>Error?</v>
      </c>
    </row>
    <row r="3278" spans="1:4" x14ac:dyDescent="0.2">
      <c r="A3278" s="5">
        <v>3217</v>
      </c>
      <c r="B3278" s="138">
        <f>'Acct Summary 7-8'!E78</f>
        <v>72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115000</v>
      </c>
      <c r="D3297" s="2" t="str">
        <f t="shared" si="50"/>
        <v>Error?</v>
      </c>
    </row>
    <row r="3298" spans="1:4" x14ac:dyDescent="0.2">
      <c r="A3298" s="5">
        <v>3237</v>
      </c>
      <c r="B3298" s="138">
        <f>'Acct Summary 7-8'!H76</f>
        <v>115000</v>
      </c>
      <c r="C3298" s="2" t="s">
        <v>594</v>
      </c>
      <c r="D3298" s="2" t="str">
        <f t="shared" si="50"/>
        <v>Error?</v>
      </c>
    </row>
    <row r="3299" spans="1:4" x14ac:dyDescent="0.2">
      <c r="A3299" s="5">
        <v>3238</v>
      </c>
      <c r="B3299" s="138">
        <f>'Acct Summary 7-8'!H77</f>
        <v>-115000</v>
      </c>
      <c r="C3299" s="2" t="s">
        <v>594</v>
      </c>
      <c r="D3299" s="2" t="str">
        <f t="shared" si="50"/>
        <v>Error?</v>
      </c>
    </row>
    <row r="3300" spans="1:4" x14ac:dyDescent="0.2">
      <c r="A3300" s="5">
        <v>3239</v>
      </c>
      <c r="B3300" s="138">
        <f>'Acct Summary 7-8'!H78</f>
        <v>-11278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5923</v>
      </c>
      <c r="C3320" s="2" t="s">
        <v>594</v>
      </c>
      <c r="D3320" s="2" t="str">
        <f t="shared" si="50"/>
        <v>Error?</v>
      </c>
    </row>
    <row r="3321" spans="1:4" x14ac:dyDescent="0.2">
      <c r="A3321" s="5">
        <v>3260</v>
      </c>
      <c r="B3321" s="138">
        <f>'Acct Summary 7-8'!I79</f>
        <v>254318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260241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591520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93717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37636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2000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727898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22133</v>
      </c>
      <c r="D3387" s="2" t="str">
        <f t="shared" si="51"/>
        <v>Error?</v>
      </c>
    </row>
    <row r="3388" spans="1:4" x14ac:dyDescent="0.2">
      <c r="A3388" s="5">
        <v>3327</v>
      </c>
      <c r="B3388" s="138">
        <f>'Expenditures 15-22'!D217</f>
        <v>47545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22133</v>
      </c>
      <c r="C3390" s="2" t="s">
        <v>594</v>
      </c>
      <c r="D3390" s="2" t="str">
        <f t="shared" si="51"/>
        <v>Error?</v>
      </c>
    </row>
    <row r="3391" spans="1:4" x14ac:dyDescent="0.2">
      <c r="A3391" s="5">
        <v>3330</v>
      </c>
      <c r="B3391" s="138">
        <f>'Expenditures 15-22'!K217</f>
        <v>47545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877874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346540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2485</v>
      </c>
      <c r="D3417" s="2" t="str">
        <f t="shared" si="52"/>
        <v>Error?</v>
      </c>
    </row>
    <row r="3418" spans="1:4" x14ac:dyDescent="0.2">
      <c r="A3418" s="10">
        <v>3357</v>
      </c>
      <c r="D3418" s="2" t="str">
        <f t="shared" si="52"/>
        <v>OK</v>
      </c>
    </row>
    <row r="3419" spans="1:4" x14ac:dyDescent="0.2">
      <c r="A3419" s="5">
        <v>3358</v>
      </c>
      <c r="B3419" s="138">
        <f>'Assets-Liab 5-6'!F4</f>
        <v>439890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45751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204069</v>
      </c>
      <c r="D3425" s="2" t="str">
        <f t="shared" si="52"/>
        <v>Error?</v>
      </c>
    </row>
    <row r="3426" spans="1:4" x14ac:dyDescent="0.2">
      <c r="A3426" s="10">
        <v>3365</v>
      </c>
      <c r="D3426" s="2" t="str">
        <f t="shared" si="52"/>
        <v>OK</v>
      </c>
    </row>
    <row r="3427" spans="1:4" x14ac:dyDescent="0.2">
      <c r="A3427" s="5">
        <v>3366</v>
      </c>
      <c r="B3427" s="138">
        <f>'Assets-Liab 5-6'!I4</f>
        <v>260241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87285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60048</v>
      </c>
      <c r="C3446" s="2" t="s">
        <v>594</v>
      </c>
      <c r="D3446" s="2" t="str">
        <f t="shared" si="52"/>
        <v>Error?</v>
      </c>
    </row>
    <row r="3447" spans="1:4" x14ac:dyDescent="0.2">
      <c r="A3447" s="5">
        <v>3386</v>
      </c>
      <c r="B3447" s="138">
        <f>'Tax Sched 23'!D16</f>
        <v>60048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74343</v>
      </c>
      <c r="C3449" s="2" t="s">
        <v>594</v>
      </c>
      <c r="D3449" s="2" t="str">
        <f t="shared" si="52"/>
        <v>Error?</v>
      </c>
    </row>
    <row r="3450" spans="1:4" x14ac:dyDescent="0.2">
      <c r="A3450" s="5">
        <v>3389</v>
      </c>
      <c r="B3450" s="138">
        <f>'Tax Sched 23'!E16</f>
        <v>74343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1203350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1203350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1203350</v>
      </c>
      <c r="D3567" s="2" t="str">
        <f t="shared" si="54"/>
        <v>Error?</v>
      </c>
    </row>
    <row r="3568" spans="1:4" x14ac:dyDescent="0.2">
      <c r="A3568" s="5">
        <v>3507</v>
      </c>
      <c r="B3568" s="138">
        <f>'Assets-Liab 5-6'!K41</f>
        <v>1203350</v>
      </c>
      <c r="C3568" s="2" t="s">
        <v>594</v>
      </c>
      <c r="D3568" s="2" t="str">
        <f t="shared" si="54"/>
        <v>Error?</v>
      </c>
    </row>
    <row r="3569" spans="1:4" x14ac:dyDescent="0.2">
      <c r="A3569" s="5">
        <v>3508</v>
      </c>
      <c r="B3569" s="138">
        <f>'Acct Summary 7-8'!K4</f>
        <v>3063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3063</v>
      </c>
      <c r="C3571" s="2" t="s">
        <v>594</v>
      </c>
      <c r="D3571" s="2" t="str">
        <f t="shared" si="54"/>
        <v>Error?</v>
      </c>
    </row>
    <row r="3572" spans="1:4" x14ac:dyDescent="0.2">
      <c r="A3572" s="5">
        <v>3511</v>
      </c>
      <c r="B3572" s="138">
        <f>'Acct Summary 7-8'!K13</f>
        <v>384083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384083</v>
      </c>
      <c r="C3575" s="2" t="s">
        <v>594</v>
      </c>
      <c r="D3575" s="2" t="str">
        <f t="shared" si="54"/>
        <v>Error?</v>
      </c>
    </row>
    <row r="3576" spans="1:4" x14ac:dyDescent="0.2">
      <c r="A3576" s="5">
        <v>3515</v>
      </c>
      <c r="B3576" s="138">
        <f>'Acct Summary 7-8'!K20</f>
        <v>-381020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1500000</v>
      </c>
      <c r="D3579" s="2" t="str">
        <f t="shared" si="54"/>
        <v>Error?</v>
      </c>
    </row>
    <row r="3580" spans="1:4" x14ac:dyDescent="0.2">
      <c r="A3580" s="5">
        <v>3519</v>
      </c>
      <c r="B3580" s="138">
        <f>'Acct Summary 7-8'!K34</f>
        <v>27615</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1527615</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1527615</v>
      </c>
      <c r="C3587" s="2" t="s">
        <v>594</v>
      </c>
      <c r="D3587" s="2" t="str">
        <f t="shared" si="55"/>
        <v>Error?</v>
      </c>
    </row>
    <row r="3588" spans="1:4" x14ac:dyDescent="0.2">
      <c r="A3588" s="5">
        <v>3527</v>
      </c>
      <c r="B3588" s="138">
        <f>'Acct Summary 7-8'!K78</f>
        <v>1146595</v>
      </c>
      <c r="C3588" s="2" t="s">
        <v>594</v>
      </c>
      <c r="D3588" s="2" t="str">
        <f t="shared" si="55"/>
        <v>Error?</v>
      </c>
    </row>
    <row r="3589" spans="1:4" x14ac:dyDescent="0.2">
      <c r="A3589" s="5">
        <v>3528</v>
      </c>
      <c r="B3589" s="138">
        <f>'Acct Summary 7-8'!K79</f>
        <v>56755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1203350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357183</v>
      </c>
      <c r="D3639" s="2" t="str">
        <f t="shared" si="55"/>
        <v>Error?</v>
      </c>
    </row>
    <row r="3640" spans="1:4" x14ac:dyDescent="0.2">
      <c r="A3640" s="5">
        <v>3579</v>
      </c>
      <c r="B3640" s="138">
        <f>'Expenditures 15-22'!F350</f>
        <v>357183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357183</v>
      </c>
      <c r="C3642" s="2" t="s">
        <v>594</v>
      </c>
      <c r="D3642" s="2" t="str">
        <f t="shared" si="55"/>
        <v>Error?</v>
      </c>
    </row>
    <row r="3643" spans="1:4" x14ac:dyDescent="0.2">
      <c r="A3643" s="5">
        <v>3582</v>
      </c>
      <c r="B3643" s="138">
        <f>'Expenditures 15-22'!F367</f>
        <v>357183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26900</v>
      </c>
      <c r="D3653" s="2" t="str">
        <f t="shared" si="56"/>
        <v>Error?</v>
      </c>
    </row>
    <row r="3654" spans="1:4" x14ac:dyDescent="0.2">
      <c r="A3654" s="5">
        <v>3593</v>
      </c>
      <c r="B3654" s="138">
        <f>'Expenditures 15-22'!H350</f>
        <v>26900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26900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26900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384083</v>
      </c>
      <c r="C3669" s="2" t="s">
        <v>594</v>
      </c>
      <c r="D3669" s="2" t="str">
        <f t="shared" si="56"/>
        <v>Error?</v>
      </c>
    </row>
    <row r="3670" spans="1:4" x14ac:dyDescent="0.2">
      <c r="A3670" s="5">
        <v>3609</v>
      </c>
      <c r="B3670" s="138">
        <f>'Expenditures 15-22'!K350</f>
        <v>384083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384083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384083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-381020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46042</v>
      </c>
      <c r="C3725" s="2" t="s">
        <v>594</v>
      </c>
      <c r="D3725" s="2" t="str">
        <f t="shared" si="57"/>
        <v>Error?</v>
      </c>
    </row>
    <row r="3726" spans="1:4" x14ac:dyDescent="0.2">
      <c r="A3726" s="5">
        <v>3665</v>
      </c>
      <c r="B3726" s="138">
        <f>'Tax Sched 23'!D13</f>
        <v>46042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47576</v>
      </c>
      <c r="C3728" s="2" t="s">
        <v>594</v>
      </c>
      <c r="D3728" s="2" t="str">
        <f t="shared" si="57"/>
        <v>Error?</v>
      </c>
    </row>
    <row r="3729" spans="1:4" x14ac:dyDescent="0.2">
      <c r="A3729" s="5">
        <v>3668</v>
      </c>
      <c r="B3729" s="138">
        <f>'Tax Sched 23'!E13</f>
        <v>47576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1831094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6848268</v>
      </c>
      <c r="C4122" s="2" t="s">
        <v>594</v>
      </c>
      <c r="D4122" s="2" t="str">
        <f t="shared" si="63"/>
        <v>Error?</v>
      </c>
    </row>
    <row r="4123" spans="1:4" x14ac:dyDescent="0.2">
      <c r="A4123" s="5">
        <v>4062</v>
      </c>
      <c r="B4123" s="138">
        <f>'Acct Summary 7-8'!D10</f>
        <v>403310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774741</v>
      </c>
      <c r="C4125" s="2" t="s">
        <v>594</v>
      </c>
      <c r="D4125" s="2" t="str">
        <f t="shared" si="63"/>
        <v>Error?</v>
      </c>
    </row>
    <row r="4126" spans="1:4" x14ac:dyDescent="0.2">
      <c r="A4126" s="5">
        <v>4065</v>
      </c>
      <c r="B4126" s="138">
        <f>'Acct Summary 7-8'!G10</f>
        <v>121148</v>
      </c>
      <c r="C4126" s="2" t="s">
        <v>594</v>
      </c>
      <c r="D4126" s="2" t="str">
        <f t="shared" si="63"/>
        <v>Error?</v>
      </c>
    </row>
    <row r="4127" spans="1:4" x14ac:dyDescent="0.2">
      <c r="A4127" s="5">
        <v>4066</v>
      </c>
      <c r="B4127" s="138">
        <f>'Acct Summary 7-8'!H10</f>
        <v>248985</v>
      </c>
      <c r="C4127" s="2" t="s">
        <v>594</v>
      </c>
      <c r="D4127" s="2" t="str">
        <f t="shared" si="63"/>
        <v>Error?</v>
      </c>
    </row>
    <row r="4128" spans="1:4" x14ac:dyDescent="0.2">
      <c r="A4128" s="5">
        <v>4067</v>
      </c>
      <c r="B4128" s="138">
        <f>'Acct Summary 7-8'!I10</f>
        <v>5923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3063</v>
      </c>
      <c r="C4130" s="2" t="s">
        <v>594</v>
      </c>
      <c r="D4130" s="2" t="str">
        <f t="shared" si="63"/>
        <v>Error?</v>
      </c>
    </row>
    <row r="4131" spans="1:4" x14ac:dyDescent="0.2">
      <c r="A4131" s="5">
        <v>4070</v>
      </c>
      <c r="B4131" s="138">
        <f>'Acct Summary 7-8'!C18</f>
        <v>1831094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6680966</v>
      </c>
      <c r="C4136" s="2" t="s">
        <v>594</v>
      </c>
      <c r="D4136" s="2" t="str">
        <f t="shared" si="63"/>
        <v>Error?</v>
      </c>
    </row>
    <row r="4137" spans="1:4" x14ac:dyDescent="0.2">
      <c r="A4137" s="5">
        <v>4076</v>
      </c>
      <c r="B4137" s="138">
        <f>'Acct Summary 7-8'!D19</f>
        <v>396029</v>
      </c>
      <c r="C4137" s="2" t="s">
        <v>594</v>
      </c>
      <c r="D4137" s="2" t="str">
        <f t="shared" si="63"/>
        <v>Error?</v>
      </c>
    </row>
    <row r="4138" spans="1:4" x14ac:dyDescent="0.2">
      <c r="A4138" s="5">
        <v>4077</v>
      </c>
      <c r="B4138" s="138">
        <f>'Acct Summary 7-8'!E19</f>
        <v>31828</v>
      </c>
      <c r="C4138" s="2" t="s">
        <v>594</v>
      </c>
      <c r="D4138" s="2" t="str">
        <f t="shared" si="63"/>
        <v>Error?</v>
      </c>
    </row>
    <row r="4139" spans="1:4" x14ac:dyDescent="0.2">
      <c r="A4139" s="5">
        <v>4078</v>
      </c>
      <c r="B4139" s="138">
        <f>'Acct Summary 7-8'!F19</f>
        <v>603304</v>
      </c>
      <c r="C4139" s="2" t="s">
        <v>594</v>
      </c>
      <c r="D4139" s="2" t="str">
        <f t="shared" si="63"/>
        <v>Error?</v>
      </c>
    </row>
    <row r="4140" spans="1:4" x14ac:dyDescent="0.2">
      <c r="A4140" s="5">
        <v>4079</v>
      </c>
      <c r="B4140" s="138">
        <f>'Acct Summary 7-8'!G19</f>
        <v>162968</v>
      </c>
      <c r="C4140" s="2" t="s">
        <v>594</v>
      </c>
      <c r="D4140" s="2" t="str">
        <f t="shared" si="63"/>
        <v>Error?</v>
      </c>
    </row>
    <row r="4141" spans="1:4" x14ac:dyDescent="0.2">
      <c r="A4141" s="5">
        <v>4080</v>
      </c>
      <c r="B4141" s="138">
        <f>'Acct Summary 7-8'!H19</f>
        <v>145263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384083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1640000</v>
      </c>
      <c r="C4171" s="2" t="s">
        <v>594</v>
      </c>
      <c r="D4171" s="2" t="str">
        <f t="shared" si="64"/>
        <v>Error?</v>
      </c>
    </row>
    <row r="4172" spans="1:4" x14ac:dyDescent="0.2">
      <c r="A4172" s="5">
        <v>4111</v>
      </c>
      <c r="B4172" s="138">
        <f>'Short-Term Long-Term Debt 24'!J49</f>
        <v>1637515</v>
      </c>
      <c r="C4172" s="2" t="s">
        <v>594</v>
      </c>
      <c r="D4172" s="2" t="str">
        <f t="shared" si="64"/>
        <v>Error?</v>
      </c>
    </row>
    <row r="4173" spans="1:4" x14ac:dyDescent="0.2">
      <c r="A4173" s="5">
        <v>4112</v>
      </c>
      <c r="B4173" s="138">
        <f>'Short-Term Long-Term Debt 24'!H49</f>
        <v>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3928.2999999999997</v>
      </c>
      <c r="C4265" s="2" t="s">
        <v>594</v>
      </c>
      <c r="D4265" s="2" t="str">
        <f t="shared" si="65"/>
        <v>Error?</v>
      </c>
      <c r="E4265" s="128"/>
    </row>
    <row r="4266" spans="1:5" x14ac:dyDescent="0.2">
      <c r="A4266" s="12">
        <v>4205</v>
      </c>
      <c r="B4266" s="138">
        <f>('FP Info 3'!F10)*100000</f>
        <v>709.88</v>
      </c>
      <c r="C4266" s="2" t="s">
        <v>594</v>
      </c>
      <c r="D4266" s="2" t="str">
        <f t="shared" si="65"/>
        <v>Error?</v>
      </c>
      <c r="E4266" s="128"/>
    </row>
    <row r="4267" spans="1:5" x14ac:dyDescent="0.2">
      <c r="A4267" s="12">
        <v>4206</v>
      </c>
      <c r="B4267" s="138">
        <f>('FP Info 3'!H10)*100000</f>
        <v>606.74</v>
      </c>
      <c r="C4267" s="2" t="s">
        <v>594</v>
      </c>
      <c r="D4267" s="2" t="str">
        <f t="shared" si="65"/>
        <v>Error?</v>
      </c>
      <c r="E4267" s="128"/>
    </row>
    <row r="4268" spans="1:5" x14ac:dyDescent="0.2">
      <c r="A4268" s="12">
        <v>4207</v>
      </c>
      <c r="B4268" s="138">
        <f>('FP Info 3'!J10)*100000</f>
        <v>5245</v>
      </c>
      <c r="C4268" s="2" t="s">
        <v>594</v>
      </c>
      <c r="D4268" s="2" t="str">
        <f t="shared" si="65"/>
        <v>Error?</v>
      </c>
    </row>
    <row r="4269" spans="1:5" x14ac:dyDescent="0.2">
      <c r="A4269" s="12">
        <v>4208</v>
      </c>
      <c r="B4269" s="138">
        <f>'FP Info 3'!J16</f>
        <v>1924545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11057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55037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28485</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28485</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19463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8.2999999999999989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49006495</v>
      </c>
      <c r="D4995" s="2" t="str">
        <f t="shared" si="77"/>
        <v>Error?</v>
      </c>
    </row>
    <row r="4996" spans="1:4" x14ac:dyDescent="0.2">
      <c r="A4996" s="12">
        <v>4935</v>
      </c>
      <c r="B4996" s="138">
        <f>'FP Info 3'!H31</f>
        <v>6762896.3100000005</v>
      </c>
      <c r="D4996" s="2" t="str">
        <f t="shared" si="77"/>
        <v>Error?</v>
      </c>
    </row>
    <row r="4997" spans="1:4" x14ac:dyDescent="0.2">
      <c r="A4997" s="12">
        <v>4936</v>
      </c>
      <c r="B4997" s="138">
        <f>'FP Info 3'!H37</f>
        <v>1640000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46042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1896762</v>
      </c>
      <c r="D5061" s="2" t="str">
        <f t="shared" si="78"/>
        <v>Error?</v>
      </c>
    </row>
    <row r="5062" spans="1:4" x14ac:dyDescent="0.2">
      <c r="A5062" s="10">
        <v>5001</v>
      </c>
      <c r="D5062" s="2" t="str">
        <f t="shared" si="78"/>
        <v>OK</v>
      </c>
    </row>
    <row r="5063" spans="1:4" x14ac:dyDescent="0.2">
      <c r="A5063" s="5">
        <v>5002</v>
      </c>
      <c r="B5063" s="138">
        <f>'Revenues 9-14'!C7</f>
        <v>374382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2317186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444682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444682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5936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5936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8182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4395</v>
      </c>
      <c r="D5094" s="2" t="str">
        <f t="shared" si="78"/>
        <v>Error?</v>
      </c>
    </row>
    <row r="5095" spans="1:4" x14ac:dyDescent="0.2">
      <c r="A5095" s="5">
        <v>5034</v>
      </c>
      <c r="B5095" s="138">
        <f>'Revenues 9-14'!C74</f>
        <v>500</v>
      </c>
      <c r="D5095" s="2" t="str">
        <f t="shared" si="78"/>
        <v>Error?</v>
      </c>
    </row>
    <row r="5096" spans="1:4" x14ac:dyDescent="0.2">
      <c r="A5096" s="5">
        <v>5035</v>
      </c>
      <c r="B5096" s="138">
        <f>'Revenues 9-14'!C75</f>
        <v>13077</v>
      </c>
      <c r="C5096" s="2" t="s">
        <v>594</v>
      </c>
      <c r="D5096" s="2" t="str">
        <f t="shared" si="78"/>
        <v>Error?</v>
      </c>
    </row>
    <row r="5097" spans="1:4" x14ac:dyDescent="0.2">
      <c r="A5097" s="5">
        <v>5036</v>
      </c>
      <c r="B5097" s="138">
        <f>'Revenues 9-14'!C77</f>
        <v>30118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67691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97809</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51237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12696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35182</v>
      </c>
      <c r="D5119" s="2" t="str">
        <f t="shared" ref="D5119:D5182" si="79">IF(ISBLANK(B5119),"OK",IF(A5119-B5119=0,"OK","Error?"))</f>
        <v>Error?</v>
      </c>
    </row>
    <row r="5120" spans="1:4" x14ac:dyDescent="0.2">
      <c r="A5120" s="5">
        <v>5059</v>
      </c>
      <c r="B5120" s="138">
        <f>'Revenues 9-14'!C108</f>
        <v>99115</v>
      </c>
      <c r="C5120" s="2" t="s">
        <v>594</v>
      </c>
      <c r="D5120" s="2" t="str">
        <f t="shared" si="79"/>
        <v>Error?</v>
      </c>
    </row>
    <row r="5121" spans="1:4" x14ac:dyDescent="0.2">
      <c r="A5121" s="5">
        <v>5060</v>
      </c>
      <c r="B5121" s="138">
        <f>'Revenues 9-14'!C109</f>
        <v>2977805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1350499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1350499</v>
      </c>
      <c r="C5132" s="2" t="s">
        <v>594</v>
      </c>
      <c r="D5132" s="2" t="str">
        <f t="shared" si="79"/>
        <v>Error?</v>
      </c>
    </row>
    <row r="5133" spans="1:4" x14ac:dyDescent="0.2">
      <c r="A5133" s="5">
        <v>5072</v>
      </c>
      <c r="B5133" s="138">
        <f>'Revenues 9-14'!C124</f>
        <v>36077</v>
      </c>
      <c r="D5133" s="2" t="str">
        <f t="shared" si="79"/>
        <v>Error?</v>
      </c>
    </row>
    <row r="5134" spans="1:4" x14ac:dyDescent="0.2">
      <c r="A5134" s="5">
        <v>5073</v>
      </c>
      <c r="B5134" s="138">
        <f>'Revenues 9-14'!C125</f>
        <v>35547</v>
      </c>
      <c r="D5134" s="2" t="str">
        <f t="shared" si="79"/>
        <v>Error?</v>
      </c>
    </row>
    <row r="5135" spans="1:4" x14ac:dyDescent="0.2">
      <c r="A5135" s="5">
        <v>5074</v>
      </c>
      <c r="B5135" s="138">
        <f>'Revenues 9-14'!C126</f>
        <v>59342</v>
      </c>
      <c r="D5135" s="2" t="str">
        <f t="shared" si="79"/>
        <v>Error?</v>
      </c>
    </row>
    <row r="5136" spans="1:4" x14ac:dyDescent="0.2">
      <c r="A5136" s="10">
        <v>5075</v>
      </c>
      <c r="D5136" s="2" t="str">
        <f t="shared" si="79"/>
        <v>OK</v>
      </c>
    </row>
    <row r="5137" spans="1:4" x14ac:dyDescent="0.2">
      <c r="A5137" s="5">
        <v>5076</v>
      </c>
      <c r="B5137" s="138">
        <f>'Revenues 9-14'!C127</f>
        <v>7560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2831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141357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11026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3235</v>
      </c>
      <c r="D5167" s="2" t="str">
        <f t="shared" si="79"/>
        <v>Error?</v>
      </c>
    </row>
    <row r="5168" spans="1:4" x14ac:dyDescent="0.2">
      <c r="A5168" s="5">
        <v>5107</v>
      </c>
      <c r="B5168" s="138">
        <f>'Revenues 9-14'!C147</f>
        <v>6547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117496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281161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1631660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162239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50286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212525</v>
      </c>
      <c r="C5246" s="2" t="s">
        <v>594</v>
      </c>
      <c r="D5246" s="2" t="str">
        <f t="shared" si="80"/>
        <v>Error?</v>
      </c>
    </row>
    <row r="5247" spans="1:4" x14ac:dyDescent="0.2">
      <c r="A5247" s="5">
        <v>5186</v>
      </c>
      <c r="B5247" s="138">
        <f>'Revenues 9-14'!C203</f>
        <v>81142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81142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407709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407709</v>
      </c>
      <c r="C5326" s="2" t="s">
        <v>594</v>
      </c>
      <c r="D5326" s="2" t="str">
        <f t="shared" si="82"/>
        <v>Error?</v>
      </c>
    </row>
    <row r="5327" spans="1:4" x14ac:dyDescent="0.2">
      <c r="A5327" s="5">
        <v>5266</v>
      </c>
      <c r="B5327" s="138">
        <f>'Revenues 9-14'!C275</f>
        <v>5017174</v>
      </c>
      <c r="C5327" s="2" t="s">
        <v>594</v>
      </c>
      <c r="D5327" s="2" t="str">
        <f t="shared" si="82"/>
        <v>Error?</v>
      </c>
    </row>
    <row r="5328" spans="1:4" x14ac:dyDescent="0.2">
      <c r="A5328" s="5">
        <v>5267</v>
      </c>
      <c r="B5328" s="138">
        <f>'Revenues 9-14'!D5</f>
        <v>350982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350982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43731</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43731</v>
      </c>
      <c r="C5339" s="2" t="s">
        <v>594</v>
      </c>
      <c r="D5339" s="2" t="str">
        <f t="shared" si="82"/>
        <v>Error?</v>
      </c>
    </row>
    <row r="5340" spans="1:4" x14ac:dyDescent="0.2">
      <c r="A5340" s="5">
        <v>5279</v>
      </c>
      <c r="B5340" s="138">
        <f>'Revenues 9-14'!D65</f>
        <v>1917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1917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6600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80</v>
      </c>
      <c r="D5354" s="2" t="str">
        <f t="shared" si="82"/>
        <v>Error?</v>
      </c>
    </row>
    <row r="5355" spans="1:4" x14ac:dyDescent="0.2">
      <c r="A5355" s="5">
        <v>5294</v>
      </c>
      <c r="B5355" s="138">
        <f>'Revenues 9-14'!D108</f>
        <v>6680</v>
      </c>
      <c r="C5355" s="2" t="s">
        <v>594</v>
      </c>
      <c r="D5355" s="2" t="str">
        <f t="shared" si="82"/>
        <v>Error?</v>
      </c>
    </row>
    <row r="5356" spans="1:4" x14ac:dyDescent="0.2">
      <c r="A5356" s="5">
        <v>5295</v>
      </c>
      <c r="B5356" s="138">
        <f>'Revenues 9-14'!D109</f>
        <v>403310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403310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280221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280221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5461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5461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851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851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286533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233427</v>
      </c>
      <c r="D5615" s="2" t="str">
        <f t="shared" si="86"/>
        <v>Error?</v>
      </c>
    </row>
    <row r="5616" spans="1:4" x14ac:dyDescent="0.2">
      <c r="A5616" s="10">
        <v>5555</v>
      </c>
      <c r="D5616" s="2" t="str">
        <f t="shared" si="86"/>
        <v>OK</v>
      </c>
    </row>
    <row r="5617" spans="1:4" x14ac:dyDescent="0.2">
      <c r="A5617" s="5">
        <v>5556</v>
      </c>
      <c r="B5617" s="138">
        <f>'Revenues 9-14'!F152</f>
        <v>237213</v>
      </c>
      <c r="D5617" s="2" t="str">
        <f t="shared" si="86"/>
        <v>Error?</v>
      </c>
    </row>
    <row r="5618" spans="1:4" x14ac:dyDescent="0.2">
      <c r="A5618" s="5">
        <v>5557</v>
      </c>
      <c r="B5618" s="138">
        <f>'Revenues 9-14'!F154</f>
        <v>470640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17568</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488208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488208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774741</v>
      </c>
      <c r="C5720" s="2" t="s">
        <v>594</v>
      </c>
      <c r="D5720" s="2" t="str">
        <f t="shared" si="88"/>
        <v>Error?</v>
      </c>
    </row>
    <row r="5721" spans="1:4" x14ac:dyDescent="0.2">
      <c r="A5721" s="5">
        <v>5660</v>
      </c>
      <c r="B5721" s="138">
        <f>'Revenues 9-14'!G5</f>
        <v>60048</v>
      </c>
      <c r="D5721" s="2" t="str">
        <f t="shared" si="88"/>
        <v>Error?</v>
      </c>
    </row>
    <row r="5722" spans="1:4" x14ac:dyDescent="0.2">
      <c r="A5722" s="5">
        <v>5661</v>
      </c>
      <c r="B5722" s="138">
        <f>'Revenues 9-14'!G7</f>
        <v>0</v>
      </c>
      <c r="D5722" s="2" t="str">
        <f t="shared" si="88"/>
        <v>Error?</v>
      </c>
    </row>
    <row r="5723" spans="1:4" x14ac:dyDescent="0.2">
      <c r="A5723" s="5">
        <v>5662</v>
      </c>
      <c r="B5723" s="138">
        <f>'Revenues 9-14'!G8</f>
        <v>60048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120096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542</v>
      </c>
      <c r="C5730" s="2" t="s">
        <v>594</v>
      </c>
      <c r="D5730" s="2" t="str">
        <f t="shared" si="88"/>
        <v>Error?</v>
      </c>
    </row>
    <row r="5731" spans="1:4" x14ac:dyDescent="0.2">
      <c r="A5731" s="5">
        <v>5670</v>
      </c>
      <c r="B5731" s="138">
        <f>'Revenues 9-14'!G65</f>
        <v>510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121148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247975</v>
      </c>
      <c r="D5877" s="2" t="str">
        <f t="shared" si="90"/>
        <v>Error?</v>
      </c>
    </row>
    <row r="5878" spans="1:4" x14ac:dyDescent="0.2">
      <c r="A5878" s="5">
        <v>5817</v>
      </c>
      <c r="B5878" s="138">
        <f>'Revenues 9-14'!H18</f>
        <v>247975</v>
      </c>
      <c r="C5878" s="2" t="s">
        <v>594</v>
      </c>
      <c r="D5878" s="2" t="str">
        <f t="shared" si="90"/>
        <v>Error?</v>
      </c>
    </row>
    <row r="5879" spans="1:4" x14ac:dyDescent="0.2">
      <c r="A5879" s="5">
        <v>5818</v>
      </c>
      <c r="B5879" s="138">
        <f>'Revenues 9-14'!H65</f>
        <v>1010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1010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248985</v>
      </c>
      <c r="C5915" s="2" t="s">
        <v>594</v>
      </c>
      <c r="D5915" s="2" t="str">
        <f t="shared" si="91"/>
        <v>Error?</v>
      </c>
    </row>
    <row r="5916" spans="1:4" x14ac:dyDescent="0.2">
      <c r="A5916" s="5">
        <v>5855</v>
      </c>
      <c r="B5916" s="138">
        <f>'Revenues 9-14'!I5</f>
        <v>4055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4055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1868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5923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2972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2972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3063</v>
      </c>
      <c r="C6023" s="2" t="s">
        <v>594</v>
      </c>
      <c r="D6023" s="2" t="str">
        <f t="shared" si="93"/>
        <v>Error?</v>
      </c>
    </row>
    <row r="6024" spans="1:5" x14ac:dyDescent="0.2">
      <c r="A6024" s="5">
        <v>5963</v>
      </c>
      <c r="B6024" s="138">
        <f>'Revenues 9-14'!G109</f>
        <v>121148</v>
      </c>
      <c r="C6024" s="2" t="s">
        <v>594</v>
      </c>
      <c r="D6024" s="2" t="str">
        <f t="shared" si="93"/>
        <v>Error?</v>
      </c>
    </row>
    <row r="6025" spans="1:5" x14ac:dyDescent="0.2">
      <c r="A6025" s="5">
        <v>5964</v>
      </c>
      <c r="B6025" s="138">
        <f>'Revenues 9-14'!H109</f>
        <v>248985</v>
      </c>
      <c r="C6025" s="2" t="s">
        <v>594</v>
      </c>
      <c r="D6025" s="2" t="str">
        <f t="shared" si="93"/>
        <v>Error?</v>
      </c>
    </row>
    <row r="6026" spans="1:5" x14ac:dyDescent="0.2">
      <c r="A6026" s="5">
        <v>5965</v>
      </c>
      <c r="B6026" s="138">
        <f>'Revenues 9-14'!I109</f>
        <v>5923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3063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24810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440.22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82377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82377</v>
      </c>
      <c r="D6215" s="2" t="str">
        <f t="shared" si="96"/>
        <v>Error?</v>
      </c>
      <c r="E6215" s="2" t="s">
        <v>199</v>
      </c>
    </row>
    <row r="6216" spans="1:5" x14ac:dyDescent="0.2">
      <c r="A6216">
        <v>6155</v>
      </c>
      <c r="B6216" s="138">
        <f>'Assets-Liab 5-6'!J41</f>
        <v>82377</v>
      </c>
      <c r="D6216" s="2" t="str">
        <f t="shared" si="96"/>
        <v>Error?</v>
      </c>
      <c r="E6216" s="2" t="s">
        <v>199</v>
      </c>
    </row>
    <row r="6217" spans="1:5" x14ac:dyDescent="0.2">
      <c r="A6217">
        <v>6156</v>
      </c>
      <c r="B6217" s="138">
        <f>'Assets-Liab 5-6'!J4</f>
        <v>82377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109888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109888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109888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84731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84731</v>
      </c>
      <c r="D6229" s="2" t="str">
        <f t="shared" si="96"/>
        <v>Error?</v>
      </c>
      <c r="E6229" s="2" t="s">
        <v>199</v>
      </c>
    </row>
    <row r="6230" spans="1:5" x14ac:dyDescent="0.2">
      <c r="A6230">
        <v>6169</v>
      </c>
      <c r="B6230" s="138">
        <f>'Acct Summary 7-8'!J20</f>
        <v>25157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25157</v>
      </c>
      <c r="D6263" s="2" t="str">
        <f t="shared" si="96"/>
        <v>Error?</v>
      </c>
      <c r="E6263" s="2" t="s">
        <v>199</v>
      </c>
    </row>
    <row r="6264" spans="1:5" x14ac:dyDescent="0.2">
      <c r="A6264">
        <v>6203</v>
      </c>
      <c r="B6264" s="138">
        <f>'Acct Summary 7-8'!J79</f>
        <v>57220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82377</v>
      </c>
      <c r="D6266" s="2" t="str">
        <f t="shared" si="96"/>
        <v>Error?</v>
      </c>
      <c r="E6266" s="2" t="s">
        <v>199</v>
      </c>
    </row>
    <row r="6267" spans="1:5" x14ac:dyDescent="0.2">
      <c r="A6267">
        <v>6206</v>
      </c>
      <c r="B6267" s="138">
        <f>'Acct Summary 7-8'!C82</f>
        <v>255774</v>
      </c>
      <c r="D6267" s="2" t="str">
        <f t="shared" si="96"/>
        <v>Error?</v>
      </c>
      <c r="E6267" s="2" t="s">
        <v>199</v>
      </c>
    </row>
    <row r="6268" spans="1:5" x14ac:dyDescent="0.2">
      <c r="A6268">
        <v>6207</v>
      </c>
      <c r="B6268" s="138">
        <f>'Acct Summary 7-8'!D82</f>
        <v>-24619</v>
      </c>
      <c r="D6268" s="2" t="str">
        <f t="shared" si="96"/>
        <v>Error?</v>
      </c>
      <c r="E6268" s="2" t="s">
        <v>199</v>
      </c>
    </row>
    <row r="6269" spans="1:5" x14ac:dyDescent="0.2">
      <c r="A6269">
        <v>6208</v>
      </c>
      <c r="B6269" s="138">
        <f>'Acct Summary 7-8'!E82</f>
        <v>72</v>
      </c>
      <c r="D6269" s="2" t="str">
        <f t="shared" si="96"/>
        <v>Error?</v>
      </c>
      <c r="E6269" s="2" t="s">
        <v>199</v>
      </c>
    </row>
    <row r="6270" spans="1:5" x14ac:dyDescent="0.2">
      <c r="A6270">
        <v>6209</v>
      </c>
      <c r="B6270" s="138">
        <f>'Acct Summary 7-8'!F82</f>
        <v>171437</v>
      </c>
      <c r="D6270" s="2" t="str">
        <f t="shared" si="96"/>
        <v>Error?</v>
      </c>
      <c r="E6270" s="2" t="s">
        <v>199</v>
      </c>
    </row>
    <row r="6271" spans="1:5" x14ac:dyDescent="0.2">
      <c r="A6271">
        <v>6210</v>
      </c>
      <c r="B6271" s="138">
        <f>'Acct Summary 7-8'!G82</f>
        <v>-41820</v>
      </c>
      <c r="D6271" s="2" t="str">
        <f t="shared" ref="D6271:D6334" si="97">IF(ISBLANK(B6271),"OK",IF(A6271-B6271=0,"OK","Error?"))</f>
        <v>Error?</v>
      </c>
      <c r="E6271" s="2" t="s">
        <v>199</v>
      </c>
    </row>
    <row r="6272" spans="1:5" x14ac:dyDescent="0.2">
      <c r="A6272">
        <v>6211</v>
      </c>
      <c r="B6272" s="138">
        <f>'Acct Summary 7-8'!H82</f>
        <v>-11278</v>
      </c>
      <c r="D6272" s="2" t="str">
        <f t="shared" si="97"/>
        <v>Error?</v>
      </c>
      <c r="E6272" s="2" t="s">
        <v>199</v>
      </c>
    </row>
    <row r="6273" spans="1:5" x14ac:dyDescent="0.2">
      <c r="A6273">
        <v>6212</v>
      </c>
      <c r="B6273" s="138">
        <f>'Acct Summary 7-8'!I82</f>
        <v>5923</v>
      </c>
      <c r="D6273" s="2" t="str">
        <f t="shared" si="97"/>
        <v>Error?</v>
      </c>
      <c r="E6273" s="2" t="s">
        <v>199</v>
      </c>
    </row>
    <row r="6274" spans="1:5" x14ac:dyDescent="0.2">
      <c r="A6274">
        <v>6213</v>
      </c>
      <c r="B6274" s="138">
        <f>'Acct Summary 7-8'!J82</f>
        <v>25157</v>
      </c>
      <c r="D6274" s="2" t="str">
        <f t="shared" si="97"/>
        <v>Error?</v>
      </c>
      <c r="E6274" s="2" t="s">
        <v>199</v>
      </c>
    </row>
    <row r="6275" spans="1:5" x14ac:dyDescent="0.2">
      <c r="A6275">
        <v>6214</v>
      </c>
      <c r="B6275" s="138">
        <f>'Acct Summary 7-8'!K82</f>
        <v>1146595</v>
      </c>
      <c r="D6275" s="2" t="str">
        <f t="shared" si="97"/>
        <v>Error?</v>
      </c>
      <c r="E6275" s="2" t="s">
        <v>199</v>
      </c>
    </row>
    <row r="6276" spans="1:5" x14ac:dyDescent="0.2">
      <c r="A6276">
        <v>6215</v>
      </c>
      <c r="B6276" s="138">
        <f>'Acct Summary 7-8'!C83</f>
        <v>0.29135616272950332</v>
      </c>
      <c r="D6276" s="2" t="str">
        <f t="shared" si="97"/>
        <v>Error?</v>
      </c>
      <c r="E6276" s="2" t="s">
        <v>199</v>
      </c>
    </row>
    <row r="6277" spans="1:5" x14ac:dyDescent="0.2">
      <c r="A6277">
        <v>6216</v>
      </c>
      <c r="B6277" s="138">
        <f>'Acct Summary 7-8'!D83</f>
        <v>-7.1042303918739544E-2</v>
      </c>
      <c r="D6277" s="2" t="str">
        <f t="shared" si="97"/>
        <v>Error?</v>
      </c>
      <c r="E6277" s="2" t="s">
        <v>199</v>
      </c>
    </row>
    <row r="6278" spans="1:5" x14ac:dyDescent="0.2">
      <c r="A6278">
        <v>6217</v>
      </c>
      <c r="B6278" s="138">
        <f>'Acct Summary 7-8'!E83</f>
        <v>2.8973843058350102E-2</v>
      </c>
      <c r="D6278" s="2" t="str">
        <f t="shared" si="97"/>
        <v>Error?</v>
      </c>
      <c r="E6278" s="2" t="s">
        <v>199</v>
      </c>
    </row>
    <row r="6279" spans="1:5" x14ac:dyDescent="0.2">
      <c r="A6279">
        <v>6218</v>
      </c>
      <c r="B6279" s="138">
        <f>'Acct Summary 7-8'!F83</f>
        <v>0.38972697719884519</v>
      </c>
      <c r="D6279" s="2" t="str">
        <f t="shared" si="97"/>
        <v>Error?</v>
      </c>
      <c r="E6279" s="2" t="s">
        <v>199</v>
      </c>
    </row>
    <row r="6280" spans="1:5" x14ac:dyDescent="0.2">
      <c r="A6280">
        <v>6219</v>
      </c>
      <c r="B6280" s="138">
        <f>'Acct Summary 7-8'!G83</f>
        <v>-0.9140783808004197</v>
      </c>
      <c r="D6280" s="2" t="str">
        <f t="shared" si="97"/>
        <v>Error?</v>
      </c>
      <c r="E6280" s="2" t="s">
        <v>199</v>
      </c>
    </row>
    <row r="6281" spans="1:5" x14ac:dyDescent="0.2">
      <c r="A6281">
        <v>6220</v>
      </c>
      <c r="B6281" s="138">
        <f>'Acct Summary 7-8'!H83</f>
        <v>-5.5265620941936308E-2</v>
      </c>
      <c r="D6281" s="2" t="str">
        <f t="shared" si="97"/>
        <v>Error?</v>
      </c>
      <c r="E6281" s="2" t="s">
        <v>199</v>
      </c>
    </row>
    <row r="6282" spans="1:5" x14ac:dyDescent="0.2">
      <c r="A6282">
        <v>6221</v>
      </c>
      <c r="B6282" s="138">
        <f>'Acct Summary 7-8'!I83</f>
        <v>2.2759672764860264E-2</v>
      </c>
      <c r="D6282" s="2" t="str">
        <f t="shared" si="97"/>
        <v>Error?</v>
      </c>
      <c r="E6282" s="2" t="s">
        <v>199</v>
      </c>
    </row>
    <row r="6283" spans="1:5" x14ac:dyDescent="0.2">
      <c r="A6283">
        <v>6222</v>
      </c>
      <c r="B6283" s="138">
        <f>'Acct Summary 7-8'!J83</f>
        <v>0.30538864003301891</v>
      </c>
      <c r="D6283" s="2" t="str">
        <f t="shared" si="97"/>
        <v>Error?</v>
      </c>
      <c r="E6283" s="2" t="s">
        <v>199</v>
      </c>
    </row>
    <row r="6284" spans="1:5" x14ac:dyDescent="0.2">
      <c r="A6284">
        <v>6223</v>
      </c>
      <c r="B6284" s="138">
        <f>'Acct Summary 7-8'!K83</f>
        <v>0.9528358332987078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109868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109868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109888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11026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99760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125138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113174</v>
      </c>
      <c r="D6880" s="2" t="str">
        <f t="shared" si="106"/>
        <v>Error?</v>
      </c>
    </row>
    <row r="6881" spans="1:4" x14ac:dyDescent="0.2">
      <c r="A6881">
        <v>6820</v>
      </c>
      <c r="B6881" s="138">
        <f>'Expenditures 15-22'!K22</f>
        <v>113174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8024</v>
      </c>
      <c r="D6989" s="2" t="str">
        <f t="shared" si="108"/>
        <v>Error?</v>
      </c>
    </row>
    <row r="6990" spans="1:4" x14ac:dyDescent="0.2">
      <c r="A6990">
        <v>6929</v>
      </c>
      <c r="B6990" s="138">
        <f>'Expenditures 15-22'!K89</f>
        <v>8024</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8024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84731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109888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5136</v>
      </c>
      <c r="D7073" s="2" t="str">
        <f t="shared" si="109"/>
        <v>Error?</v>
      </c>
    </row>
    <row r="7074" spans="1:4" x14ac:dyDescent="0.2">
      <c r="A7074">
        <v>7013</v>
      </c>
      <c r="B7074" s="138">
        <f>'Expenditures 15-22'!K216</f>
        <v>5136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37584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37584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33147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33147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14000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14000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70731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84731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70731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84731</v>
      </c>
      <c r="D7224" s="2" t="str">
        <f t="shared" si="111"/>
        <v>Error?</v>
      </c>
    </row>
    <row r="7225" spans="1:4" x14ac:dyDescent="0.2">
      <c r="A7225">
        <v>7164</v>
      </c>
      <c r="B7225" s="138">
        <f>'Expenditures 15-22'!K343</f>
        <v>25157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24606</v>
      </c>
      <c r="D7246" s="2" t="str">
        <f t="shared" si="112"/>
        <v>Error?</v>
      </c>
    </row>
    <row r="7247" spans="1:4" x14ac:dyDescent="0.2">
      <c r="A7247">
        <f t="shared" si="113"/>
        <v>7186</v>
      </c>
      <c r="B7247" s="138">
        <f>'Expenditures 15-22'!E7</f>
        <v>325</v>
      </c>
      <c r="D7247" s="2" t="str">
        <f t="shared" si="112"/>
        <v>Error?</v>
      </c>
    </row>
    <row r="7248" spans="1:4" x14ac:dyDescent="0.2">
      <c r="A7248">
        <f t="shared" si="113"/>
        <v>7187</v>
      </c>
      <c r="B7248" s="138">
        <f>'Expenditures 15-22'!F7</f>
        <v>447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140868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6547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6547</v>
      </c>
      <c r="D7719" s="2" t="str">
        <f t="shared" si="126"/>
        <v>Error?</v>
      </c>
      <c r="E7719" s="2" t="s">
        <v>881</v>
      </c>
    </row>
    <row r="7720" spans="1:6" x14ac:dyDescent="0.2">
      <c r="A7720">
        <v>7659</v>
      </c>
      <c r="B7720" s="138">
        <f>'Rest Tax Levies-Tort Im 25'!H14</f>
        <v>374382</v>
      </c>
      <c r="D7720" s="2" t="str">
        <f t="shared" si="126"/>
        <v>Error?</v>
      </c>
      <c r="E7720" s="2" t="s">
        <v>881</v>
      </c>
    </row>
    <row r="7721" spans="1:6" x14ac:dyDescent="0.2">
      <c r="A7721">
        <v>7660</v>
      </c>
      <c r="B7721" s="138">
        <f>'Rest Tax Levies-Tort Im 25'!K14</f>
        <v>6547</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54972</v>
      </c>
      <c r="D7797" s="2" t="str">
        <f t="shared" si="127"/>
        <v>Error?</v>
      </c>
      <c r="E7797" s="4" t="s">
        <v>2020</v>
      </c>
    </row>
    <row r="7798" spans="1:5" x14ac:dyDescent="0.2">
      <c r="A7798">
        <v>7737</v>
      </c>
      <c r="B7798" s="138">
        <f>'Contracts Paid in CY 29'!F141</f>
        <v>54972</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Woodland CUSD 5</v>
      </c>
      <c r="B7" s="2422"/>
      <c r="C7" s="2422"/>
      <c r="D7" s="2423"/>
      <c r="E7" s="2424">
        <f>COVER!A13</f>
        <v>17053005026</v>
      </c>
      <c r="F7" s="2425"/>
      <c r="G7" s="2431">
        <f>COVER!T23</f>
        <v>66.004501000000005</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HOPKINS &amp; ASSOCIATES, CPAS</v>
      </c>
      <c r="H9" s="2437"/>
      <c r="I9" s="2437"/>
      <c r="J9" s="2437"/>
      <c r="K9" s="2437"/>
      <c r="L9" s="2438"/>
    </row>
    <row r="10" spans="1:29" ht="13.5" customHeight="1" x14ac:dyDescent="0.2">
      <c r="A10" s="2411" t="str">
        <f>COVER!A38</f>
        <v xml:space="preserve">RYAN MCGUCKIN </v>
      </c>
      <c r="B10" s="2412"/>
      <c r="C10" s="2412"/>
      <c r="D10" s="2412"/>
      <c r="E10" s="2412"/>
      <c r="F10" s="2413"/>
      <c r="G10" s="2405" t="str">
        <f>COVER!T17</f>
        <v>314 S MCCOY STREET</v>
      </c>
      <c r="H10" s="2406"/>
      <c r="I10" s="2406"/>
      <c r="J10" s="2406"/>
      <c r="K10" s="2406"/>
      <c r="L10" s="2407"/>
    </row>
    <row r="11" spans="1:29" ht="13.5" customHeight="1" x14ac:dyDescent="0.2">
      <c r="A11" s="1185" t="s">
        <v>1599</v>
      </c>
      <c r="B11" s="1186"/>
      <c r="C11" s="1187"/>
      <c r="D11" s="1192"/>
      <c r="E11" s="1187"/>
      <c r="F11" s="1191"/>
      <c r="G11" s="2405" t="str">
        <f>COVER!T19</f>
        <v>GRANVILLE</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JOELHOPKINS@MSN.COM</v>
      </c>
      <c r="J13" s="2418"/>
      <c r="K13" s="2418"/>
      <c r="L13" s="2419"/>
    </row>
    <row r="14" spans="1:29" ht="13.5" customHeight="1" x14ac:dyDescent="0.2">
      <c r="A14" s="2405" t="str">
        <f>COVER!A19</f>
        <v xml:space="preserve">5800 E 3000 ROAD </v>
      </c>
      <c r="B14" s="2406"/>
      <c r="C14" s="2406"/>
      <c r="D14" s="2406"/>
      <c r="E14" s="2406"/>
      <c r="F14" s="2407"/>
      <c r="G14" s="1196" t="s">
        <v>1247</v>
      </c>
      <c r="H14" s="1194"/>
      <c r="I14" s="1194"/>
      <c r="J14" s="1194"/>
      <c r="K14" s="1194"/>
      <c r="L14" s="1195"/>
    </row>
    <row r="15" spans="1:29" ht="13.5" customHeight="1" x14ac:dyDescent="0.2">
      <c r="A15" s="2405" t="str">
        <f>COVER!A21</f>
        <v xml:space="preserve">STREATOR </v>
      </c>
      <c r="B15" s="2406"/>
      <c r="C15" s="2406"/>
      <c r="D15" s="2406"/>
      <c r="E15" s="2406"/>
      <c r="F15" s="2407"/>
      <c r="G15" s="2402" t="str">
        <f>COVER!T15</f>
        <v xml:space="preserve">JOEL HOPKINS </v>
      </c>
      <c r="H15" s="2403"/>
      <c r="I15" s="2403"/>
      <c r="J15" s="2403"/>
      <c r="K15" s="2403"/>
      <c r="L15" s="2404"/>
    </row>
    <row r="16" spans="1:29" ht="12.2" customHeight="1" x14ac:dyDescent="0.2">
      <c r="A16" s="2427" t="str">
        <f>COVER!A25</f>
        <v>61364-8806</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815-339-6630</v>
      </c>
      <c r="H18" s="2422"/>
      <c r="I18" s="2422"/>
      <c r="J18" s="2422"/>
      <c r="K18" s="2421" t="str">
        <f>COVER!X21</f>
        <v>815-339-6643</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Woodland CUSD 5</v>
      </c>
      <c r="B1" s="2420"/>
      <c r="C1" s="2420"/>
      <c r="D1" s="2420"/>
    </row>
    <row r="2" spans="1:11" s="1215" customFormat="1" ht="12.75" x14ac:dyDescent="0.2">
      <c r="A2" s="2444">
        <f>'Single Audit Cover'!E7</f>
        <v>17053005026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Woodland CUSD 5</v>
      </c>
      <c r="B1" s="2447"/>
      <c r="C1" s="2447"/>
      <c r="D1" s="2447"/>
      <c r="E1" s="2447"/>
    </row>
    <row r="2" spans="1:5" x14ac:dyDescent="0.2">
      <c r="A2" s="2448">
        <f>'Single Audit Cover'!E7</f>
        <v>17053005026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407709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24810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-55037</v>
      </c>
    </row>
    <row r="19" spans="1:4" ht="13.5" thickBot="1" x14ac:dyDescent="0.25">
      <c r="A19" s="1265" t="s">
        <v>1297</v>
      </c>
      <c r="D19" s="1266">
        <f>SUM(D10:D17)</f>
        <v>377482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377482</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377482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Woodland CUSD 5</v>
      </c>
      <c r="B1" s="2460"/>
      <c r="C1" s="2460"/>
      <c r="D1" s="2460"/>
      <c r="E1" s="2460"/>
      <c r="F1" s="2460"/>
    </row>
    <row r="2" spans="1:7" ht="13.5" customHeight="1" x14ac:dyDescent="0.2">
      <c r="A2" s="2461">
        <f>'Single Audit Cover'!E7</f>
        <v>17053005026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Woodland CUSD 5</v>
      </c>
      <c r="C1" s="2464"/>
      <c r="D1" s="2464"/>
      <c r="E1" s="2464"/>
      <c r="F1" s="2464"/>
      <c r="G1" s="2464"/>
      <c r="H1" s="2464"/>
      <c r="I1" s="2464"/>
      <c r="J1" s="2464"/>
      <c r="K1" s="2464"/>
      <c r="L1" s="2464"/>
      <c r="M1" s="2464"/>
    </row>
    <row r="2" spans="2:14" ht="15" x14ac:dyDescent="0.2">
      <c r="B2" s="2461">
        <f>'Single Audit Cover'!E7</f>
        <v>17053005026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Woodland CUSD 5</v>
      </c>
      <c r="C1" s="2479"/>
      <c r="D1" s="2479"/>
      <c r="E1" s="2479"/>
      <c r="F1" s="2479"/>
      <c r="G1" s="2479"/>
      <c r="H1" s="2479"/>
      <c r="I1" s="2479"/>
      <c r="J1" s="1422"/>
    </row>
    <row r="2" spans="2:10" s="317" customFormat="1" ht="12.75" customHeight="1" x14ac:dyDescent="0.2">
      <c r="B2" s="2480">
        <f>'Single Audit Cover'!E7</f>
        <v>17053005026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Woodland CUSD 5</v>
      </c>
      <c r="C1" s="2478"/>
      <c r="D1" s="2478"/>
      <c r="E1" s="2478"/>
      <c r="F1" s="2478"/>
      <c r="G1" s="2478"/>
      <c r="H1" s="2478"/>
      <c r="I1" s="2478"/>
      <c r="J1" s="2478"/>
      <c r="K1" s="2478"/>
      <c r="L1" s="1374"/>
      <c r="M1" s="1374"/>
    </row>
    <row r="2" spans="1:13" ht="12" customHeight="1" x14ac:dyDescent="0.2">
      <c r="B2" s="2480">
        <f>'Single Audit Cover'!E7</f>
        <v>17053005026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Woodland CUSD 5</v>
      </c>
      <c r="C1" s="2501"/>
      <c r="D1" s="2501"/>
      <c r="E1" s="2501"/>
      <c r="F1" s="2501"/>
      <c r="G1" s="2501"/>
      <c r="H1" s="2501"/>
      <c r="I1" s="2501"/>
      <c r="J1" s="2501"/>
      <c r="K1" s="2501"/>
      <c r="L1" s="1465"/>
    </row>
    <row r="2" spans="1:12" ht="12.75" customHeight="1" x14ac:dyDescent="0.2">
      <c r="B2" s="2502">
        <f>'Single Audit Cover'!E7</f>
        <v>17053005026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Woodland CUSD 5</v>
      </c>
      <c r="C1" s="2478"/>
      <c r="D1" s="2478"/>
      <c r="E1" s="1491"/>
    </row>
    <row r="2" spans="2:5" s="1282" customFormat="1" ht="12.75" customHeight="1" x14ac:dyDescent="0.2">
      <c r="B2" s="2480">
        <f>'Single Audit Cover'!E7</f>
        <v>17053005026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2018-09-05T19:49:18Z</cp:lastPrinted>
  <dcterms:created xsi:type="dcterms:W3CDTF">2003-10-29T19:06:34Z</dcterms:created>
  <dcterms:modified xsi:type="dcterms:W3CDTF">2018-09-18T17:11:59Z</dcterms:modified>
</cp:coreProperties>
</file>