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9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2 (2)" sheetId="185" r:id="rId34"/>
    <sheet name="SF&amp;QC Sec-2 (3)" sheetId="186"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B4" i="186" l="1"/>
  <c r="B4" i="185"/>
  <c r="M15" i="184" l="1"/>
  <c r="K15" i="184"/>
  <c r="I15" i="184"/>
  <c r="G15" i="184"/>
  <c r="F15" i="184"/>
  <c r="E15" i="184"/>
  <c r="M14" i="184"/>
  <c r="K14" i="184"/>
  <c r="I14" i="184"/>
  <c r="G14" i="184"/>
  <c r="F14" i="184"/>
  <c r="E14" i="184"/>
  <c r="L27" i="184"/>
  <c r="L26" i="184"/>
  <c r="L25" i="184"/>
  <c r="L24" i="184"/>
  <c r="L23" i="184"/>
  <c r="L22" i="184"/>
  <c r="L21" i="184"/>
  <c r="L20" i="184"/>
  <c r="L19" i="184"/>
  <c r="L18" i="184"/>
  <c r="L17" i="184"/>
  <c r="L16" i="184"/>
  <c r="L13" i="184"/>
  <c r="L12" i="184"/>
  <c r="L11" i="184"/>
  <c r="B4" i="184"/>
  <c r="M27" i="183"/>
  <c r="K27" i="183"/>
  <c r="I27" i="183"/>
  <c r="G27" i="183"/>
  <c r="F27" i="183"/>
  <c r="E27" i="183"/>
  <c r="M20" i="183"/>
  <c r="K20" i="183"/>
  <c r="I20" i="183"/>
  <c r="G20" i="183"/>
  <c r="F20" i="183"/>
  <c r="E20" i="183"/>
  <c r="L26" i="183"/>
  <c r="L25" i="183"/>
  <c r="L24" i="183"/>
  <c r="L23" i="183"/>
  <c r="L22" i="183"/>
  <c r="L21" i="183"/>
  <c r="L19" i="183"/>
  <c r="L18" i="183"/>
  <c r="L17" i="183"/>
  <c r="L16" i="183"/>
  <c r="L15" i="183"/>
  <c r="L14" i="183"/>
  <c r="L13" i="183"/>
  <c r="L12" i="183"/>
  <c r="L11" i="183"/>
  <c r="B4" i="183"/>
  <c r="K27" i="179"/>
  <c r="I27" i="179"/>
  <c r="G27" i="179"/>
  <c r="F27" i="179"/>
  <c r="E27" i="179"/>
  <c r="K21" i="179"/>
  <c r="I21" i="179"/>
  <c r="G21" i="179"/>
  <c r="F21" i="179"/>
  <c r="E21" i="179"/>
  <c r="L15" i="184" l="1"/>
  <c r="L14" i="184"/>
  <c r="L27" i="183"/>
  <c r="L20" i="183"/>
  <c r="E10" i="108" l="1"/>
  <c r="I12" i="11"/>
  <c r="E63" i="29"/>
  <c r="M19" i="3"/>
  <c r="M17"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E38" i="181"/>
  <c r="F38" i="181" s="1"/>
  <c r="G38" i="181" s="1"/>
  <c r="E37" i="181"/>
  <c r="F37" i="181" s="1"/>
  <c r="G37" i="181" s="1"/>
  <c r="E36" i="181"/>
  <c r="F36" i="181" s="1"/>
  <c r="G36" i="181" s="1"/>
  <c r="E35" i="181"/>
  <c r="F35" i="181" s="1"/>
  <c r="G35" i="181" s="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B1" i="186" l="1"/>
  <c r="B1" i="185"/>
  <c r="B1" i="184"/>
  <c r="B1" i="183"/>
  <c r="B2" i="179"/>
  <c r="B2" i="186"/>
  <c r="B2" i="185"/>
  <c r="B2" i="183"/>
  <c r="B2" i="184"/>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B5286" i="106" s="1"/>
  <c r="D5286" i="106" s="1"/>
  <c r="C228" i="5"/>
  <c r="F136" i="34" s="1"/>
  <c r="C259" i="5"/>
  <c r="B7761" i="106"/>
  <c r="L127" i="29"/>
  <c r="L129" i="29" s="1"/>
  <c r="L139" i="29"/>
  <c r="L149" i="29"/>
  <c r="I7" i="145"/>
  <c r="I6" i="145"/>
  <c r="D78" i="36"/>
  <c r="K75" i="29"/>
  <c r="F52" i="34" s="1"/>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c r="B5105" i="106"/>
  <c r="D5105" i="106" s="1"/>
  <c r="B5106" i="106"/>
  <c r="D5106" i="106" s="1"/>
  <c r="B5107" i="106"/>
  <c r="D5107" i="106" s="1"/>
  <c r="B5108" i="106"/>
  <c r="D5108" i="106"/>
  <c r="B5109" i="106"/>
  <c r="D5109" i="106" s="1"/>
  <c r="B5110" i="106"/>
  <c r="D5110" i="106" s="1"/>
  <c r="B5111" i="106"/>
  <c r="D5111" i="106" s="1"/>
  <c r="B5113" i="106"/>
  <c r="D5113" i="106"/>
  <c r="B5114" i="106"/>
  <c r="D5114" i="106" s="1"/>
  <c r="B5115" i="106"/>
  <c r="D5115" i="106" s="1"/>
  <c r="B5116" i="106"/>
  <c r="D5116" i="106" s="1"/>
  <c r="B5117" i="106"/>
  <c r="D5117" i="106"/>
  <c r="B5118" i="106"/>
  <c r="D5118" i="106" s="1"/>
  <c r="B5119" i="106"/>
  <c r="D5119" i="106"/>
  <c r="B5122" i="106"/>
  <c r="D5122" i="106" s="1"/>
  <c r="B5123" i="106"/>
  <c r="D5123" i="106"/>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c r="B6302" i="106"/>
  <c r="D6302" i="106" s="1"/>
  <c r="B6303" i="106"/>
  <c r="D6303" i="106"/>
  <c r="B6304" i="106"/>
  <c r="D6304" i="106" s="1"/>
  <c r="B6305" i="106"/>
  <c r="D6305" i="106" s="1"/>
  <c r="B6307" i="106"/>
  <c r="D6307" i="106" s="1"/>
  <c r="B6308" i="106"/>
  <c r="D6308" i="106"/>
  <c r="B6309" i="106"/>
  <c r="D6309" i="106" s="1"/>
  <c r="B6310" i="106"/>
  <c r="D6310" i="106"/>
  <c r="B6311" i="106"/>
  <c r="D6311" i="106" s="1"/>
  <c r="B6312" i="106"/>
  <c r="D6312" i="106"/>
  <c r="B6313" i="106"/>
  <c r="D6313" i="106" s="1"/>
  <c r="B6314" i="106"/>
  <c r="D6314" i="106" s="1"/>
  <c r="B6315" i="106"/>
  <c r="D6315" i="106" s="1"/>
  <c r="B6316" i="106"/>
  <c r="D6316" i="106"/>
  <c r="B6317" i="106"/>
  <c r="D6317" i="106" s="1"/>
  <c r="B6319" i="106"/>
  <c r="D6319" i="106"/>
  <c r="B6320" i="106"/>
  <c r="D6320" i="106" s="1"/>
  <c r="B6321" i="106"/>
  <c r="D6321" i="106"/>
  <c r="B6322" i="106"/>
  <c r="D6322" i="106" s="1"/>
  <c r="B6323" i="106"/>
  <c r="D6323" i="106" s="1"/>
  <c r="B6324" i="106"/>
  <c r="D6324" i="106" s="1"/>
  <c r="B6325" i="106"/>
  <c r="D6325" i="106"/>
  <c r="B6326" i="106"/>
  <c r="D6326" i="106" s="1"/>
  <c r="B6327" i="106"/>
  <c r="D6327" i="106"/>
  <c r="B6328" i="106"/>
  <c r="D6328" i="106" s="1"/>
  <c r="B6329" i="106"/>
  <c r="D6329" i="106"/>
  <c r="B6330" i="106"/>
  <c r="D6330" i="106" s="1"/>
  <c r="B6331" i="106"/>
  <c r="D6331" i="106" s="1"/>
  <c r="B6332" i="106"/>
  <c r="D6332" i="106" s="1"/>
  <c r="B6333" i="106"/>
  <c r="D6333" i="106"/>
  <c r="B6334" i="106"/>
  <c r="D6334" i="106" s="1"/>
  <c r="B6335" i="106"/>
  <c r="D6335" i="106"/>
  <c r="B6336" i="106"/>
  <c r="D6336" i="106" s="1"/>
  <c r="B6337" i="106"/>
  <c r="D6337" i="106"/>
  <c r="B6338" i="106"/>
  <c r="D6338" i="106" s="1"/>
  <c r="B6339" i="106"/>
  <c r="D6339" i="106" s="1"/>
  <c r="B6340" i="106"/>
  <c r="D6340" i="106" s="1"/>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c r="B6731" i="106"/>
  <c r="D6731" i="106" s="1"/>
  <c r="B6732" i="106"/>
  <c r="D6732" i="106"/>
  <c r="B6733" i="106"/>
  <c r="D6733" i="106" s="1"/>
  <c r="B6734" i="106"/>
  <c r="D6734" i="106"/>
  <c r="B6735" i="106"/>
  <c r="D6735" i="106" s="1"/>
  <c r="B6736" i="106"/>
  <c r="D6736" i="106" s="1"/>
  <c r="B6737" i="106"/>
  <c r="D6737" i="106" s="1"/>
  <c r="B6738" i="106"/>
  <c r="D6738" i="106"/>
  <c r="B6739" i="106"/>
  <c r="D6739" i="106" s="1"/>
  <c r="B6740" i="106"/>
  <c r="D6740" i="106"/>
  <c r="B6741" i="106"/>
  <c r="D6741" i="106" s="1"/>
  <c r="B6742" i="106"/>
  <c r="D6742" i="106"/>
  <c r="B6743" i="106"/>
  <c r="D6743" i="106" s="1"/>
  <c r="B6744" i="106"/>
  <c r="D6744" i="106" s="1"/>
  <c r="B6745" i="106"/>
  <c r="D6745" i="106" s="1"/>
  <c r="B6746" i="106"/>
  <c r="D6746" i="106"/>
  <c r="B6747" i="106"/>
  <c r="D6747" i="106" s="1"/>
  <c r="B6748" i="106"/>
  <c r="D6748" i="106"/>
  <c r="B6749" i="106"/>
  <c r="D6749" i="106" s="1"/>
  <c r="B6750" i="106"/>
  <c r="D6750" i="106"/>
  <c r="B6751" i="106"/>
  <c r="D6751" i="106" s="1"/>
  <c r="B6752" i="106"/>
  <c r="D6752" i="106" s="1"/>
  <c r="B6753" i="106"/>
  <c r="D6753" i="106" s="1"/>
  <c r="B6754" i="106"/>
  <c r="D6754" i="106"/>
  <c r="B6755" i="106"/>
  <c r="D6755" i="106" s="1"/>
  <c r="B6756" i="106"/>
  <c r="D6756" i="106"/>
  <c r="B6757" i="106"/>
  <c r="D6757" i="106" s="1"/>
  <c r="B6758" i="106"/>
  <c r="D6758" i="106"/>
  <c r="B6759" i="106"/>
  <c r="D6759" i="106" s="1"/>
  <c r="B6760" i="106"/>
  <c r="D6760" i="106" s="1"/>
  <c r="B6761" i="106"/>
  <c r="D6761" i="106" s="1"/>
  <c r="B6762" i="106"/>
  <c r="D6762" i="106"/>
  <c r="B6763" i="106"/>
  <c r="D6763" i="106" s="1"/>
  <c r="B6764" i="106"/>
  <c r="D6764" i="106"/>
  <c r="B6765" i="106"/>
  <c r="D6765" i="106" s="1"/>
  <c r="B6766" i="106"/>
  <c r="D6766" i="106"/>
  <c r="B6767" i="106"/>
  <c r="D6767" i="106" s="1"/>
  <c r="B6768" i="106"/>
  <c r="D6768" i="106" s="1"/>
  <c r="B6769" i="106"/>
  <c r="D6769" i="106" s="1"/>
  <c r="B6770" i="106"/>
  <c r="D6770" i="106"/>
  <c r="B6771" i="106"/>
  <c r="D6771" i="106" s="1"/>
  <c r="B6772" i="106"/>
  <c r="D6772" i="106"/>
  <c r="B6773" i="106"/>
  <c r="D6773" i="106" s="1"/>
  <c r="B6774" i="106"/>
  <c r="D6774" i="106"/>
  <c r="B6775" i="106"/>
  <c r="D6775" i="106" s="1"/>
  <c r="B6776" i="106"/>
  <c r="D6776" i="106" s="1"/>
  <c r="B6777" i="106"/>
  <c r="D6777" i="106" s="1"/>
  <c r="B6778" i="106"/>
  <c r="D6778" i="106"/>
  <c r="B6779" i="106"/>
  <c r="D6779" i="106" s="1"/>
  <c r="B6780" i="106"/>
  <c r="D6780" i="106"/>
  <c r="B6781" i="106"/>
  <c r="D6781" i="106" s="1"/>
  <c r="B6782" i="106"/>
  <c r="D6782" i="106"/>
  <c r="B6783" i="106"/>
  <c r="D6783" i="106" s="1"/>
  <c r="B6784" i="106"/>
  <c r="D6784" i="106" s="1"/>
  <c r="B6785" i="106"/>
  <c r="D6785" i="106" s="1"/>
  <c r="B6786" i="106"/>
  <c r="D6786" i="106"/>
  <c r="B6787" i="106"/>
  <c r="D6787" i="106" s="1"/>
  <c r="B6788" i="106"/>
  <c r="D6788" i="106"/>
  <c r="B6789" i="106"/>
  <c r="D6789" i="106" s="1"/>
  <c r="B6790" i="106"/>
  <c r="D6790" i="106"/>
  <c r="B6791" i="106"/>
  <c r="D6791" i="106" s="1"/>
  <c r="B6792" i="106"/>
  <c r="D6792" i="106" s="1"/>
  <c r="B6793" i="106"/>
  <c r="D6793" i="106" s="1"/>
  <c r="B6794" i="106"/>
  <c r="D6794" i="106"/>
  <c r="B6795" i="106"/>
  <c r="D6795" i="106" s="1"/>
  <c r="B6796" i="106"/>
  <c r="D6796" i="106"/>
  <c r="B6797" i="106"/>
  <c r="D6797" i="106" s="1"/>
  <c r="B6798" i="106"/>
  <c r="D6798" i="106"/>
  <c r="B6799" i="106"/>
  <c r="D6799" i="106" s="1"/>
  <c r="B6800" i="106"/>
  <c r="D6800" i="106" s="1"/>
  <c r="B6801" i="106"/>
  <c r="D6801" i="106" s="1"/>
  <c r="B6802" i="106"/>
  <c r="D6802" i="106"/>
  <c r="B6803" i="106"/>
  <c r="D6803" i="106" s="1"/>
  <c r="B6804" i="106"/>
  <c r="D6804" i="106"/>
  <c r="B6805" i="106"/>
  <c r="D6805" i="106" s="1"/>
  <c r="B6806" i="106"/>
  <c r="D6806" i="106"/>
  <c r="B6807" i="106"/>
  <c r="D6807" i="106" s="1"/>
  <c r="B6808" i="106"/>
  <c r="D6808" i="106" s="1"/>
  <c r="B6809" i="106"/>
  <c r="D6809" i="106" s="1"/>
  <c r="B6810" i="106"/>
  <c r="D6810" i="106"/>
  <c r="B6811" i="106"/>
  <c r="D6811" i="106" s="1"/>
  <c r="B6812" i="106"/>
  <c r="D6812" i="106"/>
  <c r="B6813" i="106"/>
  <c r="D6813" i="106" s="1"/>
  <c r="B6814" i="106"/>
  <c r="D6814" i="106"/>
  <c r="B6815" i="106"/>
  <c r="D6815" i="106" s="1"/>
  <c r="B6816" i="106"/>
  <c r="D6816" i="106" s="1"/>
  <c r="B6817" i="106"/>
  <c r="D6817" i="106" s="1"/>
  <c r="B6818" i="106"/>
  <c r="D6818" i="106"/>
  <c r="B6819" i="106"/>
  <c r="D6819" i="106" s="1"/>
  <c r="B6820" i="106"/>
  <c r="D6820" i="106"/>
  <c r="B6821" i="106"/>
  <c r="D6821" i="106" s="1"/>
  <c r="B6822" i="106"/>
  <c r="D6822" i="106"/>
  <c r="B6823" i="106"/>
  <c r="D6823" i="106" s="1"/>
  <c r="B6824" i="106"/>
  <c r="D6824" i="106" s="1"/>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G26" i="108"/>
  <c r="E27" i="108"/>
  <c r="G27" i="108"/>
  <c r="F31" i="108"/>
  <c r="F37" i="108"/>
  <c r="G28"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C63" i="34"/>
  <c r="D63" i="34"/>
  <c r="C64" i="34"/>
  <c r="F64" i="34"/>
  <c r="F65" i="34"/>
  <c r="F66"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K274" i="5" s="1"/>
  <c r="B4951" i="106"/>
  <c r="D4951" i="106" s="1"/>
  <c r="C184" i="5"/>
  <c r="B5232" i="106"/>
  <c r="D5232" i="106" s="1"/>
  <c r="D184" i="5"/>
  <c r="F127" i="34" s="1"/>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D14" i="4"/>
  <c r="B2570" i="106" s="1"/>
  <c r="D2570" i="106" s="1"/>
  <c r="B2633" i="106"/>
  <c r="D2633" i="106" s="1"/>
  <c r="D7" i="118"/>
  <c r="D8" i="118"/>
  <c r="D9" i="118"/>
  <c r="H14" i="118"/>
  <c r="H19" i="118"/>
  <c r="H24" i="118"/>
  <c r="H28" i="118"/>
  <c r="H33" i="118"/>
  <c r="D11" i="37"/>
  <c r="D22" i="37"/>
  <c r="J22" i="37"/>
  <c r="L22" i="37"/>
  <c r="D24" i="37"/>
  <c r="B4270" i="106" s="1"/>
  <c r="D4270" i="106" s="1"/>
  <c r="D13" i="7"/>
  <c r="B3726" i="106" s="1"/>
  <c r="D3726" i="106" s="1"/>
  <c r="D9" i="7"/>
  <c r="B1767" i="106" s="1"/>
  <c r="D1767" i="106" s="1"/>
  <c r="B5770" i="106"/>
  <c r="D5770" i="106" s="1"/>
  <c r="F128" i="34"/>
  <c r="B5847" i="106"/>
  <c r="D5847" i="106" s="1"/>
  <c r="B5752" i="106"/>
  <c r="D5752" i="106" s="1"/>
  <c r="B5599" i="106"/>
  <c r="D5599" i="106" s="1"/>
  <c r="F106" i="34"/>
  <c r="D7" i="7"/>
  <c r="B1763" i="106" s="1"/>
  <c r="D1763" i="106" s="1"/>
  <c r="D17" i="7"/>
  <c r="B4104" i="106" s="1"/>
  <c r="D4104" i="106" s="1"/>
  <c r="D11" i="7"/>
  <c r="B1768" i="106" s="1"/>
  <c r="D1768" i="106" s="1"/>
  <c r="D15" i="7"/>
  <c r="B1772" i="106" s="1"/>
  <c r="D1772" i="106" s="1"/>
  <c r="N22" i="3" l="1"/>
  <c r="B283" i="106" s="1"/>
  <c r="D283" i="106" s="1"/>
  <c r="E15" i="145"/>
  <c r="G15" i="145" s="1"/>
  <c r="B1126" i="106"/>
  <c r="D1126" i="106" s="1"/>
  <c r="F130" i="34"/>
  <c r="B6191" i="106"/>
  <c r="D6191" i="106" s="1"/>
  <c r="J41" i="3"/>
  <c r="H109" i="5"/>
  <c r="H173" i="5"/>
  <c r="H275" i="5" s="1"/>
  <c r="B7041" i="106"/>
  <c r="D7041" i="106" s="1"/>
  <c r="K26" i="12"/>
  <c r="B7743" i="106" s="1"/>
  <c r="D7743" i="106" s="1"/>
  <c r="C342" i="29"/>
  <c r="B7216" i="106" s="1"/>
  <c r="D7216" i="106" s="1"/>
  <c r="B3658" i="106"/>
  <c r="D3658" i="106" s="1"/>
  <c r="H365" i="29"/>
  <c r="K76" i="4"/>
  <c r="B3586" i="106" s="1"/>
  <c r="D3586" i="106" s="1"/>
  <c r="I24" i="12"/>
  <c r="B5304" i="106"/>
  <c r="D5304" i="106" s="1"/>
  <c r="I173" i="5"/>
  <c r="B4216" i="106" s="1"/>
  <c r="D4216" i="106" s="1"/>
  <c r="F131" i="34"/>
  <c r="B1746" i="106"/>
  <c r="D1746" i="106" s="1"/>
  <c r="D5" i="7"/>
  <c r="B1761" i="106" s="1"/>
  <c r="D1761" i="106" s="1"/>
  <c r="F14" i="4"/>
  <c r="B2597" i="106" s="1"/>
  <c r="D2597" i="106" s="1"/>
  <c r="G5" i="4"/>
  <c r="B3409" i="106" s="1"/>
  <c r="D3409" i="106" s="1"/>
  <c r="F172" i="5"/>
  <c r="B5644" i="106" s="1"/>
  <c r="D5644" i="106" s="1"/>
  <c r="B5096" i="106"/>
  <c r="D5096" i="106" s="1"/>
  <c r="L312" i="29"/>
  <c r="F62" i="34"/>
  <c r="B2054" i="106"/>
  <c r="D2054" i="106" s="1"/>
  <c r="L13" i="11"/>
  <c r="B2060" i="106" s="1"/>
  <c r="D2060" i="106" s="1"/>
  <c r="K28" i="118"/>
  <c r="O27" i="118" s="1"/>
  <c r="O29" i="118" s="1"/>
  <c r="B1223" i="106"/>
  <c r="D1223" i="106" s="1"/>
  <c r="B3621" i="106"/>
  <c r="D3621" i="106" s="1"/>
  <c r="C367" i="29"/>
  <c r="B3622" i="106" s="1"/>
  <c r="D3622" i="106" s="1"/>
  <c r="F21" i="8"/>
  <c r="B1879" i="106" s="1"/>
  <c r="D1879" i="106" s="1"/>
  <c r="K285" i="29"/>
  <c r="L15" i="11"/>
  <c r="B3459" i="106" s="1"/>
  <c r="D3459" i="106" s="1"/>
  <c r="L5" i="11"/>
  <c r="B2056" i="106" s="1"/>
  <c r="D2056" i="106" s="1"/>
  <c r="H22" i="37"/>
  <c r="F19" i="7"/>
  <c r="B1807" i="106" s="1"/>
  <c r="D1807" i="106" s="1"/>
  <c r="G352" i="29"/>
  <c r="K350" i="29"/>
  <c r="B1410" i="106"/>
  <c r="D1410" i="106" s="1"/>
  <c r="E29" i="108"/>
  <c r="B1329" i="106"/>
  <c r="D1329" i="106" s="1"/>
  <c r="F61" i="34"/>
  <c r="B6995" i="106"/>
  <c r="D6995" i="106" s="1"/>
  <c r="C14" i="4"/>
  <c r="B2558" i="106" s="1"/>
  <c r="D2558" i="106" s="1"/>
  <c r="D36" i="108"/>
  <c r="F36" i="108"/>
  <c r="E30" i="108"/>
  <c r="G30" i="108"/>
  <c r="G29" i="108"/>
  <c r="F28" i="108"/>
  <c r="E28" i="108"/>
  <c r="F27" i="108"/>
  <c r="F26" i="108"/>
  <c r="E109" i="5"/>
  <c r="E4" i="4" s="1"/>
  <c r="B2630" i="106" s="1"/>
  <c r="D2630" i="106" s="1"/>
  <c r="D12" i="7"/>
  <c r="B1769" i="106" s="1"/>
  <c r="D1769" i="106" s="1"/>
  <c r="G109" i="5"/>
  <c r="F111" i="34"/>
  <c r="D109" i="5"/>
  <c r="C172" i="5"/>
  <c r="B5214" i="106" s="1"/>
  <c r="D5214" i="106" s="1"/>
  <c r="C109" i="5"/>
  <c r="B5121" i="106" s="1"/>
  <c r="D5121" i="106" s="1"/>
  <c r="D4" i="7"/>
  <c r="B1760" i="106" s="1"/>
  <c r="D1760" i="106" s="1"/>
  <c r="D54"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N23" i="3" l="1"/>
  <c r="B284" i="106" s="1"/>
  <c r="D284" i="106" s="1"/>
  <c r="D44" i="36"/>
  <c r="D19" i="7"/>
  <c r="B1775" i="106" s="1"/>
  <c r="D1775" i="106" s="1"/>
  <c r="J16" i="4"/>
  <c r="B6226" i="106" s="1"/>
  <c r="D6226" i="106" s="1"/>
  <c r="B5527" i="106"/>
  <c r="D5527" i="106" s="1"/>
  <c r="F274" i="5"/>
  <c r="F7" i="4" s="1"/>
  <c r="B2594" i="106" s="1"/>
  <c r="D2594" i="106" s="1"/>
  <c r="B7215" i="106"/>
  <c r="D7215" i="106" s="1"/>
  <c r="H367" i="29"/>
  <c r="B3660" i="106" s="1"/>
  <c r="D3660" i="106" s="1"/>
  <c r="B7242" i="106"/>
  <c r="D7242" i="106" s="1"/>
  <c r="B1996" i="106"/>
  <c r="D1996" i="106" s="1"/>
  <c r="I26" i="12"/>
  <c r="B7741" i="106" s="1"/>
  <c r="D7741" i="106" s="1"/>
  <c r="B6025" i="106"/>
  <c r="D6025" i="106" s="1"/>
  <c r="H4" i="4"/>
  <c r="B5906" i="106"/>
  <c r="D5906" i="106" s="1"/>
  <c r="H6" i="4"/>
  <c r="B2656" i="106" s="1"/>
  <c r="D2656" i="106" s="1"/>
  <c r="K365" i="29"/>
  <c r="F73" i="34"/>
  <c r="G15" i="4"/>
  <c r="B6032" i="106" s="1"/>
  <c r="D6032" i="106" s="1"/>
  <c r="L16" i="11"/>
  <c r="B2061" i="106" s="1"/>
  <c r="D2061" i="106" s="1"/>
  <c r="B3649" i="106"/>
  <c r="D3649" i="106" s="1"/>
  <c r="G367" i="29"/>
  <c r="B3650" i="106" s="1"/>
  <c r="D3650" i="106" s="1"/>
  <c r="B3670" i="106"/>
  <c r="D3670" i="106" s="1"/>
  <c r="K352" i="29"/>
  <c r="B1317" i="106"/>
  <c r="D1317" i="106" s="1"/>
  <c r="L114" i="29"/>
  <c r="F41" i="108"/>
  <c r="G43" i="108" s="1"/>
  <c r="C114" i="29"/>
  <c r="B757" i="106" s="1"/>
  <c r="D757" i="106" s="1"/>
  <c r="B6024" i="106"/>
  <c r="D6024" i="106" s="1"/>
  <c r="G4" i="4"/>
  <c r="B2603" i="106" s="1"/>
  <c r="D2603" i="106" s="1"/>
  <c r="B5356" i="106"/>
  <c r="D5356" i="106" s="1"/>
  <c r="D4" i="4"/>
  <c r="B2564" i="106" s="1"/>
  <c r="D256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D7" i="4"/>
  <c r="B5507" i="106"/>
  <c r="D5507" i="106" s="1"/>
  <c r="B7298" i="106"/>
  <c r="B7299" i="106"/>
  <c r="F275" i="5" l="1"/>
  <c r="B5720" i="106" s="1"/>
  <c r="D5720" i="106" s="1"/>
  <c r="B2655" i="106"/>
  <c r="D2655" i="106" s="1"/>
  <c r="H8" i="4"/>
  <c r="J8" i="4"/>
  <c r="J20" i="4" s="1"/>
  <c r="K13" i="4"/>
  <c r="B3572" i="106" s="1"/>
  <c r="D3572" i="106" s="1"/>
  <c r="B3672" i="106"/>
  <c r="D3672" i="106" s="1"/>
  <c r="K367" i="29"/>
  <c r="B3678" i="106" s="1"/>
  <c r="D3678" i="106" s="1"/>
  <c r="G41" i="108"/>
  <c r="G44" i="108" s="1"/>
  <c r="G45" i="108" s="1"/>
  <c r="E41" i="108"/>
  <c r="E44" i="108" s="1"/>
  <c r="E45" i="108" s="1"/>
  <c r="F8" i="4"/>
  <c r="F10" i="4" s="1"/>
  <c r="B4125" i="106" s="1"/>
  <c r="D412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B2658" i="106" l="1"/>
  <c r="D2658" i="106" s="1"/>
  <c r="H10" i="4"/>
  <c r="B4127" i="106" s="1"/>
  <c r="D4127" i="106" s="1"/>
  <c r="J10" i="4"/>
  <c r="B6225" i="106" s="1"/>
  <c r="D6225" i="106" s="1"/>
  <c r="K368" i="29"/>
  <c r="B3681" i="106" s="1"/>
  <c r="D3681" i="106" s="1"/>
  <c r="K17" i="4"/>
  <c r="K20" i="4" s="1"/>
  <c r="D8" i="146"/>
  <c r="B2595" i="106"/>
  <c r="D2595" i="106" s="1"/>
  <c r="D8" i="4"/>
  <c r="B2568" i="106" s="1"/>
  <c r="D256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D10" i="4"/>
  <c r="B4123" i="106" s="1"/>
  <c r="D4123" i="106" s="1"/>
  <c r="C8" i="146"/>
  <c r="D20" i="4"/>
  <c r="D78" i="4" s="1"/>
  <c r="H13" i="118"/>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8" i="146" l="1"/>
  <c r="B2574" i="106"/>
  <c r="D2574" i="106" s="1"/>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<sst xmlns="http://schemas.openxmlformats.org/spreadsheetml/2006/main" count="5358" uniqueCount="2234">
  <si>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</si>
  <si>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</si>
  <si>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</si>
  <si>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</si>
  <si>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</si>
  <si>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</si>
  <si>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</si>
  <si>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</si>
  <si>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</si>
  <si>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</si>
  <si>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</si>
  <si>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</si>
  <si>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</si>
  <si>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</si>
  <si>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</si>
  <si>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</si>
  <si>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</si>
  <si>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</si>
  <si>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</si>
  <si>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</si>
  <si>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</si>
  <si>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</si>
  <si>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</si>
  <si>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</si>
  <si>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</si>
  <si>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</si>
  <si>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</si>
  <si>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</si>
  <si>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</si>
  <si>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</si>
  <si>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</si>
  <si>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</si>
  <si>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</si>
  <si>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</si>
  <si>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</si>
  <si>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</si>
  <si>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</si>
  <si>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</si>
  <si>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</si>
  <si>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</si>
  <si>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</si>
  <si>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</si>
  <si>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</si>
  <si>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</si>
  <si>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</si>
  <si>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</si>
  <si>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</si>
  <si>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</si>
  <si>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</si>
  <si>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</si>
  <si>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</si>
  <si>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</si>
  <si>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</si>
  <si>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</si>
  <si>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</si>
  <si>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</si>
  <si>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</si>
  <si>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</si>
  <si>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</si>
  <si>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</si>
  <si>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</si>
  <si>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</si>
  <si>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</si>
  <si>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</si>
  <si>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</si>
  <si>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</si>
  <si>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</si>
  <si>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</si>
  <si>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</si>
  <si>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</si>
  <si>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</si>
  <si>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</si>
  <si>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</si>
  <si>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</si>
  <si>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</si>
  <si>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</si>
  <si>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</si>
  <si>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</si>
  <si>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</si>
  <si>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</si>
  <si>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</si>
  <si>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</si>
  <si>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</si>
  <si>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</si>
  <si>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</si>
  <si>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</si>
  <si>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</si>
  <si>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</si>
  <si>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</si>
  <si>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</si>
  <si>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</si>
  <si>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</si>
  <si>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</si>
  <si>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</si>
  <si>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</si>
  <si>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</si>
  <si>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</si>
  <si>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</si>
  <si>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</si>
  <si>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</si>
  <si>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</si>
  <si>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</si>
  <si>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</si>
  <si>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</si>
  <si>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</si>
  <si>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</si>
  <si>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</si>
  <si>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</si>
  <si>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</si>
  <si>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</si>
  <si>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</si>
  <si>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</si>
  <si>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</si>
  <si>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</si>
  <si>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</si>
  <si>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</si>
  <si>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</si>
  <si>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</si>
  <si>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</si>
  <si>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</si>
  <si>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</si>
  <si>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</si>
  <si>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</si>
  <si>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</si>
  <si>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</si>
  <si>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</si>
  <si>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</si>
  <si>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</si>
  <si>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</si>
  <si>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</si>
  <si>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</si>
  <si>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</si>
  <si>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</si>
  <si>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</si>
  <si>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</si>
  <si>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</si>
  <si>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</si>
  <si>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</si>
  <si>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</si>
  <si>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</si>
  <si>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</si>
  <si>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</si>
  <si>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</si>
  <si>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</si>
  <si>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</si>
  <si>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</si>
  <si>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</si>
  <si>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</si>
  <si>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</si>
  <si>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</si>
  <si>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</si>
  <si>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</si>
  <si>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</si>
  <si>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</si>
  <si>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</si>
  <si>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</si>
  <si>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</si>
  <si>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</si>
  <si>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</si>
  <si>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</si>
  <si>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</si>
  <si>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</si>
  <si>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</si>
  <si>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</si>
  <si>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</si>
  <si>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</si>
  <si>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</si>
  <si>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</si>
  <si>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</si>
  <si>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</si>
  <si>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</si>
  <si>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</si>
  <si>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</si>
  <si>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</si>
  <si>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</si>
  <si>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</si>
  <si>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</si>
  <si>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</si>
  <si>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</si>
  <si>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</si>
  <si>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</si>
  <si>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</si>
  <si>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</si>
  <si>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</si>
  <si>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</si>
  <si>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</si>
  <si>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</si>
  <si>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</si>
  <si>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</si>
  <si>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</si>
  <si>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</si>
  <si>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</si>
  <si>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</si>
  <si>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</si>
  <si>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</si>
  <si>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</si>
  <si>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</si>
  <si>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</si>
  <si>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</si>
  <si>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</si>
  <si>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</si>
  <si>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</si>
  <si>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</si>
  <si>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</si>
  <si>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</si>
  <si>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</si>
  <si>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</si>
  <si>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</si>
  <si>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</si>
  <si>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</si>
  <si>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</si>
  <si>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</si>
  <si>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</si>
  <si>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</si>
  <si>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</si>
  <si>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</si>
  <si>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</si>
  <si>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</si>
  <si>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</si>
  <si>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</si>
  <si>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</si>
  <si>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</si>
  <si>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</si>
  <si>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</si>
  <si>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</si>
  <si>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</si>
  <si>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</si>
  <si>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</si>
  <si>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</si>
  <si>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</si>
  <si>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</si>
  <si>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</si>
  <si>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</si>
  <si>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</si>
  <si>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</si>
  <si>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</si>
  <si>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</si>
  <si>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</si>
  <si>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</si>
  <si>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</si>
  <si>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</si>
  <si>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</si>
  <si>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</si>
  <si>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</si>
  <si>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</si>
  <si>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</si>
  <si>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</si>
  <si>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</si>
  <si>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</si>
  <si>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</si>
  <si>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</si>
  <si>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</si>
  <si>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</si>
  <si>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</si>
  <si>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</si>
  <si>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</si>
  <si>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</si>
  <si>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</si>
  <si>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</si>
  <si>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</si>
  <si>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</si>
  <si>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</si>
  <si>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</si>
  <si>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</si>
  <si>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</si>
  <si>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</si>
  <si>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</si>
  <si>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</si>
  <si>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</si>
  <si>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</si>
  <si>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</si>
  <si>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</si>
  <si>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</si>
  <si>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</si>
  <si>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</si>
  <si>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</si>
  <si>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</si>
  <si>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</si>
  <si>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</si>
  <si>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</si>
  <si>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</si>
  <si>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</si>
  <si>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</si>
  <si>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</si>
  <si>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</si>
  <si>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</si>
  <si>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</si>
  <si>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</si>
  <si>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</si>
  <si>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</si>
  <si>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</si>
  <si>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</si>
  <si>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</si>
  <si>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</si>
  <si>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</si>
  <si>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</si>
  <si>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</si>
  <si>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</si>
  <si>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</si>
  <si>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</si>
  <si>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</si>
  <si>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</si>
  <si>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</si>
  <si>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</si>
  <si>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</si>
  <si>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</si>
  <si>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</si>
  <si>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</si>
  <si>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</si>
  <si>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</si>
  <si>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</si>
  <si>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</si>
  <si>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</si>
  <si>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</si>
  <si>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</si>
  <si>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</si>
  <si>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</si>
  <si>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</si>
  <si>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</si>
  <si>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</si>
  <si>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</si>
  <si>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</si>
  <si>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</si>
  <si>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</si>
  <si>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</si>
  <si>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</si>
  <si>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</si>
  <si>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</si>
  <si>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</si>
  <si>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</si>
  <si>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</si>
  <si>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</si>
  <si>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</si>
  <si>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</si>
  <si>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</si>
  <si>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</si>
  <si>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</si>
  <si>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</si>
  <si>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</si>
  <si>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</si>
  <si>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</si>
  <si>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</si>
  <si>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</si>
  <si>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</si>
  <si>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</si>
  <si>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</si>
  <si>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</si>
  <si>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</si>
  <si>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</si>
  <si>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</si>
  <si>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</si>
  <si>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</si>
  <si>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</si>
  <si>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</si>
  <si>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</si>
  <si>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</si>
  <si>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</si>
  <si>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</si>
  <si>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</si>
  <si>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</si>
  <si>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</si>
  <si>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</si>
  <si>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</si>
  <si>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</si>
  <si>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</si>
  <si>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</si>
  <si>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</si>
  <si>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</si>
  <si>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</si>
  <si>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</si>
  <si>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</si>
  <si>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</si>
  <si>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</si>
  <si>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</si>
  <si>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</si>
  <si>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</si>
  <si>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</si>
  <si>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</si>
  <si>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</si>
  <si>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</si>
  <si>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</si>
  <si>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</si>
  <si>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</si>
  <si>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</si>
  <si>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</si>
  <si>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</si>
  <si>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</si>
  <si>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</si>
  <si>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</si>
  <si>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</si>
  <si>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</si>
  <si>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</si>
  <si>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</si>
  <si>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</si>
  <si>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</si>
  <si>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</si>
  <si>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</si>
  <si>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</si>
  <si>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</si>
  <si>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</si>
  <si>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</si>
  <si>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</si>
  <si>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</si>
  <si>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</si>
  <si>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</si>
  <si>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</si>
  <si>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</si>
  <si>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</si>
  <si>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</si>
  <si>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</si>
  <si>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</si>
  <si>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</si>
  <si>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</si>
  <si>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</si>
  <si>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</si>
  <si>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</si>
  <si>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</si>
  <si>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</si>
  <si>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</si>
  <si>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</si>
  <si>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</si>
  <si>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</si>
  <si>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</si>
  <si>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</si>
  <si>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</si>
  <si>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</si>
  <si>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</si>
  <si>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</si>
  <si>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</si>
  <si>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</si>
  <si>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</si>
  <si>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</si>
  <si>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</si>
  <si>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</si>
  <si>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</si>
  <si>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</si>
  <si>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</si>
  <si>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</si>
  <si>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</si>
  <si>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</si>
  <si>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</si>
  <si>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</si>
  <si>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</si>
  <si>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</si>
  <si>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</si>
  <si>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</si>
  <si>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</si>
  <si>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</si>
  <si>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</si>
  <si>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</si>
  <si>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</si>
  <si>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</si>
  <si>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</si>
  <si>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</si>
  <si>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</si>
  <si>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</si>
  <si>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</si>
  <si>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</si>
  <si>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</si>
  <si>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</si>
  <si>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</si>
  <si>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</si>
  <si>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</si>
  <si>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</si>
  <si>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</si>
  <si>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</si>
  <si>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</si>
  <si>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</si>
  <si>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</si>
  <si>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</si>
  <si>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</si>
  <si>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</si>
  <si>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</si>
  <si>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</si>
  <si>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</si>
  <si>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</si>
  <si>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</si>
  <si>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</si>
  <si>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</si>
  <si>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</si>
  <si>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</si>
  <si>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</si>
  <si>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</si>
  <si>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</si>
  <si>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</si>
  <si>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</si>
  <si>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</si>
  <si>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</si>
  <si>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</si>
  <si>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</si>
  <si>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</si>
  <si>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</si>
  <si>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</si>
  <si>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</si>
  <si>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</si>
  <si>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</si>
  <si>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</si>
  <si>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</si>
  <si>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</si>
  <si>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</si>
  <si>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</si>
  <si>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</si>
  <si>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</si>
  <si>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</si>
  <si>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</si>
  <si>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</si>
  <si>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</si>
  <si>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</si>
  <si>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</si>
  <si>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</si>
  <si>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</si>
  <si>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</si>
  <si>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</si>
  <si>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</si>
  <si>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</si>
  <si>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</si>
  <si>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</si>
  <si>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</si>
  <si>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</si>
  <si>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</si>
  <si>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</si>
  <si>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</si>
  <si>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</si>
  <si>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</si>
  <si>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</si>
  <si>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</si>
  <si>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</si>
  <si>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</si>
  <si>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</si>
  <si>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</si>
  <si>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</si>
  <si>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</si>
  <si>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</si>
  <si>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</si>
  <si>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</si>
  <si>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</si>
  <si>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</si>
  <si>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</si>
  <si>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</si>
  <si>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</si>
  <si>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</si>
  <si>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</si>
  <si>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</si>
  <si>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</si>
  <si>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</si>
  <si>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</si>
  <si>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</si>
  <si>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</si>
  <si>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</si>
  <si>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</si>
  <si>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</si>
  <si>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</si>
  <si>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</si>
  <si>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</si>
  <si>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</si>
  <si>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</si>
  <si>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</si>
  <si>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</si>
  <si>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</si>
  <si>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</si>
  <si>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</si>
  <si>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</si>
  <si>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</si>
  <si>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</si>
  <si>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</si>
  <si>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</si>
  <si>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</si>
  <si>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</si>
  <si>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</si>
  <si>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</si>
  <si>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</si>
  <si>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</si>
  <si>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</si>
  <si>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</si>
  <si>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</si>
  <si>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</si>
  <si>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</si>
  <si>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</si>
  <si>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</si>
  <si>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</si>
  <si>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</si>
  <si>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</si>
  <si>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</si>
  <si>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</si>
  <si>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</si>
  <si>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</si>
  <si>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</si>
  <si>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</si>
  <si>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</si>
  <si>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</si>
  <si>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</si>
  <si>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</si>
  <si>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</si>
  <si>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</si>
  <si>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</si>
  <si>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</si>
  <si>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</si>
  <si>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</si>
  <si>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</si>
  <si>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</si>
  <si>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</si>
  <si>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</si>
  <si>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</si>
  <si>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</si>
  <si>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</si>
  <si>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</si>
  <si>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</si>
  <si>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</si>
  <si>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</si>
  <si>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</si>
  <si>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</si>
  <si>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</si>
  <si>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</si>
  <si>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</si>
  <si>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</si>
  <si>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</si>
  <si>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</si>
  <si>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</si>
  <si>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</si>
  <si>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</si>
  <si>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</si>
  <si>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</si>
  <si>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</si>
  <si>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</si>
  <si>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</si>
  <si>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</si>
  <si>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</si>
  <si>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</si>
  <si>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</si>
  <si>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</si>
  <si>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</si>
  <si>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</si>
  <si>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</si>
  <si>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</si>
  <si>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</si>
  <si>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</si>
  <si>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</si>
  <si>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</si>
  <si>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</si>
  <si>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</si>
  <si>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</si>
  <si>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</si>
  <si>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</si>
  <si>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</si>
  <si>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</si>
  <si>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</si>
  <si>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</si>
  <si>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</si>
  <si>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</si>
  <si>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</si>
  <si>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</si>
  <si>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</si>
  <si>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</si>
  <si>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</si>
  <si>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</si>
  <si>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</si>
  <si>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</si>
  <si>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</si>
  <si>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</si>
  <si>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</si>
  <si>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</si>
  <si>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</si>
  <si>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</si>
  <si>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</si>
  <si>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</si>
  <si>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</si>
  <si>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</si>
  <si>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</si>
  <si>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</si>
  <si>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</si>
  <si>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</si>
  <si>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</si>
  <si>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</si>
  <si>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</si>
  <si>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</si>
  <si>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</si>
  <si>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</si>
  <si>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</si>
  <si>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</si>
  <si>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</si>
  <si>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</si>
  <si>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</si>
  <si>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</si>
  <si>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</si>
  <si>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</si>
  <si>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</si>
  <si>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</si>
  <si>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</si>
  <si>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</si>
  <si>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</si>
  <si>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</si>
  <si>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</si>
  <si>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</si>
  <si>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</si>
  <si>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</si>
  <si>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</si>
  <si>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</si>
  <si>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</si>
  <si>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</si>
  <si>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</si>
  <si>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</si>
  <si>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</si>
  <si>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</si>
  <si>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</si>
  <si>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</si>
  <si>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</si>
  <si>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</si>
  <si>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</si>
  <si>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</si>
  <si>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</si>
  <si>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</si>
  <si>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</si>
  <si>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</si>
  <si>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</si>
  <si>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</si>
  <si>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</si>
  <si>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</si>
  <si>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</si>
  <si>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</si>
  <si>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</si>
  <si>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</si>
  <si>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</si>
  <si>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</si>
  <si>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</si>
  <si>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</si>
  <si>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</si>
  <si>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</si>
  <si>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</si>
  <si>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</si>
  <si>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</si>
  <si>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</si>
  <si>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</si>
  <si>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</si>
  <si>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</si>
  <si>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</si>
  <si>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</si>
  <si>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</si>
  <si>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</si>
  <si>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</si>
  <si>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</si>
  <si>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</si>
  <si>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</si>
  <si>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</si>
  <si>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</si>
  <si>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</si>
  <si>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</si>
  <si>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</si>
  <si>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</si>
  <si>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</si>
  <si>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</si>
  <si>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</si>
  <si>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</si>
  <si>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</si>
  <si>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</si>
  <si>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</si>
  <si>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</si>
  <si>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</si>
  <si>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</si>
  <si>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</si>
  <si>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</si>
  <si>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</si>
  <si>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</si>
  <si>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</si>
  <si>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</si>
  <si>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</si>
  <si>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</si>
  <si>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</si>
  <si>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</si>
  <si>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</si>
  <si>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</si>
  <si>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</si>
  <si>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</si>
  <si>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</si>
  <si>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</si>
  <si>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</si>
  <si>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</si>
  <si>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</si>
  <si>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</si>
  <si>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</si>
  <si>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</si>
  <si>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</si>
  <si>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</si>
  <si>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</si>
  <si>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</si>
  <si>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</si>
  <si>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</si>
  <si>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</si>
  <si>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</si>
  <si>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</si>
  <si>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</si>
  <si>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</si>
  <si>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</si>
  <si>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</si>
  <si>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</si>
  <si>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</si>
  <si>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</si>
  <si>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</si>
  <si>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</si>
  <si>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</si>
  <si>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</si>
  <si>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</si>
  <si>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</si>
  <si>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</si>
  <si>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</si>
  <si>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</si>
  <si>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</si>
  <si>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</si>
  <si>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</si>
  <si>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</si>
  <si>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</si>
  <si>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</si>
  <si>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</si>
  <si>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</si>
  <si>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</si>
  <si>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</si>
  <si>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</si>
  <si>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</si>
  <si>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</si>
  <si>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</si>
  <si>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</si>
  <si>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</si>
  <si>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</si>
  <si>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</si>
  <si>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</si>
  <si>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</si>
  <si>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</si>
  <si>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</si>
  <si>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</si>
  <si>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</si>
  <si>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</si>
  <si>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</si>
  <si>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</si>
  <si>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</si>
  <si>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</si>
  <si>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</si>
  <si>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</si>
  <si>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</si>
  <si>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</si>
  <si>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</si>
  <si>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</si>
  <si>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</si>
  <si>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</si>
  <si>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</si>
  <si>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</si>
  <si>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</si>
  <si>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</si>
  <si>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</si>
  <si>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</si>
  <si>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</si>
  <si>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</si>
  <si>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</si>
  <si>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</si>
  <si>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</si>
  <si>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</si>
  <si>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</si>
  <si>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</si>
  <si>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</si>
  <si>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</si>
  <si>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</si>
  <si>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</si>
  <si>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</si>
  <si>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</si>
  <si>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</si>
  <si>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</si>
  <si>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</si>
  <si>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</si>
  <si>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</si>
  <si>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</si>
  <si>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</si>
  <si>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</si>
  <si>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</si>
  <si>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</si>
  <si>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</si>
  <si>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</si>
  <si>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</si>
  <si>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</si>
  <si>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</si>
  <si>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</si>
  <si>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</si>
  <si>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</si>
  <si>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</si>
  <si>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</si>
  <si>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</si>
  <si>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</si>
  <si>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</si>
  <si>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</si>
  <si>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</si>
  <si>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</si>
  <si>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</si>
  <si>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</si>
  <si>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</si>
  <si>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</si>
  <si>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</si>
  <si>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</si>
  <si>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</si>
  <si>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</si>
  <si>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</si>
  <si>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</si>
  <si>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</si>
  <si>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</si>
  <si>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</si>
  <si>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</si>
  <si>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</si>
  <si>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</si>
  <si>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</si>
  <si>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</si>
  <si>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</si>
  <si>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</si>
  <si>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</si>
  <si>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</si>
  <si>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</si>
  <si>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</si>
  <si>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</si>
  <si>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</si>
  <si>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</si>
  <si>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</si>
  <si>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</si>
  <si>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</si>
  <si>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</si>
  <si>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</si>
  <si>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</si>
  <si>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</si>
  <si>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</si>
  <si>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</si>
  <si>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</si>
  <si>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</si>
  <si>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</si>
  <si>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</si>
  <si>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</si>
  <si>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</si>
  <si>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</si>
  <si>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</si>
  <si>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</si>
  <si>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</si>
  <si>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</si>
  <si>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</si>
  <si>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</si>
  <si>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</si>
  <si>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</si>
  <si>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</si>
  <si>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</si>
  <si>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</si>
  <si>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</si>
  <si>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</si>
  <si>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</si>
  <si>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</si>
  <si>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</si>
  <si>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</si>
  <si>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</si>
  <si>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</si>
  <si>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</si>
  <si>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</si>
  <si>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</si>
  <si>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</si>
  <si>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</si>
  <si>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</si>
  <si>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</si>
  <si>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</si>
  <si>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</si>
  <si>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</si>
  <si>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</si>
  <si>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</si>
  <si>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</si>
  <si>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</si>
  <si>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</si>
  <si>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</si>
  <si>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</si>
  <si>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</si>
  <si>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</si>
  <si>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</si>
  <si>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</si>
  <si>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</si>
  <si>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</si>
  <si>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</si>
  <si>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</si>
  <si>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</si>
  <si>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</si>
  <si>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</si>
  <si>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</si>
  <si>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</si>
  <si>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</si>
  <si>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</si>
  <si>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</si>
  <si>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</si>
  <si>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</si>
  <si>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</si>
  <si>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</si>
  <si>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</si>
  <si>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</si>
  <si>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</si>
  <si>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</si>
  <si>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</si>
  <si>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</si>
  <si>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</si>
  <si>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</si>
  <si>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</si>
  <si>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</si>
  <si>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</si>
  <si>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</si>
  <si>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</si>
  <si>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</si>
  <si>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</si>
  <si>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</si>
  <si>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</si>
  <si>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</si>
  <si>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</si>
  <si>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</si>
  <si>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</si>
  <si>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</si>
  <si>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</si>
  <si>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</si>
  <si>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</si>
  <si>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</si>
  <si>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</si>
  <si>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</si>
  <si>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</si>
  <si>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</si>
  <si>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</si>
  <si>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</si>
  <si>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</si>
  <si>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</si>
  <si>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</si>
  <si>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</si>
  <si>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</si>
  <si>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</si>
  <si>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</si>
  <si>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</si>
  <si>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</si>
  <si>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</si>
  <si>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</si>
  <si>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</si>
  <si>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</si>
  <si>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</si>
  <si>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</si>
  <si>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</si>
  <si>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</si>
  <si>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</si>
  <si>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</si>
  <si>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</si>
  <si>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</si>
  <si>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</si>
  <si>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</si>
  <si>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</si>
  <si>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</si>
  <si>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</si>
  <si>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</si>
  <si>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</si>
  <si>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</si>
  <si>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</si>
  <si>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</si>
  <si>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</si>
  <si>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</si>
  <si>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</si>
  <si>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</si>
  <si>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</si>
  <si>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</si>
  <si>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</si>
  <si>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</si>
  <si>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</si>
  <si>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</si>
  <si>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</si>
  <si>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</si>
  <si>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</si>
  <si>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</si>
  <si>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</si>
  <si>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</si>
  <si>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</si>
  <si>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</si>
  <si>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</si>
  <si>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</si>
  <si>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</si>
  <si>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</si>
  <si>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</si>
  <si>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</si>
  <si>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</si>
  <si>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</si>
  <si>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</si>
  <si>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</si>
  <si>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</si>
  <si>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</si>
  <si>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</si>
  <si>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</si>
  <si>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</si>
  <si>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</si>
  <si>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</si>
  <si>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</si>
  <si>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</si>
  <si>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</si>
  <si>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</si>
  <si>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</si>
  <si>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</si>
  <si>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</si>
  <si>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</si>
  <si>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</si>
  <si>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</si>
  <si>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</si>
  <si>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</si>
  <si>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</si>
  <si>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</si>
  <si>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</si>
  <si>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</si>
  <si>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</si>
  <si>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</si>
  <si>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</si>
  <si>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</si>
  <si>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</si>
  <si>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</si>
  <si>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</si>
  <si>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</si>
  <si>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</si>
  <si>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</si>
  <si>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</si>
  <si>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</si>
  <si>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</si>
  <si>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</si>
  <si>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</si>
  <si>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</si>
  <si>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</si>
  <si>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</si>
  <si>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</si>
  <si>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</si>
  <si>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</si>
  <si>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</si>
  <si>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</si>
  <si>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</si>
  <si>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</si>
  <si>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</si>
  <si>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</si>
  <si>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</si>
  <si>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</si>
  <si>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</si>
  <si>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</si>
  <si>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</si>
  <si>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</si>
  <si>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</si>
  <si>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</si>
  <si>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</si>
  <si>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</si>
  <si>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</si>
  <si>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</si>
  <si>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</si>
  <si>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</si>
  <si>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</si>
  <si>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</si>
  <si>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</si>
  <si>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</si>
  <si>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</si>
  <si>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</si>
  <si>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</si>
  <si>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</si>
  <si>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</si>
  <si>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</si>
  <si>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</si>
  <si>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</si>
  <si>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</si>
  <si>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</si>
  <si>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</si>
  <si>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</si>
  <si>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</si>
  <si>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</si>
  <si>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</si>
  <si>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</si>
  <si>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</si>
  <si>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</si>
  <si>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</si>
  <si>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</si>
  <si>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</si>
  <si>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</si>
  <si>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</si>
  <si>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</si>
  <si>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</si>
  <si>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</si>
  <si>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</si>
  <si>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</si>
  <si>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</si>
  <si>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</si>
  <si>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</si>
  <si>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</si>
  <si>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</si>
  <si>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</si>
  <si>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</si>
  <si>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</si>
  <si>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</si>
  <si>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</si>
  <si>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</si>
  <si>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</si>
  <si>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</si>
  <si>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</si>
  <si>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</si>
  <si>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</si>
  <si>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</si>
  <si>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</si>
  <si>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</si>
  <si>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</si>
  <si>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</si>
  <si>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</si>
  <si>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</si>
  <si>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</si>
  <si>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</si>
  <si>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</si>
  <si>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</si>
  <si>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</si>
  <si>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</si>
  <si>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</si>
  <si>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</si>
  <si>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</si>
  <si>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</si>
  <si>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</si>
  <si>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</si>
  <si>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</si>
  <si>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</si>
  <si>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</si>
  <si>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</si>
  <si>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</si>
  <si>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</si>
  <si>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</si>
  <si>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</si>
  <si>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</si>
  <si>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</si>
  <si>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</si>
  <si>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</si>
  <si>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</si>
  <si>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</si>
  <si>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</si>
  <si>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</si>
  <si>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</si>
  <si>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</si>
  <si>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</si>
  <si>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</si>
  <si>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</si>
  <si>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</si>
  <si>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</si>
  <si>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</si>
  <si>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</si>
  <si>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</si>
  <si>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</si>
  <si>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</si>
  <si>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</si>
  <si>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</si>
  <si>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</si>
  <si>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</si>
  <si>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</si>
  <si>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</si>
  <si>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</si>
  <si>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</si>
  <si>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</si>
  <si>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</si>
  <si>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</si>
  <si>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</si>
  <si>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</si>
  <si>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</si>
  <si>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</si>
  <si>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</si>
  <si>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</si>
  <si>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</si>
  <si>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</si>
  <si>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</si>
  <si>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</si>
  <si>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</si>
  <si>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</si>
  <si>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</si>
  <si>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</si>
  <si>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</si>
  <si>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</si>
  <si>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</si>
  <si>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</si>
  <si>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</si>
  <si>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</si>
  <si>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</si>
  <si>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</si>
  <si>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</si>
  <si>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</si>
  <si>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</si>
  <si>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</si>
  <si>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</si>
  <si>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</si>
  <si>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</si>
  <si>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</si>
  <si>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</si>
  <si>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</si>
  <si>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</si>
  <si>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</si>
  <si>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</si>
  <si>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</si>
  <si>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</si>
  <si>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</si>
  <si>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</si>
  <si>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</si>
  <si>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</si>
  <si>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</si>
  <si>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</si>
  <si>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</si>
  <si>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</si>
  <si>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</si>
  <si>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</si>
  <si>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</si>
  <si>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</si>
  <si>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</si>
  <si>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</si>
  <si>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</si>
  <si>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</si>
  <si>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</si>
  <si>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</si>
  <si>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</si>
  <si>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</si>
  <si>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</si>
  <si>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</si>
  <si>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</si>
  <si>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</si>
  <si>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</si>
  <si>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</si>
  <si>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</si>
  <si>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</si>
  <si>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</si>
  <si>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</si>
  <si>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</si>
  <si>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</si>
  <si>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</si>
  <si>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</si>
  <si>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</si>
  <si>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</si>
  <si>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</si>
  <si>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</si>
  <si>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</si>
  <si>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</si>
  <si>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</si>
  <si>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</si>
  <si>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</si>
  <si>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</si>
  <si>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</si>
  <si>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</si>
  <si>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</si>
  <si>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</si>
  <si>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</si>
  <si>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</si>
  <si>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</si>
  <si>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</si>
  <si>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</si>
  <si>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</si>
  <si>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</si>
  <si>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</si>
  <si>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</si>
  <si>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</si>
  <si>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</si>
  <si>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</si>
  <si>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</si>
  <si>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</si>
  <si>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</si>
  <si>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</si>
  <si>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</si>
  <si>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</si>
  <si>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</si>
  <si>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</si>
  <si>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</si>
  <si>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</si>
  <si>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</si>
  <si>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</si>
  <si>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</si>
  <si>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</si>
  <si>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</si>
  <si>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</si>
  <si>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</si>
  <si>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</si>
  <si>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</si>
  <si>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</si>
  <si>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</si>
  <si>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</si>
  <si>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</si>
  <si>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</si>
  <si>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</si>
  <si>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</si>
  <si>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</si>
  <si>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</si>
  <si>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</si>
  <si>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</si>
  <si>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</si>
  <si>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</si>
  <si>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</si>
  <si>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</si>
  <si>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</si>
  <si>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</si>
  <si>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</si>
  <si>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</si>
  <si>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</si>
  <si>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</si>
  <si>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</si>
  <si>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</si>
  <si>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</si>
  <si>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</si>
  <si>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</si>
  <si>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</si>
  <si>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</si>
  <si>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</si>
  <si>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</si>
  <si>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</si>
  <si>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</si>
  <si>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</si>
  <si>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</si>
  <si>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</si>
  <si>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</si>
  <si>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</si>
  <si>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</si>
  <si>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</si>
  <si>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</si>
  <si>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</si>
  <si>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</si>
  <si>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</si>
  <si>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</si>
  <si>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</si>
  <si>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</si>
  <si>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</si>
  <si>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</si>
  <si>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</si>
  <si>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</si>
  <si>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</si>
  <si>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</si>
  <si>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</si>
  <si>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</si>
  <si>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</si>
  <si>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</si>
  <si>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</si>
  <si>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</si>
  <si>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</si>
  <si>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</si>
  <si>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</si>
  <si>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</si>
  <si>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</si>
  <si>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</si>
  <si>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</si>
  <si>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</si>
  <si>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</si>
  <si>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</si>
  <si>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</si>
  <si>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</si>
  <si>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</si>
  <si>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</si>
  <si>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</si>
  <si>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</si>
  <si>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</si>
  <si>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</si>
  <si>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</si>
  <si>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</si>
  <si>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</si>
  <si>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</si>
  <si>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</si>
  <si>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</si>
  <si>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</si>
  <si>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</si>
  <si>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</si>
  <si>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</si>
  <si>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</si>
  <si>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</si>
  <si>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</si>
  <si>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</si>
  <si>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</si>
  <si>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</si>
  <si>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</si>
  <si>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</si>
  <si>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</si>
  <si>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</si>
  <si>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</si>
  <si>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</si>
  <si>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</si>
  <si>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</si>
  <si>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</si>
  <si>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</si>
  <si>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</si>
  <si>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</si>
  <si>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</si>
  <si>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</si>
  <si>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</si>
  <si>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</si>
  <si>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</si>
  <si>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</si>
  <si>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</si>
  <si>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</si>
  <si>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</si>
  <si>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</si>
  <si>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</si>
  <si>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</si>
  <si>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</si>
  <si>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</si>
  <si>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</si>
  <si>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</si>
  <si>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</si>
  <si>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</si>
  <si>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</si>
  <si>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</si>
  <si>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</si>
  <si>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</si>
  <si>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</si>
  <si>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</si>
  <si>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</si>
  <si>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</si>
  <si>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</si>
  <si>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</si>
  <si>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</si>
  <si>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</si>
  <si>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</si>
  <si>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</si>
  <si>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</si>
  <si>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</si>
  <si>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</si>
  <si>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</si>
  <si>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</si>
  <si>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</si>
  <si>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</si>
  <si>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</si>
  <si>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</si>
  <si>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</si>
  <si>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</si>
  <si>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</si>
  <si>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</si>
  <si>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</si>
  <si>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</si>
  <si>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</si>
  <si>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</si>
  <si>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</si>
  <si>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</si>
  <si>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</si>
  <si>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</si>
  <si>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</si>
  <si>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</si>
  <si>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</si>
  <si>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</si>
  <si>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</si>
  <si>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</si>
  <si>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</si>
  <si>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</si>
  <si>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</si>
  <si>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</si>
  <si>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</si>
  <si>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</si>
  <si>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</si>
  <si>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</si>
  <si>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</si>
  <si>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</si>
  <si>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</si>
  <si>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</si>
  <si>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</si>
  <si>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</si>
  <si>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</si>
  <si>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</si>
  <si>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</si>
  <si>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</si>
  <si>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</si>
  <si>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</si>
  <si>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</si>
  <si>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</si>
  <si>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</si>
  <si>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</si>
  <si>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</si>
  <si>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</si>
  <si>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</si>
  <si>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</si>
  <si>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</si>
  <si>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</si>
  <si>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</si>
  <si>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</si>
  <si>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</si>
  <si>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</si>
  <si>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</si>
  <si>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</si>
  <si>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</si>
  <si>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</si>
  <si>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</si>
  <si>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</si>
  <si>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</si>
  <si>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</si>
  <si>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</si>
  <si>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</si>
  <si>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</si>
  <si>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</si>
  <si>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</si>
  <si>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</si>
  <si>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</si>
  <si>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</si>
  <si>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</si>
  <si>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</si>
  <si>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</si>
  <si>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</si>
  <si>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</si>
  <si>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</si>
  <si>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</si>
  <si>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</si>
  <si>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</si>
  <si>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</si>
  <si>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</si>
  <si>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</si>
  <si>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</si>
  <si>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</si>
  <si>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</si>
  <si>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</si>
  <si>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</si>
  <si>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</si>
  <si>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</si>
  <si>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</si>
  <si>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</si>
  <si>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</si>
  <si>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</si>
  <si>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</si>
  <si>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</si>
  <si>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</si>
  <si>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</si>
  <si>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</si>
  <si>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</si>
  <si>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</si>
  <si>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</si>
  <si>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</si>
  <si>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</si>
  <si>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</si>
  <si>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</si>
  <si>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</si>
  <si>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</si>
  <si>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</si>
  <si>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</si>
  <si>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</si>
  <si>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</si>
  <si>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</si>
  <si>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</si>
  <si>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</si>
  <si>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</si>
  <si>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</si>
  <si>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</si>
  <si>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</si>
  <si>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</si>
  <si>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</si>
  <si>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</si>
  <si>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</si>
  <si>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</si>
  <si>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</si>
  <si>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</si>
  <si>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</si>
  <si>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</si>
  <si>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</si>
  <si>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</si>
  <si>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</si>
  <si>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</si>
  <si>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</si>
  <si>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</si>
  <si>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</si>
  <si>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</si>
  <si>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</si>
  <si>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</si>
  <si>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</si>
  <si>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</si>
  <si>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</si>
  <si>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</si>
  <si>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</si>
  <si>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</si>
  <si>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</si>
  <si>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</si>
  <si>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</si>
  <si>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</si>
  <si>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</si>
  <si>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</si>
  <si>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</si>
  <si>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</si>
  <si>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</si>
  <si>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</si>
  <si>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</si>
  <si>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</si>
  <si>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</si>
  <si>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</si>
  <si>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</si>
  <si>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</si>
  <si>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</si>
  <si>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</si>
  <si>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</si>
  <si>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</si>
  <si>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</si>
  <si>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</si>
  <si>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</si>
  <si>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</si>
  <si>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</si>
  <si>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</si>
  <si>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</si>
  <si>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</si>
  <si>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</si>
  <si>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</si>
  <si>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</si>
  <si>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</si>
  <si>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</si>
  <si>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</si>
  <si>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</si>
  <si>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</si>
  <si>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</si>
  <si>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</si>
  <si>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</si>
  <si>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</si>
  <si>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</si>
  <si>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</si>
  <si>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</si>
  <si>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</si>
  <si>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</si>
  <si>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</si>
  <si>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</si>
  <si>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</si>
  <si>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</si>
  <si>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</si>
  <si>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</si>
  <si>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</si>
  <si>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</si>
  <si>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</si>
  <si>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</si>
  <si>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</si>
  <si>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</si>
  <si>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</si>
  <si>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</si>
  <si>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</si>
  <si>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</si>
  <si>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</si>
  <si>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</si>
  <si>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</si>
  <si>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</si>
  <si>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</si>
  <si>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</si>
  <si>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</si>
  <si>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</si>
  <si>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</si>
  <si>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</si>
  <si>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</si>
  <si>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</si>
  <si>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</si>
  <si>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</si>
  <si>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</si>
  <si>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</si>
  <si>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</si>
  <si>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</si>
  <si>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</si>
  <si>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</si>
  <si>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</si>
  <si>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</si>
  <si>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</si>
  <si>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</si>
  <si>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</si>
  <si>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</si>
  <si>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</si>
  <si>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</si>
  <si>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</si>
  <si>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</si>
  <si>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</si>
  <si>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</si>
  <si>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</si>
  <si>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</si>
  <si>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</si>
  <si>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</si>
  <si>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</si>
  <si>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</si>
  <si>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</si>
  <si>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</si>
  <si>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</si>
  <si>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</si>
  <si>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</si>
  <si>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</si>
  <si>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</si>
  <si>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</si>
  <si>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</si>
  <si>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</si>
  <si>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</si>
  <si>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</si>
  <si>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</si>
  <si>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</si>
  <si>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</si>
  <si>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</si>
  <si>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</si>
  <si>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</si>
  <si>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</si>
  <si>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</si>
  <si>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</si>
  <si>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</si>
  <si>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</si>
  <si>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</si>
  <si>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</si>
  <si>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</si>
  <si>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</si>
  <si>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</si>
  <si>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</si>
  <si>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</si>
  <si>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</si>
  <si>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</si>
  <si>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</si>
  <si>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</si>
  <si>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</si>
  <si>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</si>
  <si>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</si>
  <si>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</si>
  <si>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</si>
  <si>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</si>
  <si>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</si>
  <si>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</si>
  <si>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</si>
  <si>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</si>
  <si>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</si>
  <si>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</si>
  <si>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</si>
  <si>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</si>
  <si>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</si>
  <si>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</si>
  <si>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</si>
  <si>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</si>
  <si>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</si>
  <si>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</si>
  <si>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</si>
  <si>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</si>
  <si>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</si>
  <si>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</si>
  <si>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</si>
  <si>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</si>
  <si>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</si>
  <si>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</si>
  <si>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</si>
  <si>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</si>
  <si>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</si>
  <si>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</si>
  <si>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</si>
  <si>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</si>
  <si>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</si>
  <si>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</si>
  <si>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</si>
  <si>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</si>
  <si>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</si>
  <si>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</si>
  <si>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</si>
  <si>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</si>
  <si>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</si>
  <si>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</si>
  <si>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</si>
  <si>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</si>
  <si>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</si>
  <si>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</si>
  <si>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</si>
  <si>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</si>
  <si>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</si>
  <si>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</si>
  <si>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</si>
  <si>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</si>
  <si>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</si>
  <si>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</si>
  <si>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</si>
  <si>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</si>
  <si>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</si>
  <si>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</si>
  <si>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</si>
  <si>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</si>
  <si>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</si>
  <si>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</si>
  <si>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</si>
  <si>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</si>
  <si>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</si>
  <si>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</si>
  <si>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</si>
  <si>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</si>
  <si>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</si>
  <si>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</si>
  <si>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</si>
  <si>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</si>
  <si>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</si>
  <si>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</si>
  <si>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</si>
  <si>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</si>
  <si>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</si>
  <si>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</si>
  <si>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</si>
  <si>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</si>
  <si>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</si>
  <si>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</si>
  <si>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</si>
  <si>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</si>
  <si>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</si>
  <si>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</si>
  <si>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</si>
  <si>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</si>
  <si>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</si>
  <si>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</si>
  <si>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</si>
  <si>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</si>
  <si>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</si>
  <si>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</si>
  <si>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</si>
  <si>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</si>
  <si>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</si>
  <si>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</si>
  <si>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</si>
  <si>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</si>
  <si>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</si>
  <si>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</si>
  <si>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</si>
  <si>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</si>
  <si>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</si>
  <si>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</si>
  <si>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</si>
  <si>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</si>
  <si>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</si>
  <si>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</si>
  <si>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</si>
  <si>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</si>
  <si>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</si>
  <si>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</si>
  <si>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</si>
  <si>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</si>
  <si>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</si>
  <si>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</si>
  <si>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</si>
  <si>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</si>
  <si>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</si>
  <si>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</si>
  <si>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</si>
  <si>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</si>
  <si>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</si>
  <si>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</si>
  <si>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</si>
  <si>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</si>
  <si>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</si>
  <si>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</si>
  <si>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</si>
  <si>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</si>
  <si>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</si>
  <si>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</si>
  <si>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</si>
  <si>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</si>
  <si>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</si>
  <si>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</si>
  <si>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</si>
  <si>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</si>
  <si>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</si>
  <si>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</si>
  <si>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</si>
  <si>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</si>
  <si>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</si>
  <si>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</si>
  <si>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</si>
  <si>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</si>
  <si>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</si>
  <si>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</si>
  <si>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</si>
  <si>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</si>
  <si>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</si>
  <si>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</si>
  <si>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</si>
  <si>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</si>
  <si>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</si>
  <si>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</si>
  <si>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</si>
  <si>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</si>
  <si>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</si>
  <si>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</si>
  <si>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</si>
  <si>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</si>
  <si>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</si>
  <si>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</si>
  <si>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</si>
  <si>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</si>
  <si>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</si>
  <si>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</si>
  <si>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</si>
  <si>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</si>
  <si>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</si>
  <si>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</si>
  <si>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</si>
  <si>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</si>
  <si>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</si>
  <si>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</si>
  <si>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</si>
  <si>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</si>
  <si>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</si>
  <si>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</si>
  <si>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</si>
  <si>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</si>
  <si>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</si>
  <si>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</si>
  <si>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</si>
  <si>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</si>
  <si>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</si>
  <si>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</si>
  <si>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</si>
  <si>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</si>
  <si>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</si>
  <si>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</si>
  <si>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</si>
  <si>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</si>
  <si>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</si>
  <si>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</si>
  <si>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</si>
  <si>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</si>
  <si>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</si>
  <si>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</si>
  <si>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</si>
  <si>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</si>
  <si>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</si>
  <si>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</si>
  <si>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</si>
  <si>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</si>
  <si>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</si>
  <si>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</si>
  <si>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</si>
  <si>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</si>
  <si>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</si>
  <si>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</si>
  <si>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</si>
  <si>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</si>
  <si>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</si>
  <si>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</si>
  <si>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</si>
  <si>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</si>
  <si>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</si>
  <si>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</si>
  <si>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</si>
  <si>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</si>
  <si>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</si>
  <si>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</si>
  <si>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</si>
  <si>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</si>
  <si>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</si>
  <si>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</si>
  <si>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</si>
  <si>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</si>
  <si>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</si>
  <si>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</si>
  <si>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</si>
  <si>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</si>
  <si>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</si>
  <si>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</si>
  <si>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</si>
  <si>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</si>
  <si>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</si>
  <si>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</si>
  <si>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</si>
  <si>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</si>
  <si>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</si>
  <si>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</si>
  <si>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</si>
  <si>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</si>
  <si>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</si>
  <si>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</si>
  <si>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</si>
  <si>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</si>
  <si>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</si>
  <si>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</si>
  <si>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</si>
  <si>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</si>
  <si>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</si>
  <si>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</si>
  <si>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</si>
  <si>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</si>
  <si>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</si>
  <si>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</si>
  <si>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</si>
  <si>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</si>
  <si>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</si>
  <si>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</si>
  <si>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</si>
  <si>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</si>
  <si>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</si>
  <si>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</si>
  <si>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</si>
  <si>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</si>
  <si>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</si>
  <si>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</si>
  <si>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</si>
  <si>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</si>
  <si>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</si>
  <si>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</si>
  <si>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</si>
  <si>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</si>
  <si>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</si>
  <si>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</si>
  <si>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</si>
  <si>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</si>
  <si>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</si>
  <si>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</si>
  <si>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</si>
  <si>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</si>
  <si>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</si>
  <si>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</si>
  <si>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DeKalb / LaSalle / Kendall</t>
  </si>
  <si>
    <t>720 Wells Street</t>
  </si>
  <si>
    <t xml:space="preserve">Sandwich  </t>
  </si>
  <si>
    <t>rschmitt@sandwich430.org</t>
  </si>
  <si>
    <t>X</t>
  </si>
  <si>
    <t>Rick Schmitt</t>
  </si>
  <si>
    <t>(815) 786-2187</t>
  </si>
  <si>
    <t>(815) 786-6229</t>
  </si>
  <si>
    <t>Mack &amp; Assocaites, P.C.</t>
  </si>
  <si>
    <t>Tawnya Mack, CPA</t>
  </si>
  <si>
    <t>116 E. Washington Street, Suite One</t>
  </si>
  <si>
    <t>Morris</t>
  </si>
  <si>
    <t>IL</t>
  </si>
  <si>
    <t>(815) 942-3306</t>
  </si>
  <si>
    <t>(815) 942-9430</t>
  </si>
  <si>
    <t>tmack@mackcpas.com</t>
  </si>
  <si>
    <t>Mack &amp; Associates, P.C.</t>
  </si>
  <si>
    <t>G.O. Limited Tax Capital Appreciation Series 2005</t>
  </si>
  <si>
    <t>G.O. Refunding Bonds, Series 2010</t>
  </si>
  <si>
    <t>ISBE Technology Loan - 2016</t>
  </si>
  <si>
    <t>G.O. Bonds, Series 2016</t>
  </si>
  <si>
    <t>ISBE Technology Loans</t>
  </si>
  <si>
    <t>x</t>
  </si>
  <si>
    <t>Constellation New Energy</t>
  </si>
  <si>
    <t>Arbor Management, Inc.</t>
  </si>
  <si>
    <t>DeKalb Co. ROE, IASA</t>
  </si>
  <si>
    <t>Kids - Rockford/ROE - DeKalb</t>
  </si>
  <si>
    <t>Indian Creek, Hinkley Big-Rock</t>
  </si>
  <si>
    <t>Indian Valley Vocational Center</t>
  </si>
  <si>
    <t>Somonauk School District; Kendall Co. Outdoor Education</t>
  </si>
  <si>
    <t>Page 10, Line 72 - Educational Fund:  Sale of food - free &amp; reduced.</t>
  </si>
  <si>
    <t>Page 10, Line 78 - Educational Fund:  Admissions - play and musical.</t>
  </si>
  <si>
    <t>Page 11, Line 107 - Educational Fund:  Miscellaneous reimbursements, refunds, other receipts.</t>
  </si>
  <si>
    <t>Page 11, Line 107 - Operations &amp; Maintenance Fund:  Insurance reimbursements and refunds.</t>
  </si>
  <si>
    <t>Page 11, Line 107 - Transportation Fund:  Insurance reimbursement.</t>
  </si>
  <si>
    <t>Page 12, Line 171 - Educational Fund:  TRS reimbursement.</t>
  </si>
  <si>
    <t>Page 18, Line 165 - Debt Services Fund:  Bond agent fees and bond issuance costs.</t>
  </si>
  <si>
    <t>Page 25 - G.O. Limited Tax Capital Appreciation Series 2005 - reductions from bond refunding.</t>
  </si>
  <si>
    <t>066-005100</t>
  </si>
  <si>
    <t>PDF in Opinion Page with signature</t>
  </si>
  <si>
    <r>
      <t xml:space="preserve">The accompanying Schedule of Expenditures of Federal Awards includes the federal grant activity of </t>
    </r>
    <r>
      <rPr>
        <b/>
        <sz val="9"/>
        <rFont val="Calibri"/>
        <family val="2"/>
        <scheme val="minor"/>
      </rPr>
      <t>Sandwich Community Unit School District #430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</si>
  <si>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Sandwich Community Unit School District #430</t>
    </r>
    <r>
      <rPr>
        <sz val="9"/>
        <rFont val="Calibri"/>
        <family val="2"/>
        <scheme val="minor"/>
      </rPr>
      <t xml:space="preserve"> provided federal awards to subrecipients as follows:</t>
    </r>
  </si>
  <si>
    <t>NONE</t>
  </si>
  <si>
    <t>N/A</t>
  </si>
  <si>
    <t>CHILD NUTRITION CLUSTER:</t>
  </si>
  <si>
    <t xml:space="preserve">  US DEPT. OF AGRICULTURE:</t>
  </si>
  <si>
    <t xml:space="preserve">    PASSED THROUGH ISBE:</t>
  </si>
  <si>
    <t xml:space="preserve">      NATIONAL SCHOOL LUNCH PROGRAM - 2017</t>
  </si>
  <si>
    <t>4210-2017</t>
  </si>
  <si>
    <t xml:space="preserve">      NATIONAL SCHOOL LUNCH PROGRAM - 2018</t>
  </si>
  <si>
    <t>4210-2018</t>
  </si>
  <si>
    <t xml:space="preserve">      LANTER COMMODITIES</t>
  </si>
  <si>
    <t xml:space="preserve">      SCHOOL BREAKFAST PROGRAM - 2017</t>
  </si>
  <si>
    <t>4220-2017</t>
  </si>
  <si>
    <t xml:space="preserve">      SCHOOL BREAKFAST PROGRAM - 2018</t>
  </si>
  <si>
    <t>4220-2018</t>
  </si>
  <si>
    <t xml:space="preserve">    PASSED THROUGH US DEPT. OF DEFENSE:</t>
  </si>
  <si>
    <t xml:space="preserve">       FRESH FRUITS &amp; VEGETABLES</t>
  </si>
  <si>
    <t>TOTAL CHILD NUTRITION CLUSTER</t>
  </si>
  <si>
    <t>US DEPT OF HEALTH &amp; HUMAN SERVICES:</t>
  </si>
  <si>
    <t xml:space="preserve">  PASSED THROUGH IL DEPT OF HEALTHCARE &amp; FAMILY SERVICES:</t>
  </si>
  <si>
    <t xml:space="preserve">    MEDICAL ASSISTANCE PROGRAM - 2017</t>
  </si>
  <si>
    <t>4991-2017</t>
  </si>
  <si>
    <t xml:space="preserve">    MEDICAL ASSISTANCE PROGRAM - 2018</t>
  </si>
  <si>
    <t>TOTAL US DEPT OF HEALTH &amp; HUMAN SERVICES</t>
  </si>
  <si>
    <t>SPECIAL EDUCATION (IDEA) CLUSTER(M):</t>
  </si>
  <si>
    <t xml:space="preserve">  US DEPT OF EDUCATION:</t>
  </si>
  <si>
    <t xml:space="preserve">      IDEA FLOW-THROUGH - 2018</t>
  </si>
  <si>
    <t xml:space="preserve">      IDEA FLOW-THROUGH - 2017</t>
  </si>
  <si>
    <t>4620-2017</t>
  </si>
  <si>
    <t>4620-2018</t>
  </si>
  <si>
    <t>4625-2017</t>
  </si>
  <si>
    <t xml:space="preserve">      IDEA ROOM &amp; BOARD - 2017</t>
  </si>
  <si>
    <t>4625-2018</t>
  </si>
  <si>
    <t xml:space="preserve">      IDEA ROOM &amp; BOARD - 2018</t>
  </si>
  <si>
    <t xml:space="preserve">      IDEA PRESCHOOL FLOW-THROUGH - 2017</t>
  </si>
  <si>
    <t>4600-2017</t>
  </si>
  <si>
    <t xml:space="preserve">      IDEA PRESCHOOL FLOW-THROUGH - 2018</t>
  </si>
  <si>
    <t>4600-2018</t>
  </si>
  <si>
    <t>TOTAL SPECIAL EDUCATION (IDEA) CLUSTER</t>
  </si>
  <si>
    <t>US DEPT OF EDUCATION:</t>
  </si>
  <si>
    <t xml:space="preserve">  PASSED THROUGH ISBE:</t>
  </si>
  <si>
    <t xml:space="preserve">    TITLE I - 2017</t>
  </si>
  <si>
    <t>4300-2017</t>
  </si>
  <si>
    <t xml:space="preserve">    TITLE I - 2018</t>
  </si>
  <si>
    <t>4300-2018</t>
  </si>
  <si>
    <t xml:space="preserve">    TITLE II - 2018</t>
  </si>
  <si>
    <t>4932-2018</t>
  </si>
  <si>
    <t xml:space="preserve">    TITLE IVA - 2018 (M)</t>
  </si>
  <si>
    <t>4400-2018</t>
  </si>
  <si>
    <t>TOTAL US DEPT OF EDUCATION</t>
  </si>
  <si>
    <t xml:space="preserve">  TOTAL PASSED THROUGH ISBE</t>
  </si>
  <si>
    <t>US DEPT OF EDUCATION (CONTINUED):</t>
  </si>
  <si>
    <t xml:space="preserve">  PASSED THROUGH VALEES:</t>
  </si>
  <si>
    <t xml:space="preserve">    PERKINS - 2018</t>
  </si>
  <si>
    <t>4770-2018</t>
  </si>
  <si>
    <t>TOTAL FEDERAL AWARDS</t>
  </si>
  <si>
    <t>Unmodified</t>
  </si>
  <si>
    <t>84.027 / 84.173</t>
  </si>
  <si>
    <t>SPECIAL EDUCATION (IDEA) CLUSTER</t>
  </si>
  <si>
    <t>STUDENT SUPPORT &amp; ACADEMIC ENRICHMENT</t>
  </si>
  <si>
    <t>For the year ended June 30, 2018 there was insufficient financial oversight by District personnel and those charged with governance of the District. Oversight of the District’s processes, procedures, and controls related to financial reporting were not effective to ensure the financial statements and related disclosures were complete and accurate.</t>
  </si>
  <si>
    <t>The Board of Education and District Management have the ultimate responsibility for oversight of the District’s system of internal control over financial reporting. While it is acceptable to outsource various functions, responsibility for financial oversight cannot be outsourced to external auditors. As independent auditors, the external auditors cannot be considered a part of the District’s system of internal controls.</t>
  </si>
  <si>
    <t>As a result of insufficient financial oversight during the year, we identified a number of internal control deficiencies and matters, which are included on the following pages and in a separate letter.</t>
  </si>
  <si>
    <t>Material misstatements to the financial statements were not prevented or detected during the normal course of operations. Significant audit adjustments were required.</t>
  </si>
  <si>
    <t>District management did not effectively oversee the District’s system of internal controls over financial reporting</t>
  </si>
  <si>
    <t>It is imperative that District personnel involved in the financial reporting process and those charged with governance have a thorough understanding of financial and regulatory matters, and effectively oversee the District’s financial operations and internal controls.</t>
  </si>
  <si>
    <t>Management is aware of this condition, and is continuing to implement the necessary policies and procedures.</t>
  </si>
  <si>
    <t>The District’s personnel do not prepare the District’s financial statements and related disclosures. The District engages the external auditors to assist in preparing these reports using the financial reports provided by the District.</t>
  </si>
  <si>
    <t>The Board of Education has the ultimate responsibility for the District’s system of internal control over financial reporting. As independent auditors, the external auditors cannot be considered a part of the District’s system of internal controls. While it is acceptable to outsource various functions, responsibility for internal control cannot be outsourced to external auditors. While it is common practice for the auditors to prepare the financial statements for many entities, this is considered an internal control deficiency in accordance with generally accepted auditing standards, which requires written communication to those charged with governance.</t>
  </si>
  <si>
    <t>The District does not prepare the required related disclosures, or the Schedule of Expenditures of Federal Awards.</t>
  </si>
  <si>
    <t>Because the auditors, not management, have prepared the financial statements, related disclosures, and Schedule of Expenditures of Federal Awards, material misstatements to the financial statements may not be prevented or detected by the District’s system of internal controls.</t>
  </si>
  <si>
    <t>District management did not prepare or perform a comprehensive review of the financial statements, related disclosures, and Schedule of Expenditures of Federal Awards.</t>
  </si>
  <si>
    <t>The District could implement internal control procedures related to preparation and/or review of financial statements, such as hiring additional staff with knowledge and ability to prepare the financial statements and related disclosures in accordance with GASB standards, providing necessary training and education to current staff to provide them with knowledge and ability to prepare the financial statements and related disclosures in accordance with GASB standards, or hiring a third party accountant to prepare the financial statements and related disclosures before the audit commences. However, the District may determine that the cost of implementing such controls outweighs the benefits.</t>
  </si>
  <si>
    <t>A control deficiency exists when the design or operation of a control does not allow management or employees, in the normal course of performing their assigned functions, to prevent or detect misstatements on a timely basis.</t>
  </si>
  <si>
    <t>During the course of the audit, we identified misstatements requiring audit adjustments to be posted. These adjustments had a significant effect on the District’s financial statements, and were primarily related to issuance of short-term and long-term debt, as well as payroll reclassifications.</t>
  </si>
  <si>
    <t>The adjustments primarily related to adjusting cash balances and recording debt issuance transactions.  We also noted instances in which salaries were included in benefit line items, and benefits included in salary line items.</t>
  </si>
  <si>
    <t>Certain book balances were misstated at year-end, and significant audit adjustments were required to correct the balances.</t>
  </si>
  <si>
    <t>Debt issuance is a complex and infrequent transaction, and cash flows were not properly recorded.</t>
  </si>
  <si>
    <t>Month-end, or year-end adjustments should be made to record any transactions that occur outside of the District’s normal operating accounts.</t>
  </si>
  <si>
    <t>SPECIAL EDUCATION (IDEA) CLUSTER - 2018</t>
  </si>
  <si>
    <t>4600, 4620, 4625</t>
  </si>
  <si>
    <t>84.027, 84.173</t>
  </si>
  <si>
    <t>US DEPARTMENT OF EDUCATION</t>
  </si>
  <si>
    <t>The Board of Education and District Management have the ultimate responsibility for oversight of the District’s system of internal control over grant financial reporting. While it is acceptable to outsource various functions, responsibility for grant financial reporting oversight cannot be outsourced to external auditors. As independent auditors, the external auditors cannot be considered a part of the District’s system of internal controls.</t>
  </si>
  <si>
    <t>The District’s process for oversight of grant financial reporting is insufficient.</t>
  </si>
  <si>
    <t>As a result of insufficient oversight during the year, the District was required to correct MOE errors and expenditure reporting errors.</t>
  </si>
  <si>
    <t>Significant errors to the MOE and expenditure reports were not prevented or detected during the normal course of operations. Significant assistance from the auditors and  adjustments were required to correct these errors.</t>
  </si>
  <si>
    <t>There is no formal process by which the Special Education Director reviews grant expenditure reports for completeness and accuracy prior to submission.</t>
  </si>
  <si>
    <t>It is imperative that Special Education Director perform a detailed review of all grant expenditures and other reports prior to submission.  The Director should develop a reporting timeline, review procedure, and monitoring procedure for compliance requirements such as maintenance of effort.  All procedures should be clearly documented by a checklist or applicable sign-offs.</t>
  </si>
  <si>
    <t>Management is aware of this condition, and has begun to implement the necessary policies and procedures.</t>
  </si>
  <si>
    <t>2017-01</t>
  </si>
  <si>
    <t>This finding has been repeated as 2018-01.</t>
  </si>
  <si>
    <t xml:space="preserve">For the year ended June 30, 2017 there was </t>
  </si>
  <si>
    <t xml:space="preserve">insufficient financial oversight by District personnel </t>
  </si>
  <si>
    <t xml:space="preserve">and those charged with governance of the District. </t>
  </si>
  <si>
    <t xml:space="preserve">Oversight of the District’s processes, procedures, and </t>
  </si>
  <si>
    <t xml:space="preserve">controls related to financial reporting were not </t>
  </si>
  <si>
    <t xml:space="preserve">effective to ensure the financial statements and </t>
  </si>
  <si>
    <t>related disclosures were complete and accurate.</t>
  </si>
  <si>
    <t>2017-02</t>
  </si>
  <si>
    <t>This finding has been repeated as 2018-02.</t>
  </si>
  <si>
    <t xml:space="preserve">Currently, the District’s personnel do not prepare </t>
  </si>
  <si>
    <t xml:space="preserve">the District’s financial statements and related </t>
  </si>
  <si>
    <t xml:space="preserve">disclosures. The District engages the external </t>
  </si>
  <si>
    <t xml:space="preserve">auditors to assist in preparing these reports using </t>
  </si>
  <si>
    <t>the financial reports provided by the District.</t>
  </si>
  <si>
    <t>2017-03</t>
  </si>
  <si>
    <t>This finding has been repeated as 2018-03.</t>
  </si>
  <si>
    <t xml:space="preserve">During the course of the audit, we identified </t>
  </si>
  <si>
    <t xml:space="preserve">misstatements requiring audit adjustments to be </t>
  </si>
  <si>
    <t xml:space="preserve">posted. These adjustments had a significant effect </t>
  </si>
  <si>
    <t xml:space="preserve">on the District’s financial statements, and were </t>
  </si>
  <si>
    <t xml:space="preserve">primarily related to issuance of short-term and </t>
  </si>
  <si>
    <t>long-term debt.</t>
  </si>
  <si>
    <t>ED - FOOD SERVICE - PURCHASED SERVICES</t>
  </si>
  <si>
    <t>10-2560-300</t>
  </si>
  <si>
    <t>ARBOR MANAGEMENT INC.</t>
  </si>
  <si>
    <t>Sandwich CUSD 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</si>
</sst>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742950</xdr:colOff>
          <xdr:row>4</xdr:row>
          <xdr:rowOff>57150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742950</xdr:colOff>
          <xdr:row>9</xdr:row>
          <xdr:rowOff>57150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742950</xdr:colOff>
          <xdr:row>14</xdr:row>
          <xdr:rowOff>57150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1</xdr:col>
          <xdr:colOff>914400</xdr:colOff>
          <xdr:row>17</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82C63A4B-D00C-4B4D-A26A-1EFBB7B5344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790575</xdr:colOff>
          <xdr:row>20</xdr:row>
          <xdr:rowOff>47625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9A25EE19-313A-4B74-BE6B-BB089DF1CF6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2079</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2079</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16019430026</v>
      </c>
      <c r="B13" s="2007"/>
      <c r="C13" s="2007"/>
      <c r="D13" s="2007"/>
      <c r="E13" s="2007"/>
      <c r="F13" s="2007"/>
      <c r="G13" s="2007"/>
      <c r="H13" s="2008"/>
      <c r="I13" s="31"/>
      <c r="J13" s="30"/>
      <c r="K13" s="28"/>
      <c r="L13" s="30"/>
      <c r="M13" s="30"/>
      <c r="N13" s="30"/>
      <c r="O13" s="30"/>
      <c r="P13" s="30"/>
      <c r="Q13" s="30"/>
      <c r="R13" s="30"/>
      <c r="S13" s="30"/>
      <c r="T13" s="2011" t="s">
        <v>2083</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2075</v>
      </c>
      <c r="B15" s="2009"/>
      <c r="C15" s="2009"/>
      <c r="D15" s="2009"/>
      <c r="E15" s="2009"/>
      <c r="F15" s="2009"/>
      <c r="G15" s="2009"/>
      <c r="H15" s="2010"/>
      <c r="T15" s="1972" t="s">
        <v>2084</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2233</v>
      </c>
      <c r="B17" s="2034"/>
      <c r="C17" s="2034"/>
      <c r="D17" s="2034"/>
      <c r="E17" s="2034"/>
      <c r="F17" s="2034"/>
      <c r="G17" s="2034"/>
      <c r="H17" s="2035"/>
      <c r="T17" s="2021" t="s">
        <v>2085</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2076</v>
      </c>
      <c r="B19" s="2005"/>
      <c r="C19" s="2005"/>
      <c r="D19" s="2005"/>
      <c r="E19" s="2005"/>
      <c r="F19" s="2005"/>
      <c r="G19" s="2005"/>
      <c r="H19" s="2003"/>
      <c r="I19" s="30"/>
      <c r="J19" s="99"/>
      <c r="K19" s="40"/>
      <c r="L19" s="38"/>
      <c r="M19" s="112" t="s">
        <v>333</v>
      </c>
      <c r="P19" s="27"/>
      <c r="Q19" s="27"/>
      <c r="R19" s="27"/>
      <c r="S19" s="31"/>
      <c r="T19" s="2004" t="s">
        <v>2086</v>
      </c>
      <c r="U19" s="2002"/>
      <c r="V19" s="2002"/>
      <c r="W19" s="2003"/>
      <c r="X19" s="2019" t="s">
        <v>2087</v>
      </c>
      <c r="Y19" s="2020"/>
      <c r="Z19" s="2017">
        <v>60450</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2077</v>
      </c>
      <c r="B21" s="2002"/>
      <c r="C21" s="2002"/>
      <c r="D21" s="2002"/>
      <c r="E21" s="2002"/>
      <c r="F21" s="2002"/>
      <c r="G21" s="2002"/>
      <c r="H21" s="2003"/>
      <c r="I21" s="2027" t="s">
        <v>699</v>
      </c>
      <c r="J21" s="1990"/>
      <c r="K21" s="1990"/>
      <c r="L21" s="1990"/>
      <c r="M21" s="1990"/>
      <c r="N21" s="1990"/>
      <c r="O21" s="1990"/>
      <c r="P21" s="1990"/>
      <c r="Q21" s="1990"/>
      <c r="R21" s="1990"/>
      <c r="S21" s="1991"/>
      <c r="T21" s="1969" t="s">
        <v>2088</v>
      </c>
      <c r="U21" s="1970"/>
      <c r="V21" s="1970"/>
      <c r="W21" s="1970"/>
      <c r="X21" s="1983" t="s">
        <v>2089</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2078</v>
      </c>
      <c r="B23" s="2025"/>
      <c r="C23" s="2025"/>
      <c r="D23" s="2025"/>
      <c r="E23" s="2025"/>
      <c r="F23" s="2025"/>
      <c r="G23" s="2025"/>
      <c r="H23" s="2026"/>
      <c r="T23" s="1964" t="s">
        <v>2113</v>
      </c>
      <c r="U23" s="1965"/>
      <c r="V23" s="1965"/>
      <c r="W23" s="1965"/>
      <c r="X23" s="1980">
        <v>43434</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60548</v>
      </c>
      <c r="B25" s="2002"/>
      <c r="C25" s="2002"/>
      <c r="D25" s="2002"/>
      <c r="E25" s="2002"/>
      <c r="F25" s="2002"/>
      <c r="G25" s="2002"/>
      <c r="H25" s="2003"/>
      <c r="I25" s="113"/>
      <c r="J25" s="2068"/>
      <c r="K25" s="2068"/>
      <c r="L25" s="2068"/>
      <c r="M25" s="2068"/>
      <c r="N25" s="2068"/>
      <c r="O25" s="2068"/>
      <c r="P25" s="2068"/>
      <c r="Q25" s="2068"/>
      <c r="R25" s="2068"/>
      <c r="S25" s="2069"/>
      <c r="T25" s="1961" t="s">
        <v>2090</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2079</v>
      </c>
      <c r="F29" s="141" t="s">
        <v>1383</v>
      </c>
      <c r="G29" s="114"/>
      <c r="I29" s="54"/>
      <c r="J29" s="148" t="s">
        <v>2079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2079</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2079</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2080</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2078</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2081</v>
      </c>
      <c r="B42" s="2051"/>
      <c r="C42" s="2052"/>
      <c r="D42" s="2065" t="s">
        <v>2082</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9" sqref="C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1903</v>
      </c>
      <c r="B2" s="1550" t="s">
        <v>2033</v>
      </c>
      <c r="C2" s="715" t="s">
        <v>1908</v>
      </c>
      <c r="D2" s="715" t="s">
        <v>1909</v>
      </c>
      <c r="E2" s="715" t="s">
        <v>1910</v>
      </c>
      <c r="F2" s="715" t="s">
        <v>1911</v>
      </c>
    </row>
    <row r="3" spans="1:6" ht="12" customHeight="1" x14ac:dyDescent="0.2">
      <c r="A3" s="2204"/>
      <c r="B3" s="1547"/>
      <c r="C3" s="1548"/>
      <c r="D3" s="1549" t="s">
        <v>274</v>
      </c>
      <c r="E3" s="1548"/>
      <c r="F3" s="1549" t="s">
        <v>275</v>
      </c>
    </row>
    <row r="4" spans="1:6" ht="13.7" customHeight="1" x14ac:dyDescent="0.2">
      <c r="A4" s="716" t="s">
        <v>1217</v>
      </c>
      <c r="B4" s="1771">
        <f>'Revenues 9-14'!C5</f>
        <v>11380618</v>
      </c>
      <c r="C4" s="1546">
        <v>4469431</v>
      </c>
      <c r="D4" s="1774">
        <f>B4-C4</f>
        <v>6911187</v>
      </c>
      <c r="E4" s="1546">
        <v>11752900</v>
      </c>
      <c r="F4" s="1774">
        <f>E4-C4</f>
        <v>7283469</v>
      </c>
    </row>
    <row r="5" spans="1:6" ht="13.7" customHeight="1" x14ac:dyDescent="0.2">
      <c r="A5" s="716" t="s">
        <v>925</v>
      </c>
      <c r="B5" s="1772">
        <f>'Revenues 9-14'!D5</f>
        <v>1696073</v>
      </c>
      <c r="C5" s="585">
        <v>245553</v>
      </c>
      <c r="D5" s="1775">
        <f t="shared" ref="D5:D18" si="0">B5-C5</f>
        <v>1450520</v>
      </c>
      <c r="E5" s="585">
        <v>1650084</v>
      </c>
      <c r="F5" s="1775">
        <f>E5-C5</f>
        <v>1404531</v>
      </c>
    </row>
    <row r="6" spans="1:6" ht="13.7" customHeight="1" x14ac:dyDescent="0.2">
      <c r="A6" s="716" t="s">
        <v>431</v>
      </c>
      <c r="B6" s="1772">
        <f>'Revenues 9-14'!E5</f>
        <v>1002405</v>
      </c>
      <c r="C6" s="585">
        <v>619119</v>
      </c>
      <c r="D6" s="1775">
        <f t="shared" si="0"/>
        <v>383286</v>
      </c>
      <c r="E6" s="585">
        <v>647876</v>
      </c>
      <c r="F6" s="1775">
        <f t="shared" ref="F6:F18" si="1">E6-C6</f>
        <v>28757</v>
      </c>
    </row>
    <row r="7" spans="1:6" ht="13.7" customHeight="1" x14ac:dyDescent="0.2">
      <c r="A7" s="716" t="s">
        <v>157</v>
      </c>
      <c r="B7" s="1772">
        <f>'Revenues 9-14'!F5</f>
        <v>112202</v>
      </c>
      <c r="C7" s="585">
        <v>77389</v>
      </c>
      <c r="D7" s="1775">
        <f t="shared" si="0"/>
        <v>34813</v>
      </c>
      <c r="E7" s="585">
        <v>154658</v>
      </c>
      <c r="F7" s="1775">
        <f t="shared" si="1"/>
        <v>77269</v>
      </c>
    </row>
    <row r="8" spans="1:6" ht="13.7" customHeight="1" x14ac:dyDescent="0.2">
      <c r="A8" s="716" t="s">
        <v>1241</v>
      </c>
      <c r="B8" s="1772">
        <f>'Revenues 9-14'!G5</f>
        <v>223062</v>
      </c>
      <c r="C8" s="585">
        <v>55280</v>
      </c>
      <c r="D8" s="1775">
        <f t="shared" si="0"/>
        <v>167782</v>
      </c>
      <c r="E8" s="585">
        <v>205191</v>
      </c>
      <c r="F8" s="1775">
        <f t="shared" si="1"/>
        <v>149911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309</v>
      </c>
      <c r="C10" s="585">
        <v>119</v>
      </c>
      <c r="D10" s="1775">
        <f t="shared" si="0"/>
        <v>190</v>
      </c>
      <c r="E10" s="585">
        <v>321</v>
      </c>
      <c r="F10" s="1775">
        <f t="shared" si="1"/>
        <v>202</v>
      </c>
    </row>
    <row r="11" spans="1:6" x14ac:dyDescent="0.2">
      <c r="A11" s="716" t="s">
        <v>429</v>
      </c>
      <c r="B11" s="1772">
        <f>'Revenues 9-14'!J5</f>
        <v>308</v>
      </c>
      <c r="C11" s="585">
        <v>119</v>
      </c>
      <c r="D11" s="1775">
        <f t="shared" si="0"/>
        <v>189</v>
      </c>
      <c r="E11" s="585">
        <v>321</v>
      </c>
      <c r="F11" s="1775">
        <f t="shared" si="1"/>
        <v>202</v>
      </c>
    </row>
    <row r="12" spans="1:6" ht="13.7" customHeight="1" x14ac:dyDescent="0.2">
      <c r="A12" s="716" t="s">
        <v>159</v>
      </c>
      <c r="B12" s="1772">
        <f>'Revenues 9-14'!K5</f>
        <v>117772</v>
      </c>
      <c r="C12" s="585">
        <v>5528</v>
      </c>
      <c r="D12" s="1775">
        <f t="shared" si="0"/>
        <v>112244</v>
      </c>
      <c r="E12" s="585">
        <v>14574</v>
      </c>
      <c r="F12" s="1775">
        <f t="shared" si="1"/>
        <v>9046</v>
      </c>
    </row>
    <row r="13" spans="1:6" ht="13.7" customHeight="1" x14ac:dyDescent="0.2">
      <c r="A13" s="716" t="s">
        <v>993</v>
      </c>
      <c r="B13" s="1772">
        <f>SUM('Revenues 9-14'!C6:D6)</f>
        <v>308</v>
      </c>
      <c r="C13" s="585">
        <v>119</v>
      </c>
      <c r="D13" s="1775">
        <f t="shared" si="0"/>
        <v>189</v>
      </c>
      <c r="E13" s="585">
        <v>321</v>
      </c>
      <c r="F13" s="1775">
        <f t="shared" si="1"/>
        <v>202</v>
      </c>
    </row>
    <row r="14" spans="1:6" ht="13.7" customHeight="1" x14ac:dyDescent="0.2">
      <c r="A14" s="716" t="s">
        <v>430</v>
      </c>
      <c r="B14" s="1772">
        <f>SUM('Revenues 9-14'!C7:D7,'Revenues 9-14'!F7:H7)</f>
        <v>549283</v>
      </c>
      <c r="C14" s="585">
        <v>171243</v>
      </c>
      <c r="D14" s="1775">
        <f t="shared" si="0"/>
        <v>378040</v>
      </c>
      <c r="E14" s="585">
        <v>509565</v>
      </c>
      <c r="F14" s="1775">
        <f t="shared" si="1"/>
        <v>338322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223062</v>
      </c>
      <c r="C16" s="585">
        <v>77389</v>
      </c>
      <c r="D16" s="1775">
        <f t="shared" si="0"/>
        <v>145673</v>
      </c>
      <c r="E16" s="585">
        <v>205191</v>
      </c>
      <c r="F16" s="1775">
        <f t="shared" si="1"/>
        <v>127802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v>-56604</v>
      </c>
      <c r="D18" s="1775">
        <f t="shared" si="0"/>
        <v>56604</v>
      </c>
      <c r="E18" s="585">
        <v>-103531</v>
      </c>
      <c r="F18" s="1775">
        <f t="shared" si="1"/>
        <v>-46927</v>
      </c>
    </row>
    <row r="19" spans="1:6" ht="13.7" customHeight="1" thickBot="1" x14ac:dyDescent="0.25">
      <c r="A19" s="1776" t="s">
        <v>1223</v>
      </c>
      <c r="B19" s="1773">
        <f>SUM(B4:B18)</f>
        <v>15305402</v>
      </c>
      <c r="C19" s="1773">
        <f>SUM(C4:C18)</f>
        <v>5664685</v>
      </c>
      <c r="D19" s="1773">
        <f>SUM(D4:D18)</f>
        <v>9640717</v>
      </c>
      <c r="E19" s="1773">
        <f>SUM(E4:E18)</f>
        <v>15037471</v>
      </c>
      <c r="F19" s="1773">
        <f>SUM(F4:F18)</f>
        <v>9372786</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6" sqref="J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1903</v>
      </c>
      <c r="B2" s="2219"/>
      <c r="C2" s="1909" t="s">
        <v>2034</v>
      </c>
      <c r="D2" s="724" t="s">
        <v>2041</v>
      </c>
      <c r="E2" s="724" t="s">
        <v>2042</v>
      </c>
      <c r="F2" s="1909" t="s">
        <v>2035</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7">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7" t="s">
        <v>652</v>
      </c>
      <c r="B15" s="2208"/>
      <c r="C15" s="1777">
        <f>SUM(C6:C14)</f>
        <v>0</v>
      </c>
      <c r="D15" s="1777">
        <f>SUM(D6:D14)</f>
        <v>0</v>
      </c>
      <c r="E15" s="1777">
        <f>SUM(E6:E14)</f>
        <v>0</v>
      </c>
      <c r="F15" s="1777">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v>3667900</v>
      </c>
      <c r="D17" s="585">
        <v>2919050</v>
      </c>
      <c r="E17" s="727">
        <v>3667900</v>
      </c>
      <c r="F17" s="1777">
        <f>SUM(C17+D17)-E17</f>
        <v>2919050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406</v>
      </c>
      <c r="B19" s="2231"/>
      <c r="C19" s="727"/>
      <c r="D19" s="585"/>
      <c r="E19" s="727"/>
      <c r="F19" s="1777">
        <f>SUM(C19+D19)-E19</f>
        <v>0</v>
      </c>
    </row>
    <row r="20" spans="1:11" ht="12.75" customHeight="1" thickTop="1" thickBot="1" x14ac:dyDescent="0.25">
      <c r="A20" s="2230" t="s">
        <v>468</v>
      </c>
      <c r="B20" s="2231"/>
      <c r="C20" s="727"/>
      <c r="D20" s="585"/>
      <c r="E20" s="727"/>
      <c r="F20" s="1777">
        <f>SUM(C20+D20)-E20</f>
        <v>0</v>
      </c>
    </row>
    <row r="21" spans="1:11" ht="14.25" thickTop="1" thickBot="1" x14ac:dyDescent="0.25">
      <c r="A21" s="2207" t="s">
        <v>653</v>
      </c>
      <c r="B21" s="2208"/>
      <c r="C21" s="1777">
        <f>SUM(C17:C20)</f>
        <v>3667900</v>
      </c>
      <c r="D21" s="1777">
        <f>SUM(D17:D20)</f>
        <v>2919050</v>
      </c>
      <c r="E21" s="1777">
        <f>SUM(E17:E20)</f>
        <v>3667900</v>
      </c>
      <c r="F21" s="1777">
        <f>SUM(F17:F20)</f>
        <v>2919050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7">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7">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7">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10" t="s">
        <v>604</v>
      </c>
      <c r="D30" s="1910" t="s">
        <v>1772</v>
      </c>
      <c r="E30" s="1910" t="s">
        <v>2036</v>
      </c>
      <c r="F30" s="1910" t="s">
        <v>2037</v>
      </c>
      <c r="G30" s="1910" t="s">
        <v>2040</v>
      </c>
      <c r="H30" s="1910" t="s">
        <v>2038</v>
      </c>
      <c r="I30" s="1910" t="s">
        <v>2039</v>
      </c>
      <c r="J30" s="1911" t="s">
        <v>2</v>
      </c>
      <c r="K30" s="732"/>
    </row>
    <row r="31" spans="1:11" ht="12" customHeight="1" x14ac:dyDescent="0.2">
      <c r="A31" s="733" t="s">
        <v>2092</v>
      </c>
      <c r="B31" s="734">
        <v>38492</v>
      </c>
      <c r="C31" s="735">
        <v>468886</v>
      </c>
      <c r="D31" s="736">
        <v>4</v>
      </c>
      <c r="E31" s="735">
        <v>151972</v>
      </c>
      <c r="F31" s="735"/>
      <c r="G31" s="735"/>
      <c r="H31" s="735">
        <v>17344</v>
      </c>
      <c r="I31" s="1778">
        <f>((E31+F31)-H31)+G31</f>
        <v>134628</v>
      </c>
      <c r="J31" s="735">
        <v>134628</v>
      </c>
      <c r="K31" s="737"/>
    </row>
    <row r="32" spans="1:11" ht="12" customHeight="1" x14ac:dyDescent="0.2">
      <c r="A32" s="733" t="s">
        <v>2093</v>
      </c>
      <c r="B32" s="734">
        <v>40238</v>
      </c>
      <c r="C32" s="735">
        <v>6280000</v>
      </c>
      <c r="D32" s="736">
        <v>3</v>
      </c>
      <c r="E32" s="735">
        <v>1595000</v>
      </c>
      <c r="F32" s="735"/>
      <c r="G32" s="735"/>
      <c r="H32" s="735">
        <v>1050000</v>
      </c>
      <c r="I32" s="1778">
        <f>((E32+F32)-H32)+G32</f>
        <v>545000</v>
      </c>
      <c r="J32" s="735">
        <v>545000</v>
      </c>
      <c r="K32" s="737"/>
    </row>
    <row r="33" spans="1:11" ht="12" customHeight="1" x14ac:dyDescent="0.2">
      <c r="A33" s="733" t="s">
        <v>2094</v>
      </c>
      <c r="B33" s="734">
        <v>42395</v>
      </c>
      <c r="C33" s="735">
        <v>225100</v>
      </c>
      <c r="D33" s="736">
        <v>7</v>
      </c>
      <c r="E33" s="735">
        <v>113737</v>
      </c>
      <c r="F33" s="735"/>
      <c r="G33" s="735"/>
      <c r="H33" s="735">
        <v>75447</v>
      </c>
      <c r="I33" s="1778">
        <f t="shared" ref="I33:I48" si="1">((E33+F33)-H33)+G33</f>
        <v>38290</v>
      </c>
      <c r="J33" s="735">
        <v>38290</v>
      </c>
      <c r="K33" s="737"/>
    </row>
    <row r="34" spans="1:11" ht="12" customHeight="1" x14ac:dyDescent="0.2">
      <c r="A34" s="733" t="s">
        <v>2095</v>
      </c>
      <c r="B34" s="734">
        <v>42733</v>
      </c>
      <c r="C34" s="735">
        <v>249000</v>
      </c>
      <c r="D34" s="736">
        <v>3</v>
      </c>
      <c r="E34" s="735">
        <v>249000</v>
      </c>
      <c r="F34" s="735"/>
      <c r="G34" s="735"/>
      <c r="H34" s="735"/>
      <c r="I34" s="1778">
        <f t="shared" si="1"/>
        <v>249000</v>
      </c>
      <c r="J34" s="735">
        <v>249000</v>
      </c>
      <c r="K34" s="738"/>
    </row>
    <row r="35" spans="1:11" ht="12" customHeight="1" x14ac:dyDescent="0.2">
      <c r="A35" s="733" t="s">
        <v>2095</v>
      </c>
      <c r="B35" s="734">
        <v>42733</v>
      </c>
      <c r="C35" s="739">
        <v>530000</v>
      </c>
      <c r="D35" s="736">
        <v>4</v>
      </c>
      <c r="E35" s="739">
        <v>530000</v>
      </c>
      <c r="F35" s="739"/>
      <c r="G35" s="739"/>
      <c r="H35" s="739"/>
      <c r="I35" s="1778">
        <f t="shared" si="1"/>
        <v>530000</v>
      </c>
      <c r="J35" s="739">
        <v>530000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7752986</v>
      </c>
      <c r="D49" s="746"/>
      <c r="E49" s="1778">
        <f t="shared" ref="E49:J49" si="2">SUM(E31:E48)</f>
        <v>2639709</v>
      </c>
      <c r="F49" s="1778">
        <f t="shared" si="2"/>
        <v>0</v>
      </c>
      <c r="G49" s="1778">
        <f t="shared" si="2"/>
        <v>0</v>
      </c>
      <c r="H49" s="1778">
        <f t="shared" si="2"/>
        <v>1142791</v>
      </c>
      <c r="I49" s="1778">
        <f t="shared" si="2"/>
        <v>1496918</v>
      </c>
      <c r="J49" s="1778">
        <f t="shared" si="2"/>
        <v>1496918</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t="s">
        <v>2096</v>
      </c>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1917</v>
      </c>
      <c r="K2" s="763" t="s">
        <v>140</v>
      </c>
    </row>
    <row r="3" spans="1:11" x14ac:dyDescent="0.2">
      <c r="A3" s="2240" t="s">
        <v>1698</v>
      </c>
      <c r="B3" s="2241"/>
      <c r="C3" s="2241"/>
      <c r="D3" s="2241"/>
      <c r="E3" s="2242"/>
      <c r="F3" s="764"/>
      <c r="G3" s="765"/>
      <c r="H3" s="765"/>
      <c r="I3" s="765"/>
      <c r="J3" s="766"/>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549283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17599</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25465</v>
      </c>
    </row>
    <row r="10" spans="1:11" x14ac:dyDescent="0.2">
      <c r="A10" s="2261" t="s">
        <v>1918</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9"/>
      <c r="G12" s="1780">
        <f>SUM(G5:G11)</f>
        <v>0</v>
      </c>
      <c r="H12" s="1780">
        <f>SUM(H5:H11)</f>
        <v>549283</v>
      </c>
      <c r="I12" s="1780">
        <f>SUM(I5:I11)</f>
        <v>0</v>
      </c>
      <c r="J12" s="1780">
        <f>SUM(J5:J11)</f>
        <v>0</v>
      </c>
      <c r="K12" s="1780">
        <f>SUM(K5:K11)</f>
        <v>43064</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549283</v>
      </c>
      <c r="I14" s="772"/>
      <c r="J14" s="774"/>
      <c r="K14" s="766">
        <v>43064</v>
      </c>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1914</v>
      </c>
      <c r="B19" s="2269"/>
      <c r="C19" s="2269"/>
      <c r="D19" s="2269"/>
      <c r="E19" s="2270"/>
      <c r="F19" s="790" t="s">
        <v>990</v>
      </c>
      <c r="G19" s="783"/>
      <c r="H19" s="783"/>
      <c r="I19" s="783"/>
      <c r="J19" s="766"/>
      <c r="K19" s="796"/>
    </row>
    <row r="20" spans="1:11" x14ac:dyDescent="0.2">
      <c r="A20" s="2248" t="s">
        <v>1919</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1"/>
      <c r="G21" s="793"/>
      <c r="H21" s="797"/>
      <c r="I21" s="797"/>
      <c r="J21" s="1782">
        <f>SUM(J18:J20)</f>
        <v>0</v>
      </c>
      <c r="K21" s="794"/>
    </row>
    <row r="22" spans="1:11" ht="13.5" thickTop="1" x14ac:dyDescent="0.2">
      <c r="A22" s="2234" t="s">
        <v>1920</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3"/>
      <c r="G23" s="1780">
        <f>SUM(G14:G16,G21,G22)</f>
        <v>0</v>
      </c>
      <c r="H23" s="1780">
        <f>SUM(H14:H16,H21,H22)</f>
        <v>549283</v>
      </c>
      <c r="I23" s="1780">
        <f>SUM(I14:I16,I21,I22)</f>
        <v>0</v>
      </c>
      <c r="J23" s="1780">
        <f>SUM(J14:J16,J21,J22)</f>
        <v>0</v>
      </c>
      <c r="K23" s="1780">
        <f>SUM(K14:K16,K21,K22)</f>
        <v>43064</v>
      </c>
    </row>
    <row r="24" spans="1:11" ht="14.25" thickTop="1" thickBot="1" x14ac:dyDescent="0.25">
      <c r="A24" s="2255" t="s">
        <v>2022</v>
      </c>
      <c r="B24" s="2254"/>
      <c r="C24" s="2254"/>
      <c r="D24" s="2254"/>
      <c r="E24" s="225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1" sqref="J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2031</v>
      </c>
      <c r="B1" s="2274"/>
      <c r="C1" s="2275"/>
      <c r="D1" s="827"/>
      <c r="E1" s="828"/>
      <c r="F1" s="828"/>
      <c r="G1" s="829"/>
      <c r="H1" s="830"/>
      <c r="I1" s="831"/>
      <c r="J1" s="2271"/>
      <c r="K1" s="2272"/>
      <c r="L1" s="2272"/>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3754467</v>
      </c>
      <c r="D5" s="842"/>
      <c r="E5" s="842"/>
      <c r="F5" s="1782">
        <f>(C5+D5)-E5</f>
        <v>3754467</v>
      </c>
      <c r="G5" s="838"/>
      <c r="H5" s="843"/>
      <c r="I5" s="843"/>
      <c r="J5" s="843"/>
      <c r="K5" s="794"/>
      <c r="L5" s="1791">
        <f>F5-K5</f>
        <v>3754467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20017535</v>
      </c>
      <c r="D8" s="845"/>
      <c r="E8" s="845"/>
      <c r="F8" s="1782">
        <f>(C8+D8)-E8</f>
        <v>20017535</v>
      </c>
      <c r="G8" s="844">
        <v>50</v>
      </c>
      <c r="H8" s="766">
        <v>9343768</v>
      </c>
      <c r="I8" s="766">
        <v>477360</v>
      </c>
      <c r="J8" s="766"/>
      <c r="K8" s="1791">
        <f>(H8+I8)-J8</f>
        <v>9821128</v>
      </c>
      <c r="L8" s="1791">
        <f>F8-K8</f>
        <v>10196407</v>
      </c>
    </row>
    <row r="9" spans="1:14" ht="14.25" thickTop="1" thickBot="1" x14ac:dyDescent="0.25">
      <c r="A9" s="779" t="s">
        <v>1181</v>
      </c>
      <c r="B9" s="841">
        <v>232</v>
      </c>
      <c r="C9" s="766">
        <v>199500</v>
      </c>
      <c r="D9" s="766"/>
      <c r="E9" s="766"/>
      <c r="F9" s="1782">
        <f>(C9+D9)-E9</f>
        <v>199500</v>
      </c>
      <c r="G9" s="844">
        <v>20</v>
      </c>
      <c r="H9" s="766">
        <v>104738</v>
      </c>
      <c r="I9" s="766">
        <v>9975</v>
      </c>
      <c r="J9" s="766"/>
      <c r="K9" s="1791">
        <f>(H9+I9)-J9</f>
        <v>114713</v>
      </c>
      <c r="L9" s="1791">
        <f>F9-K9</f>
        <v>84787</v>
      </c>
    </row>
    <row r="10" spans="1:14" ht="24" thickTop="1" thickBot="1" x14ac:dyDescent="0.25">
      <c r="A10" s="846" t="s">
        <v>1182</v>
      </c>
      <c r="B10" s="841">
        <v>240</v>
      </c>
      <c r="C10" s="847">
        <v>569051</v>
      </c>
      <c r="D10" s="847"/>
      <c r="E10" s="847"/>
      <c r="F10" s="1786">
        <f>(C10+D10)-E10</f>
        <v>569051</v>
      </c>
      <c r="G10" s="844">
        <v>20</v>
      </c>
      <c r="H10" s="848">
        <v>341621</v>
      </c>
      <c r="I10" s="848">
        <v>25778</v>
      </c>
      <c r="J10" s="848"/>
      <c r="K10" s="1791">
        <f>(H10+I10)-J10</f>
        <v>367399</v>
      </c>
      <c r="L10" s="1791">
        <f>F10-K10</f>
        <v>201652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5522966</v>
      </c>
      <c r="D12" s="845">
        <v>37346</v>
      </c>
      <c r="E12" s="845">
        <v>191511</v>
      </c>
      <c r="F12" s="1782">
        <f>(C12+D12)-E12</f>
        <v>5368801</v>
      </c>
      <c r="G12" s="844">
        <v>10</v>
      </c>
      <c r="H12" s="766">
        <v>5162922</v>
      </c>
      <c r="I12" s="766">
        <f>76433+702</f>
        <v>77135</v>
      </c>
      <c r="J12" s="766">
        <v>173227</v>
      </c>
      <c r="K12" s="1791">
        <f>(H12+I12)-J12</f>
        <v>5066830</v>
      </c>
      <c r="L12" s="1791">
        <f>F12-K12</f>
        <v>301971</v>
      </c>
    </row>
    <row r="13" spans="1:14" ht="14.25" thickTop="1" thickBot="1" x14ac:dyDescent="0.25">
      <c r="A13" s="849" t="s">
        <v>1184</v>
      </c>
      <c r="B13" s="841">
        <v>252</v>
      </c>
      <c r="C13" s="845">
        <v>2313821</v>
      </c>
      <c r="D13" s="845"/>
      <c r="E13" s="845"/>
      <c r="F13" s="1782">
        <f>(C13+D13)-E13</f>
        <v>2313821</v>
      </c>
      <c r="G13" s="844">
        <v>5</v>
      </c>
      <c r="H13" s="766">
        <v>2235841</v>
      </c>
      <c r="I13" s="766">
        <v>24010</v>
      </c>
      <c r="J13" s="766"/>
      <c r="K13" s="1791">
        <f>(H13+I13)-J13</f>
        <v>2259851</v>
      </c>
      <c r="L13" s="1791">
        <f>F13-K13</f>
        <v>53970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6245</v>
      </c>
      <c r="E15" s="845"/>
      <c r="F15" s="1782">
        <f>(C15+D15)-E15</f>
        <v>6245</v>
      </c>
      <c r="G15" s="850" t="s">
        <v>917</v>
      </c>
      <c r="H15" s="782"/>
      <c r="I15" s="782"/>
      <c r="J15" s="782"/>
      <c r="K15" s="782"/>
      <c r="L15" s="1791">
        <f>F15-K15</f>
        <v>6245</v>
      </c>
    </row>
    <row r="16" spans="1:14" ht="15" customHeight="1" thickTop="1" thickBot="1" x14ac:dyDescent="0.25">
      <c r="A16" s="1787" t="s">
        <v>664</v>
      </c>
      <c r="B16" s="1788">
        <v>200</v>
      </c>
      <c r="C16" s="1782">
        <f>SUM(C3,C5:C6,C8:C10,C12:C15)</f>
        <v>32377340</v>
      </c>
      <c r="D16" s="1782">
        <f>SUM(D3,D5:D6,D8:D10,D12:D15)</f>
        <v>43591</v>
      </c>
      <c r="E16" s="1782">
        <f>SUM(E3,E5:E6,E8:E10,E12:E15)</f>
        <v>191511</v>
      </c>
      <c r="F16" s="1782">
        <f>SUM(F3,F5:F6,F8:F10,F12:F15)</f>
        <v>32229420</v>
      </c>
      <c r="G16" s="844"/>
      <c r="H16" s="1782">
        <f>SUM(H3,H6,H8:H10,H12:H14,)</f>
        <v>17188890</v>
      </c>
      <c r="I16" s="1782">
        <f>SUM(I3,I6,I8:I10,I12:I14,)</f>
        <v>614258</v>
      </c>
      <c r="J16" s="1782">
        <f>SUM(J3,J6,J8:J10,J12:J14,)</f>
        <v>173227</v>
      </c>
      <c r="K16" s="1782">
        <f>(H16+I16)-J16</f>
        <v>17629921</v>
      </c>
      <c r="L16" s="1782">
        <f>F16-K16</f>
        <v>14599499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614258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20524955</v>
      </c>
      <c r="G8" s="866"/>
    </row>
    <row r="9" spans="1:7" x14ac:dyDescent="0.2">
      <c r="A9" s="870" t="s">
        <v>480</v>
      </c>
      <c r="B9" s="871" t="s">
        <v>1986</v>
      </c>
      <c r="C9" s="872"/>
      <c r="D9" s="870" t="s">
        <v>522</v>
      </c>
      <c r="E9" s="869"/>
      <c r="F9" s="1935">
        <f>'Expenditures 15-22'!K151</f>
        <v>1801250</v>
      </c>
      <c r="G9" s="873"/>
    </row>
    <row r="10" spans="1:7" x14ac:dyDescent="0.2">
      <c r="A10" s="870" t="s">
        <v>520</v>
      </c>
      <c r="B10" s="871" t="s">
        <v>1987</v>
      </c>
      <c r="C10" s="872"/>
      <c r="D10" s="870" t="s">
        <v>522</v>
      </c>
      <c r="E10" s="869"/>
      <c r="F10" s="1935">
        <f>'Expenditures 15-22'!K174</f>
        <v>1265722</v>
      </c>
      <c r="G10" s="873"/>
    </row>
    <row r="11" spans="1:7" x14ac:dyDescent="0.2">
      <c r="A11" s="870" t="s">
        <v>481</v>
      </c>
      <c r="B11" s="871" t="s">
        <v>1988</v>
      </c>
      <c r="C11" s="872"/>
      <c r="D11" s="870" t="s">
        <v>522</v>
      </c>
      <c r="E11" s="869"/>
      <c r="F11" s="1935">
        <f>'Expenditures 15-22'!K210</f>
        <v>1037024</v>
      </c>
      <c r="G11" s="873"/>
    </row>
    <row r="12" spans="1:7" x14ac:dyDescent="0.2">
      <c r="A12" s="870" t="s">
        <v>482</v>
      </c>
      <c r="B12" s="871" t="s">
        <v>1989</v>
      </c>
      <c r="C12" s="872"/>
      <c r="D12" s="870" t="s">
        <v>522</v>
      </c>
      <c r="E12" s="869"/>
      <c r="F12" s="1935">
        <f>'Expenditures 15-22'!K295</f>
        <v>730238</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25359189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5894</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10301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164582</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1123045</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2363</v>
      </c>
      <c r="G52" s="866"/>
    </row>
    <row r="53" spans="1:7" x14ac:dyDescent="0.2">
      <c r="A53" s="870" t="s">
        <v>479</v>
      </c>
      <c r="B53" s="870" t="s">
        <v>1551</v>
      </c>
      <c r="C53" s="890">
        <f>'Expenditures 15-22'!B102</f>
        <v>4000</v>
      </c>
      <c r="D53" s="889" t="str">
        <f>'Expenditures 15-22'!A102</f>
        <v>Total Payments to Other Govt Units</v>
      </c>
      <c r="E53" s="869"/>
      <c r="F53" s="1939">
        <f>'Expenditures 15-22'!K102</f>
        <v>493997</v>
      </c>
      <c r="G53" s="866"/>
    </row>
    <row r="54" spans="1:7" x14ac:dyDescent="0.2">
      <c r="A54" s="870" t="s">
        <v>479</v>
      </c>
      <c r="B54" s="870" t="s">
        <v>1552</v>
      </c>
      <c r="C54" s="890" t="s">
        <v>1039</v>
      </c>
      <c r="D54" s="886" t="s">
        <v>1157</v>
      </c>
      <c r="E54" s="869"/>
      <c r="F54" s="1939">
        <f>'Expenditures 15-22'!G114</f>
        <v>61603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1000</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1142791</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6245</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9056</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170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3021047</v>
      </c>
      <c r="G76" s="866"/>
    </row>
    <row r="77" spans="1:8" s="894" customFormat="1" ht="12" customHeight="1" thickTop="1" thickBot="1" x14ac:dyDescent="0.25">
      <c r="A77" s="1801"/>
      <c r="B77" s="1798"/>
      <c r="C77" s="1794"/>
      <c r="D77" s="1799" t="s">
        <v>2009</v>
      </c>
      <c r="E77" s="1796"/>
      <c r="F77" s="1802">
        <f>(F14-F76)</f>
        <v>22338142</v>
      </c>
      <c r="G77" s="870"/>
    </row>
    <row r="78" spans="1:8" s="894" customFormat="1" ht="12" customHeight="1" thickTop="1" x14ac:dyDescent="0.2">
      <c r="A78" s="1803"/>
      <c r="B78" s="1798"/>
      <c r="C78" s="1794"/>
      <c r="D78" s="1799" t="s">
        <v>2055</v>
      </c>
      <c r="E78" s="1796"/>
      <c r="F78" s="899">
        <v>1910.78</v>
      </c>
      <c r="G78" s="900"/>
      <c r="H78" s="870"/>
    </row>
    <row r="79" spans="1:8" s="894" customFormat="1" ht="12" customHeight="1" thickBot="1" x14ac:dyDescent="0.25">
      <c r="A79" s="1804"/>
      <c r="B79" s="1798"/>
      <c r="C79" s="1794"/>
      <c r="D79" s="1799" t="s">
        <v>2010</v>
      </c>
      <c r="E79" s="1796" t="s">
        <v>1015</v>
      </c>
      <c r="F79" s="1805">
        <f>IF(F78&gt;0,F77/F78," Complete Line 78")</f>
        <v>11690.588136781838</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278698</v>
      </c>
      <c r="G94" s="913"/>
    </row>
    <row r="95" spans="1:7" x14ac:dyDescent="0.2">
      <c r="A95" s="909" t="s">
        <v>142</v>
      </c>
      <c r="B95" s="909" t="s">
        <v>177</v>
      </c>
      <c r="C95" s="911">
        <v>1700</v>
      </c>
      <c r="D95" s="919" t="str">
        <f>'Revenues 9-14'!A82</f>
        <v>Total District/School Activity Income</v>
      </c>
      <c r="E95" s="907"/>
      <c r="F95" s="1811">
        <f>SUM('Revenues 9-14'!C82,'Revenues 9-14'!D82)</f>
        <v>105972</v>
      </c>
      <c r="G95" s="913"/>
    </row>
    <row r="96" spans="1:7" x14ac:dyDescent="0.2">
      <c r="A96" s="909" t="s">
        <v>479</v>
      </c>
      <c r="B96" s="909" t="s">
        <v>178</v>
      </c>
      <c r="C96" s="911">
        <f>'Revenues 9-14'!B84</f>
        <v>1811</v>
      </c>
      <c r="D96" s="912" t="str">
        <f>'Revenues 9-14'!A84</f>
        <v>Rentals - Regular Textbooks</v>
      </c>
      <c r="E96" s="907"/>
      <c r="F96" s="1811">
        <f>'Revenues 9-14'!C84</f>
        <v>202778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17278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6654</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800174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17470</v>
      </c>
      <c r="G106" s="913"/>
    </row>
    <row r="107" spans="1:7" x14ac:dyDescent="0.2">
      <c r="A107" s="922" t="s">
        <v>685</v>
      </c>
      <c r="B107" s="909" t="s">
        <v>843</v>
      </c>
      <c r="C107" s="921">
        <v>3300</v>
      </c>
      <c r="D107" s="912" t="str">
        <f>'Revenues 9-14'!A144</f>
        <v>Total Bilingual Ed</v>
      </c>
      <c r="E107" s="907"/>
      <c r="F107" s="1811">
        <f>SUM('Revenues 9-14'!C144,'Revenues 9-14'!G144)</f>
        <v>27096</v>
      </c>
      <c r="G107" s="913"/>
    </row>
    <row r="108" spans="1:7" x14ac:dyDescent="0.2">
      <c r="A108" s="909" t="s">
        <v>479</v>
      </c>
      <c r="B108" s="909" t="s">
        <v>844</v>
      </c>
      <c r="C108" s="921">
        <f>'Revenues 9-14'!B145</f>
        <v>3360</v>
      </c>
      <c r="D108" s="912" t="str">
        <f>'Revenues 9-14'!A145</f>
        <v>State Free Lunch &amp; Breakfast</v>
      </c>
      <c r="E108" s="907"/>
      <c r="F108" s="1811">
        <f>'Revenues 9-14'!C145</f>
        <v>5305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25465</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627185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2800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387104</v>
      </c>
      <c r="G129" s="931"/>
    </row>
    <row r="130" spans="1:7" x14ac:dyDescent="0.2">
      <c r="A130" s="928" t="s">
        <v>689</v>
      </c>
      <c r="B130" s="928" t="s">
        <v>804</v>
      </c>
      <c r="C130" s="933">
        <v>4300</v>
      </c>
      <c r="D130" s="934" t="str">
        <f>'Revenues 9-14'!A211</f>
        <v>Total Title I</v>
      </c>
      <c r="E130" s="907"/>
      <c r="F130" s="1811">
        <f>SUM('Revenues 9-14'!C211,'Revenues 9-14'!D211,'Revenues 9-14'!F211,'Revenues 9-14'!G211)</f>
        <v>282188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6363</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459152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93916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16035</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65198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44067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232669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685</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3703567</v>
      </c>
    </row>
    <row r="179" spans="1:7" ht="12" customHeight="1" x14ac:dyDescent="0.2">
      <c r="A179" s="1792"/>
      <c r="B179" s="1806"/>
      <c r="C179" s="1807"/>
      <c r="D179" s="1808" t="s">
        <v>2012</v>
      </c>
      <c r="E179" s="1809"/>
      <c r="F179" s="1811">
        <f>'PCTC-OEPP 27-28'!F77-F178</f>
        <v>18634575</v>
      </c>
    </row>
    <row r="180" spans="1:7" ht="12" customHeight="1" x14ac:dyDescent="0.2">
      <c r="A180" s="1792"/>
      <c r="B180" s="1806"/>
      <c r="C180" s="1807"/>
      <c r="D180" s="1808" t="s">
        <v>1922</v>
      </c>
      <c r="E180" s="1809"/>
      <c r="F180" s="1811">
        <f>'Cap Outlay Deprec 26'!I18</f>
        <v>614258</v>
      </c>
    </row>
    <row r="181" spans="1:7" ht="12" customHeight="1" x14ac:dyDescent="0.2">
      <c r="A181" s="1792"/>
      <c r="B181" s="1806"/>
      <c r="C181" s="1807"/>
      <c r="D181" s="1808" t="s">
        <v>2013</v>
      </c>
      <c r="E181" s="1809"/>
      <c r="F181" s="1811">
        <f>F179+F180</f>
        <v>19248833</v>
      </c>
    </row>
    <row r="182" spans="1:7" ht="12" customHeight="1" x14ac:dyDescent="0.2">
      <c r="A182" s="1792"/>
      <c r="B182" s="1812"/>
      <c r="C182" s="1807"/>
      <c r="D182" s="1808" t="str">
        <f>D78</f>
        <v>9 Month ADA from District Average Daily Attendance/Prior General State Aid Inquiry 2017-2018</v>
      </c>
      <c r="E182" s="1809"/>
      <c r="F182" s="1813">
        <f>'PCTC-OEPP 27-28'!F78</f>
        <v>1910.78</v>
      </c>
      <c r="G182" s="931"/>
    </row>
    <row r="183" spans="1:7" ht="12" customHeight="1" thickBot="1" x14ac:dyDescent="0.25">
      <c r="A183" s="1792"/>
      <c r="B183" s="1812"/>
      <c r="C183" s="1807"/>
      <c r="D183" s="1808" t="s">
        <v>2014</v>
      </c>
      <c r="E183" s="1809" t="s">
        <v>1626</v>
      </c>
      <c r="F183" s="1814">
        <f>F181/F182</f>
        <v>10073.809125069343</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1923</v>
      </c>
      <c r="B4" s="2291"/>
      <c r="C4" s="2291"/>
      <c r="D4" s="2291"/>
      <c r="E4" s="2291"/>
      <c r="F4" s="2291"/>
      <c r="G4" s="2292"/>
    </row>
    <row r="5" spans="1:7" x14ac:dyDescent="0.25">
      <c r="A5" s="2293"/>
      <c r="B5" s="2294"/>
      <c r="C5" s="2294"/>
      <c r="D5" s="2294"/>
      <c r="E5" s="2294"/>
      <c r="F5" s="2294"/>
      <c r="G5" s="2295"/>
    </row>
    <row r="6" spans="1:7" ht="18.75" x14ac:dyDescent="0.25">
      <c r="A6" s="1556" t="s">
        <v>1924</v>
      </c>
      <c r="B6" s="1557"/>
      <c r="C6" s="1557"/>
      <c r="D6" s="1557"/>
      <c r="E6" s="1557"/>
      <c r="F6" s="1557"/>
      <c r="G6" s="1558"/>
    </row>
    <row r="7" spans="1:7" ht="30.75" customHeight="1" x14ac:dyDescent="0.25">
      <c r="A7" s="2296" t="s">
        <v>2071</v>
      </c>
      <c r="B7" s="2297"/>
      <c r="C7" s="2297"/>
      <c r="D7" s="2297"/>
      <c r="E7" s="2297"/>
      <c r="F7" s="2297"/>
      <c r="G7" s="2298"/>
    </row>
    <row r="8" spans="1:7" ht="15.75" customHeight="1" x14ac:dyDescent="0.25">
      <c r="A8" s="2299" t="s">
        <v>2020</v>
      </c>
      <c r="B8" s="2300"/>
      <c r="C8" s="2300"/>
      <c r="D8" s="2300"/>
      <c r="E8" s="2300"/>
      <c r="F8" s="2300"/>
      <c r="G8" s="2301"/>
    </row>
    <row r="9" spans="1:7" ht="35.25" customHeight="1" x14ac:dyDescent="0.25">
      <c r="A9" s="2296" t="s">
        <v>2074</v>
      </c>
      <c r="B9" s="2297"/>
      <c r="C9" s="2297"/>
      <c r="D9" s="2297"/>
      <c r="E9" s="2297"/>
      <c r="F9" s="2297"/>
      <c r="G9" s="2298"/>
    </row>
    <row r="10" spans="1:7" ht="15" customHeight="1" x14ac:dyDescent="0.25">
      <c r="A10" s="1559" t="s">
        <v>1925</v>
      </c>
      <c r="B10" s="1560"/>
      <c r="C10" s="1560"/>
      <c r="D10" s="1560"/>
      <c r="E10" s="1560"/>
      <c r="F10" s="1560"/>
      <c r="G10" s="1561"/>
    </row>
    <row r="11" spans="1:7" ht="17.25" customHeight="1" x14ac:dyDescent="0.25">
      <c r="A11" s="2296" t="s">
        <v>2073</v>
      </c>
      <c r="B11" s="2297"/>
      <c r="C11" s="2297"/>
      <c r="D11" s="2297"/>
      <c r="E11" s="2297"/>
      <c r="F11" s="2297"/>
      <c r="G11" s="2298"/>
    </row>
    <row r="12" spans="1:7" ht="15" customHeight="1" x14ac:dyDescent="0.25">
      <c r="A12" s="1559" t="s">
        <v>1930</v>
      </c>
      <c r="B12" s="1560"/>
      <c r="C12" s="1560"/>
      <c r="D12" s="1560"/>
      <c r="E12" s="1560"/>
      <c r="F12" s="1560"/>
      <c r="G12" s="1561"/>
    </row>
    <row r="13" spans="1:7" ht="32.25" customHeight="1" x14ac:dyDescent="0.25">
      <c r="A13" s="2287" t="s">
        <v>1931</v>
      </c>
      <c r="B13" s="2288"/>
      <c r="C13" s="2288"/>
      <c r="D13" s="2288"/>
      <c r="E13" s="2288"/>
      <c r="F13" s="2288"/>
      <c r="G13" s="2289"/>
    </row>
    <row r="14" spans="1:7" x14ac:dyDescent="0.25">
      <c r="A14" s="1683" t="s">
        <v>1939</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2230</v>
      </c>
      <c r="B17" s="1958" t="s">
        <v>2231</v>
      </c>
      <c r="C17" s="1959" t="s">
        <v>2232</v>
      </c>
      <c r="D17" s="1867">
        <v>529797</v>
      </c>
      <c r="E17" s="1562">
        <f>IF(D17&lt;=25000,D17,IF(D17&gt;25000,25000,0))</f>
        <v>25000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6">
        <f>IF(F17=0,0,D17-F17)</f>
        <v>504797</v>
      </c>
      <c r="H17" s="1669"/>
    </row>
    <row r="18" spans="1:8" x14ac:dyDescent="0.25">
      <c r="A18" s="1957"/>
      <c r="B18" s="1958"/>
      <c r="C18" s="1959"/>
      <c r="D18" s="1867"/>
      <c r="E18" s="1562">
        <f>IF(D18&lt;=25000,D18,IF(D18&gt;25000,25000,0))</f>
        <v>0</v>
      </c>
      <c r="F18" s="1815">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IF(F18=0,0,D18-F18)</f>
        <v>0</v>
      </c>
    </row>
    <row r="19" spans="1:8" x14ac:dyDescent="0.25">
      <c r="A19" s="1957"/>
      <c r="B19" s="1958"/>
      <c r="C19" s="1959"/>
      <c r="D19" s="1867"/>
      <c r="E19" s="1562">
        <f>IF(D19&lt;=25000,D19,IF(D19&gt;25000,25000,0))</f>
        <v>0</v>
      </c>
      <c r="F19" s="1815">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6">
        <f>IF(F19=0,0,D19-F19)</f>
        <v>0</v>
      </c>
    </row>
    <row r="20" spans="1:8" x14ac:dyDescent="0.25">
      <c r="A20" s="1957"/>
      <c r="B20" s="1960"/>
      <c r="C20" s="1959"/>
      <c r="D20" s="1867"/>
      <c r="E20" s="1562">
        <f>IF(D20&lt;=25000,D20,IF(D20&gt;25000,25000,0))</f>
        <v>0</v>
      </c>
      <c r="F20" s="1815">
        <f>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6">
        <f>IF(F20=0,0,D20-F20)</f>
        <v>0</v>
      </c>
    </row>
    <row r="21" spans="1:8" x14ac:dyDescent="0.25">
      <c r="A21" s="1957"/>
      <c r="B21" s="1958"/>
      <c r="C21" s="1959"/>
      <c r="D21" s="1867"/>
      <c r="E21" s="1562">
        <f t="shared" ref="E21:E140" si="1">IF(D21&lt;=25000,D21,IF(D21&gt;25000,25000,0))</f>
        <v>0</v>
      </c>
      <c r="F21" s="1815">
        <f t="shared" ref="F21:F140" si="2">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0</v>
      </c>
      <c r="G21" s="1816">
        <f t="shared" ref="G21:G140" si="3">IF(F21=0,0,D21-F21)</f>
        <v>0</v>
      </c>
    </row>
    <row r="22" spans="1:8" x14ac:dyDescent="0.25">
      <c r="A22" s="1957"/>
      <c r="B22" s="1958"/>
      <c r="C22" s="1959"/>
      <c r="D22" s="1867"/>
      <c r="E22" s="1562">
        <f t="shared" si="1"/>
        <v>0</v>
      </c>
      <c r="F22" s="1815">
        <f t="shared" si="2"/>
        <v>0</v>
      </c>
      <c r="G22" s="1816">
        <f t="shared" si="3"/>
        <v>0</v>
      </c>
    </row>
    <row r="23" spans="1:8" x14ac:dyDescent="0.25">
      <c r="A23" s="1675"/>
      <c r="B23" s="1868"/>
      <c r="C23" s="1678"/>
      <c r="D23" s="1867"/>
      <c r="E23" s="1562">
        <f t="shared" si="1"/>
        <v>0</v>
      </c>
      <c r="F23" s="1815">
        <f t="shared" si="2"/>
        <v>0</v>
      </c>
      <c r="G23" s="1816">
        <f t="shared" si="3"/>
        <v>0</v>
      </c>
    </row>
    <row r="24" spans="1:8" x14ac:dyDescent="0.25">
      <c r="A24" s="1675"/>
      <c r="B24" s="1869"/>
      <c r="C24" s="1678"/>
      <c r="D24" s="1867"/>
      <c r="E24" s="1562">
        <f t="shared" si="1"/>
        <v>0</v>
      </c>
      <c r="F24" s="1815">
        <f t="shared" si="2"/>
        <v>0</v>
      </c>
      <c r="G24" s="1816">
        <f t="shared" si="3"/>
        <v>0</v>
      </c>
    </row>
    <row r="25" spans="1:8" x14ac:dyDescent="0.25">
      <c r="A25" s="1675"/>
      <c r="B25" s="1868"/>
      <c r="C25" s="1678"/>
      <c r="D25" s="1867"/>
      <c r="E25" s="1562">
        <f t="shared" si="1"/>
        <v>0</v>
      </c>
      <c r="F25" s="1815">
        <f t="shared" si="2"/>
        <v>0</v>
      </c>
      <c r="G25" s="1816">
        <f t="shared" si="3"/>
        <v>0</v>
      </c>
    </row>
    <row r="26" spans="1:8" x14ac:dyDescent="0.25">
      <c r="A26" s="1675"/>
      <c r="B26" s="1869"/>
      <c r="C26" s="1676"/>
      <c r="D26" s="1867"/>
      <c r="E26" s="1562">
        <f t="shared" si="1"/>
        <v>0</v>
      </c>
      <c r="F26" s="1815">
        <f t="shared" si="2"/>
        <v>0</v>
      </c>
      <c r="G26" s="1816">
        <f t="shared" si="3"/>
        <v>0</v>
      </c>
    </row>
    <row r="27" spans="1:8" x14ac:dyDescent="0.25">
      <c r="A27" s="1675"/>
      <c r="B27" s="1869"/>
      <c r="C27" s="1676"/>
      <c r="D27" s="1867"/>
      <c r="E27" s="1562">
        <f t="shared" si="1"/>
        <v>0</v>
      </c>
      <c r="F27" s="1815">
        <f t="shared" si="2"/>
        <v>0</v>
      </c>
      <c r="G27" s="1816">
        <f t="shared" si="3"/>
        <v>0</v>
      </c>
    </row>
    <row r="28" spans="1:8" x14ac:dyDescent="0.25">
      <c r="A28" s="1675"/>
      <c r="B28" s="1869"/>
      <c r="C28" s="1676"/>
      <c r="D28" s="1867"/>
      <c r="E28" s="1562">
        <f t="shared" si="1"/>
        <v>0</v>
      </c>
      <c r="F28" s="1815">
        <f t="shared" si="2"/>
        <v>0</v>
      </c>
      <c r="G28" s="1816">
        <f t="shared" si="3"/>
        <v>0</v>
      </c>
    </row>
    <row r="29" spans="1:8" x14ac:dyDescent="0.25">
      <c r="A29" s="1675"/>
      <c r="B29" s="1869"/>
      <c r="C29" s="1676"/>
      <c r="D29" s="1867"/>
      <c r="E29" s="1562">
        <f t="shared" si="1"/>
        <v>0</v>
      </c>
      <c r="F29" s="1815">
        <f t="shared" si="2"/>
        <v>0</v>
      </c>
      <c r="G29" s="1816">
        <f t="shared" si="3"/>
        <v>0</v>
      </c>
    </row>
    <row r="30" spans="1:8" x14ac:dyDescent="0.25">
      <c r="A30" s="1675"/>
      <c r="B30" s="1869"/>
      <c r="C30" s="1676"/>
      <c r="D30" s="1867"/>
      <c r="E30" s="1562">
        <f t="shared" si="1"/>
        <v>0</v>
      </c>
      <c r="F30" s="1815">
        <f t="shared" si="2"/>
        <v>0</v>
      </c>
      <c r="G30" s="1816">
        <f t="shared" si="3"/>
        <v>0</v>
      </c>
    </row>
    <row r="31" spans="1:8" x14ac:dyDescent="0.25">
      <c r="A31" s="1675"/>
      <c r="B31" s="1869"/>
      <c r="C31" s="1676"/>
      <c r="D31" s="1867"/>
      <c r="E31" s="1562">
        <f t="shared" si="1"/>
        <v>0</v>
      </c>
      <c r="F31" s="1815">
        <f t="shared" si="2"/>
        <v>0</v>
      </c>
      <c r="G31" s="1816">
        <f t="shared" si="3"/>
        <v>0</v>
      </c>
    </row>
    <row r="32" spans="1:8" x14ac:dyDescent="0.25">
      <c r="A32" s="1675"/>
      <c r="B32" s="1869"/>
      <c r="C32" s="1676"/>
      <c r="D32" s="1867"/>
      <c r="E32" s="1562">
        <f t="shared" si="1"/>
        <v>0</v>
      </c>
      <c r="F32" s="1815">
        <f t="shared" si="2"/>
        <v>0</v>
      </c>
      <c r="G32" s="1816">
        <f t="shared" si="3"/>
        <v>0</v>
      </c>
    </row>
    <row r="33" spans="1:7" x14ac:dyDescent="0.25">
      <c r="A33" s="1675"/>
      <c r="B33" s="1869"/>
      <c r="C33" s="1676"/>
      <c r="D33" s="1867"/>
      <c r="E33" s="1562">
        <f t="shared" si="1"/>
        <v>0</v>
      </c>
      <c r="F33" s="1815">
        <f t="shared" si="2"/>
        <v>0</v>
      </c>
      <c r="G33" s="1816">
        <f t="shared" si="3"/>
        <v>0</v>
      </c>
    </row>
    <row r="34" spans="1:7" x14ac:dyDescent="0.25">
      <c r="A34" s="1675"/>
      <c r="B34" s="1869"/>
      <c r="C34" s="1676"/>
      <c r="D34" s="1867"/>
      <c r="E34" s="1562">
        <f t="shared" si="1"/>
        <v>0</v>
      </c>
      <c r="F34" s="1815">
        <f t="shared" si="2"/>
        <v>0</v>
      </c>
      <c r="G34" s="1816">
        <f t="shared" si="3"/>
        <v>0</v>
      </c>
    </row>
    <row r="35" spans="1:7" x14ac:dyDescent="0.25">
      <c r="A35" s="1957"/>
      <c r="B35" s="1958"/>
      <c r="C35" s="1959"/>
      <c r="D35" s="1867"/>
      <c r="E35" s="1562">
        <f>IF(D35&lt;=25000,D35,IF(D35&gt;25000,25000,0))</f>
        <v>0</v>
      </c>
      <c r="F35" s="1815">
        <f>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816">
        <f>IF(F35=0,0,D35-F35)</f>
        <v>0</v>
      </c>
    </row>
    <row r="36" spans="1:7" x14ac:dyDescent="0.25">
      <c r="A36" s="1957"/>
      <c r="B36" s="1958"/>
      <c r="C36" s="1959"/>
      <c r="D36" s="1867"/>
      <c r="E36" s="1562">
        <f>IF(D36&lt;=25000,D36,IF(D36&gt;25000,25000,0))</f>
        <v>0</v>
      </c>
      <c r="F36" s="1815">
        <f>IF(OR(B36="10-1000-100",B36="10-1000-200",B36="10-1000-300",B36="10-1000-400",B36="10-1000-600",B36="10-1000-800",B36="50-1000-200",B36="10-2100-100",B36="10-2100-200",B36="10-2100-300",B36="10-2100-400",B36="10-2100-600",B36="10-2100-800",B36="20-2100-200",B36="20-2190-100",B36="20-2190-200",B36="20-2190-300",B36="20-2190-400",B36="20-2190-600",B36="20-2190-800",B36="40-2190-100",B36="40-2190-200",B36="40-2190-300",B36="40-2190-400",B36="40-2190-600",B36="40-2190-800",B36="50-2190-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20-2540-800",B36="20-2540-100",B36="20-2540-200",B36="20-2540-300",B36="20-2540-400",B36="20-2540-600",B36="50-2540-200",B36="90-2540-100",B36="90-2540-200",B36="90-2540-300",B36="90-2540-400",B36="90-2540-600",B36="90-2540-800",B36="90-2540-800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20-2560-100",B36="20-2560-200",B36="20-2560-300",B36="20-2560-400",B36="20-2560-600",B36="20-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60-2900-100",B36="60-2900-200",B36="60-2900-300",B36="60-2900-400",B36="60-2900-600",B36="60-2900-800",B36="90-2900-100",B36="90-2900-200",B36="90-2900-300",B36="90-2900-400",B36="90-2900-600",B36="90-2900-800",B36="10-3000-100",B36="10-3000-200",B36="10-3000-300",B36="10-3000-400",B36="10-3000-600",B36="10-3000-800",B36="20-3000-100",B36="20-3000-200",B36="20-3000-300",B36="20-3000-400",B36="20-3000-600",B36="20-3000-800",B36="40-3000-100",B36="40-3000-200",B36="40-3000-300",B36="40-3000-400",B36="40-3000-600",B36="40-3000-800",B36="50-3000-200"),E36,0)</f>
        <v>0</v>
      </c>
      <c r="G36" s="1816">
        <f>IF(F36=0,0,D36-F36)</f>
        <v>0</v>
      </c>
    </row>
    <row r="37" spans="1:7" x14ac:dyDescent="0.25">
      <c r="A37" s="1957"/>
      <c r="B37" s="1958"/>
      <c r="C37" s="1959"/>
      <c r="D37" s="1867"/>
      <c r="E37" s="1562">
        <f>IF(D37&lt;=25000,D37,IF(D37&gt;25000,25000,0))</f>
        <v>0</v>
      </c>
      <c r="F37" s="1815">
        <f>IF(OR(B37="10-1000-100",B37="10-1000-200",B37="10-1000-300",B37="10-1000-400",B37="10-1000-600",B37="10-1000-800",B37="50-1000-200",B37="10-2100-100",B37="10-2100-200",B37="10-2100-300",B37="10-2100-400",B37="10-2100-600",B37="10-2100-800",B37="20-2100-200",B37="20-2190-100",B37="20-2190-200",B37="20-2190-300",B37="20-2190-400",B37="20-2190-600",B37="20-2190-800",B37="40-2190-100",B37="40-2190-200",B37="40-2190-300",B37="40-2190-400",B37="40-2190-600",B37="40-2190-800",B37="50-2190-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20-2540-800",B37="20-2540-100",B37="20-2540-200",B37="20-2540-300",B37="20-2540-400",B37="20-2540-600",B37="50-2540-200",B37="90-2540-100",B37="90-2540-200",B37="90-2540-300",B37="90-2540-400",B37="90-2540-600",B37="90-2540-800",B37="90-2540-800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20-2560-100",B37="20-2560-200",B37="20-2560-300",B37="20-2560-400",B37="20-2560-600",B37="20-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60-2900-100",B37="60-2900-200",B37="60-2900-300",B37="60-2900-400",B37="60-2900-600",B37="60-2900-800",B37="90-2900-100",B37="90-2900-200",B37="90-2900-300",B37="90-2900-400",B37="90-2900-600",B37="90-2900-800",B37="10-3000-100",B37="10-3000-200",B37="10-3000-300",B37="10-3000-400",B37="10-3000-600",B37="10-3000-800",B37="20-3000-100",B37="20-3000-200",B37="20-3000-300",B37="20-3000-400",B37="20-3000-600",B37="20-3000-800",B37="40-3000-100",B37="40-3000-200",B37="40-3000-300",B37="40-3000-400",B37="40-3000-600",B37="40-3000-800",B37="50-3000-200"),E37,0)</f>
        <v>0</v>
      </c>
      <c r="G37" s="1816">
        <f>IF(F37=0,0,D37-F37)</f>
        <v>0</v>
      </c>
    </row>
    <row r="38" spans="1:7" x14ac:dyDescent="0.25">
      <c r="A38" s="1957"/>
      <c r="B38" s="1960"/>
      <c r="C38" s="1959"/>
      <c r="D38" s="1867"/>
      <c r="E38" s="1562">
        <f>IF(D38&lt;=25000,D38,IF(D38&gt;25000,25000,0))</f>
        <v>0</v>
      </c>
      <c r="F38" s="1815">
        <f>IF(OR(B38="10-1000-100",B38="10-1000-200",B38="10-1000-300",B38="10-1000-400",B38="10-1000-600",B38="10-1000-800",B38="50-1000-200",B38="10-2100-100",B38="10-2100-200",B38="10-2100-300",B38="10-2100-400",B38="10-2100-600",B38="10-2100-800",B38="20-2100-200",B38="20-2190-100",B38="20-2190-200",B38="20-2190-300",B38="20-2190-400",B38="20-2190-600",B38="20-2190-800",B38="40-2190-100",B38="40-2190-200",B38="40-2190-300",B38="40-2190-400",B38="40-2190-600",B38="40-2190-800",B38="50-2190-200",B38="10-2200-100",B38="10-2200-200",B38="10-2200-300",B38="10-2200-400",B38="10-2200-600",B38="10-2200-800",B38="50-2200-200",B38="10-2300-100",B38="10-2300-200",B38="10-2300-300",B38="10-2300-400",B38="10-2300-600",B38="10-2300-800",B38="50-2300-200",B38="80-2300-100",B38="80-2300-200",B38="80-2300-300",B38="80-2300-400",B38="80-2300-600",B38="80-2300-800",B38="10-2400-100",B38="10-2400-200",B38="10-2400-300",B38="10-2400-400",B38="10-2400-600",B38="10-2400-800",B38="50-2400-200",B38="10-2510-100",B38="10-2510-200",B38="10-2510-300",B38="10-2510-400",B38="10-2510-600",B38="10-2510-800",B38="20-2510-100",B38="20-2510-200",B38="20-2510-300",B38="20-2510-400",B38="20-2510-600",B38="20-2510-800",B38="50-2510-200",B38="10-2520-100",B38="10-2520-200",B38="10-2520-300",B38="10-2520-400",B38="10-2520-600",B38="10-2520-800",B38="50-2520-200",B38="10-2540-100",B38="10-2540-200",B38="10-2540-300",B38="10-2540-400",B38="10-2540-600",B38="20-2540-800",B38="20-2540-100",B38="20-2540-200",B38="20-2540-300",B38="20-2540-400",B38="20-2540-600",B38="50-2540-200",B38="90-2540-100",B38="90-2540-200",B38="90-2540-300",B38="90-2540-400",B38="90-2540-600",B38="90-2540-800",B38="90-2540-800",B38="10-2550-100",B38="10-2550-200",B38="10-2550-300",B38="10-2550-400",B38="10-2550-600",B38="10-2550-800",B38="20-2550-100",B38="20-2550-200",B38="20-2550-300",B38="20-2550-400",B38="20-2550-600",B38="20-2550-800",B38="40-2550-100",B38="40-2550-200",B38="40-2550-300",B38="40-2550-400",B38="40-2550-600",B38="40-2550-800",B38="50-2550-200",B38="10-2560-100",B38="10-2560-200",B38="10-2560-300",B38="10-2560-400",B38="10-2560-600",B38="10-2560-800",B38="20-2560-100",B38="20-2560-200",B38="20-2560-300",B38="20-2560-400",B38="20-2560-600",B38="20-2560-800",B38="50-2560-200",B38="10-2570-100",B38="10-2570-200",B38="10-2570-300",B38="10-2570-400",B38="10-2570-600",B38="10-2570-800",B38="50-2570-200",B38="10-2610-100",B38="10-2610-200",B38="10-2610-300",B38="10-2610-400",B38="10-2610-600",B38="10-2610-800",B38="50-2610-200",B38="10-2620-100",B38="10-2620-200",B38="10-2620-300",B38="10-2620-400",B38="10-2620-600",B38="10-2620-800",B38="50-2620-200",B38="10-2630-100",B38="10-2630-200",B38="10-2630-300",B38="10-2630-400",B38="10-2630-600",B38="10-2630-800",B38="50-2630-200",B38="10-2640-100",B38="10-2640-200",B38="10-2640-300",B38="10-2640-400",B38="10-2640-600",B38="10-2640-800",B38="50-2640-200",B38="10-2660-100",B38="10-2660-200",B38="10-2660-300",B38="10-2660-400",B38="10-2660-600",B38="10-2660-800",B38="50-2660-200",B38="10-2900-100",B38="10-2900-200",B38="10-2900-300",B38="10-2900-400",B38="10-2900-600",B38="10-2900-800",B38="20-2900-100",B38="20-2900-200",B38="20-2900-300",B38="20-2900-400",B38="20-2900-600",B38="20-2900-800",B38="40-2900-100",B38="40-2900-200",B38="40-2900-300",B38="40-2900-400",B38="40-2900-600",B38="40-2900-800",B38="50-2900-200",B38="60-2900-100",B38="60-2900-200",B38="60-2900-300",B38="60-2900-400",B38="60-2900-600",B38="60-2900-800",B38="90-2900-100",B38="90-2900-200",B38="90-2900-300",B38="90-2900-400",B38="90-2900-600",B38="90-2900-800",B38="10-3000-100",B38="10-3000-200",B38="10-3000-300",B38="10-3000-400",B38="10-3000-600",B38="10-3000-800",B38="20-3000-100",B38="20-3000-200",B38="20-3000-300",B38="20-3000-400",B38="20-3000-600",B38="20-3000-800",B38="40-3000-100",B38="40-3000-200",B38="40-3000-300",B38="40-3000-400",B38="40-3000-600",B38="40-3000-800",B38="50-3000-200"),E38,0)</f>
        <v>0</v>
      </c>
      <c r="G38" s="1816">
        <f>IF(F38=0,0,D38-F38)</f>
        <v>0</v>
      </c>
    </row>
    <row r="39" spans="1:7" x14ac:dyDescent="0.25">
      <c r="A39" s="1675"/>
      <c r="B39" s="1689"/>
      <c r="C39" s="1676"/>
      <c r="D39" s="1867"/>
      <c r="E39" s="1562">
        <f t="shared" si="1"/>
        <v>0</v>
      </c>
      <c r="F39" s="1815">
        <f t="shared" si="2"/>
        <v>0</v>
      </c>
      <c r="G39" s="1816">
        <f t="shared" si="3"/>
        <v>0</v>
      </c>
    </row>
    <row r="40" spans="1:7" x14ac:dyDescent="0.25">
      <c r="A40" s="1675"/>
      <c r="B40" s="1689"/>
      <c r="C40" s="1676"/>
      <c r="D40" s="1867"/>
      <c r="E40" s="1562">
        <f t="shared" si="1"/>
        <v>0</v>
      </c>
      <c r="F40" s="1815">
        <f t="shared" si="2"/>
        <v>0</v>
      </c>
      <c r="G40" s="1816">
        <f t="shared" si="3"/>
        <v>0</v>
      </c>
    </row>
    <row r="41" spans="1:7" x14ac:dyDescent="0.25">
      <c r="A41" s="1675"/>
      <c r="B41" s="1689"/>
      <c r="C41" s="1676"/>
      <c r="D41" s="1867"/>
      <c r="E41" s="1562">
        <f t="shared" si="1"/>
        <v>0</v>
      </c>
      <c r="F41" s="1815">
        <f t="shared" si="2"/>
        <v>0</v>
      </c>
      <c r="G41" s="1816">
        <f t="shared" si="3"/>
        <v>0</v>
      </c>
    </row>
    <row r="42" spans="1:7" x14ac:dyDescent="0.25">
      <c r="A42" s="1675"/>
      <c r="B42" s="1689"/>
      <c r="C42" s="1676"/>
      <c r="D42" s="1867"/>
      <c r="E42" s="1562">
        <f t="shared" si="1"/>
        <v>0</v>
      </c>
      <c r="F42" s="1815">
        <f t="shared" si="2"/>
        <v>0</v>
      </c>
      <c r="G42" s="1816">
        <f t="shared" si="3"/>
        <v>0</v>
      </c>
    </row>
    <row r="43" spans="1:7" x14ac:dyDescent="0.25">
      <c r="A43" s="1675"/>
      <c r="B43" s="1689"/>
      <c r="C43" s="1676"/>
      <c r="D43" s="1867"/>
      <c r="E43" s="1562">
        <f t="shared" si="1"/>
        <v>0</v>
      </c>
      <c r="F43" s="1815">
        <f t="shared" si="2"/>
        <v>0</v>
      </c>
      <c r="G43" s="1816">
        <f t="shared" si="3"/>
        <v>0</v>
      </c>
    </row>
    <row r="44" spans="1:7" x14ac:dyDescent="0.25">
      <c r="A44" s="1675"/>
      <c r="B44" s="1689"/>
      <c r="C44" s="1676"/>
      <c r="D44" s="1867"/>
      <c r="E44" s="1562">
        <f t="shared" si="1"/>
        <v>0</v>
      </c>
      <c r="F44" s="1815">
        <f t="shared" si="2"/>
        <v>0</v>
      </c>
      <c r="G44" s="1816">
        <f t="shared" si="3"/>
        <v>0</v>
      </c>
    </row>
    <row r="45" spans="1:7" x14ac:dyDescent="0.25">
      <c r="A45" s="1675"/>
      <c r="B45" s="1689"/>
      <c r="C45" s="1676"/>
      <c r="D45" s="1867"/>
      <c r="E45" s="1562">
        <f t="shared" si="1"/>
        <v>0</v>
      </c>
      <c r="F45" s="1815">
        <f t="shared" si="2"/>
        <v>0</v>
      </c>
      <c r="G45" s="1816">
        <f t="shared" si="3"/>
        <v>0</v>
      </c>
    </row>
    <row r="46" spans="1:7" x14ac:dyDescent="0.25">
      <c r="A46" s="1675"/>
      <c r="B46" s="1689"/>
      <c r="C46" s="1676"/>
      <c r="D46" s="1867"/>
      <c r="E46" s="1562">
        <f t="shared" si="1"/>
        <v>0</v>
      </c>
      <c r="F46" s="1815">
        <f t="shared" si="2"/>
        <v>0</v>
      </c>
      <c r="G46" s="1816">
        <f t="shared" si="3"/>
        <v>0</v>
      </c>
    </row>
    <row r="47" spans="1:7" x14ac:dyDescent="0.25">
      <c r="A47" s="1675"/>
      <c r="B47" s="1689"/>
      <c r="C47" s="1676"/>
      <c r="D47" s="1867"/>
      <c r="E47" s="1562">
        <f t="shared" si="1"/>
        <v>0</v>
      </c>
      <c r="F47" s="1815">
        <f t="shared" si="2"/>
        <v>0</v>
      </c>
      <c r="G47" s="1816">
        <f t="shared" si="3"/>
        <v>0</v>
      </c>
    </row>
    <row r="48" spans="1:7" x14ac:dyDescent="0.25">
      <c r="A48" s="1675"/>
      <c r="B48" s="1689"/>
      <c r="C48" s="1676"/>
      <c r="D48" s="1867"/>
      <c r="E48" s="1562">
        <f t="shared" si="1"/>
        <v>0</v>
      </c>
      <c r="F48" s="1815">
        <f t="shared" si="2"/>
        <v>0</v>
      </c>
      <c r="G48" s="1816">
        <f t="shared" si="3"/>
        <v>0</v>
      </c>
    </row>
    <row r="49" spans="1:7" x14ac:dyDescent="0.25">
      <c r="A49" s="1675"/>
      <c r="B49" s="1689"/>
      <c r="C49" s="1676"/>
      <c r="D49" s="1867"/>
      <c r="E49" s="1562">
        <f t="shared" si="1"/>
        <v>0</v>
      </c>
      <c r="F49" s="1815">
        <f t="shared" si="2"/>
        <v>0</v>
      </c>
      <c r="G49" s="1816">
        <f t="shared" si="3"/>
        <v>0</v>
      </c>
    </row>
    <row r="50" spans="1:7" x14ac:dyDescent="0.25">
      <c r="A50" s="1675"/>
      <c r="B50" s="1689"/>
      <c r="C50" s="1676"/>
      <c r="D50" s="1867"/>
      <c r="E50" s="1562">
        <f t="shared" si="1"/>
        <v>0</v>
      </c>
      <c r="F50" s="1815">
        <f t="shared" si="2"/>
        <v>0</v>
      </c>
      <c r="G50" s="1816">
        <f t="shared" si="3"/>
        <v>0</v>
      </c>
    </row>
    <row r="51" spans="1:7" x14ac:dyDescent="0.25">
      <c r="A51" s="1675"/>
      <c r="B51" s="1689"/>
      <c r="C51" s="1676"/>
      <c r="D51" s="1867"/>
      <c r="E51" s="1562">
        <f t="shared" si="1"/>
        <v>0</v>
      </c>
      <c r="F51" s="1815">
        <f t="shared" si="2"/>
        <v>0</v>
      </c>
      <c r="G51" s="1816">
        <f t="shared" si="3"/>
        <v>0</v>
      </c>
    </row>
    <row r="52" spans="1:7" x14ac:dyDescent="0.25">
      <c r="A52" s="1675"/>
      <c r="B52" s="1689"/>
      <c r="C52" s="1676"/>
      <c r="D52" s="1867"/>
      <c r="E52" s="1562">
        <f t="shared" si="1"/>
        <v>0</v>
      </c>
      <c r="F52" s="1815">
        <f t="shared" si="2"/>
        <v>0</v>
      </c>
      <c r="G52" s="1816">
        <f t="shared" si="3"/>
        <v>0</v>
      </c>
    </row>
    <row r="53" spans="1:7" x14ac:dyDescent="0.25">
      <c r="A53" s="1675"/>
      <c r="B53" s="1689"/>
      <c r="C53" s="1676"/>
      <c r="D53" s="1867"/>
      <c r="E53" s="1562">
        <f t="shared" si="1"/>
        <v>0</v>
      </c>
      <c r="F53" s="1815">
        <f t="shared" si="2"/>
        <v>0</v>
      </c>
      <c r="G53" s="1816">
        <f t="shared" si="3"/>
        <v>0</v>
      </c>
    </row>
    <row r="54" spans="1:7" x14ac:dyDescent="0.25">
      <c r="A54" s="1675"/>
      <c r="B54" s="1689"/>
      <c r="C54" s="1676"/>
      <c r="D54" s="1867"/>
      <c r="E54" s="1562">
        <f t="shared" si="1"/>
        <v>0</v>
      </c>
      <c r="F54" s="1815">
        <f t="shared" si="2"/>
        <v>0</v>
      </c>
      <c r="G54" s="1816">
        <f t="shared" si="3"/>
        <v>0</v>
      </c>
    </row>
    <row r="55" spans="1:7" x14ac:dyDescent="0.25">
      <c r="A55" s="1675"/>
      <c r="B55" s="1689"/>
      <c r="C55" s="1676"/>
      <c r="D55" s="1867"/>
      <c r="E55" s="1562">
        <f t="shared" si="1"/>
        <v>0</v>
      </c>
      <c r="F55" s="1815">
        <f t="shared" si="2"/>
        <v>0</v>
      </c>
      <c r="G55" s="1816">
        <f t="shared" si="3"/>
        <v>0</v>
      </c>
    </row>
    <row r="56" spans="1:7" x14ac:dyDescent="0.25">
      <c r="A56" s="1675"/>
      <c r="B56" s="1689"/>
      <c r="C56" s="1676"/>
      <c r="D56" s="1867"/>
      <c r="E56" s="1562">
        <f t="shared" si="1"/>
        <v>0</v>
      </c>
      <c r="F56" s="1815">
        <f t="shared" si="2"/>
        <v>0</v>
      </c>
      <c r="G56" s="1816">
        <f t="shared" si="3"/>
        <v>0</v>
      </c>
    </row>
    <row r="57" spans="1:7" x14ac:dyDescent="0.25">
      <c r="A57" s="1675"/>
      <c r="B57" s="1689"/>
      <c r="C57" s="1676"/>
      <c r="D57" s="1867"/>
      <c r="E57" s="1562">
        <f t="shared" si="1"/>
        <v>0</v>
      </c>
      <c r="F57" s="1815">
        <f t="shared" si="2"/>
        <v>0</v>
      </c>
      <c r="G57" s="1816">
        <f t="shared" si="3"/>
        <v>0</v>
      </c>
    </row>
    <row r="58" spans="1:7" x14ac:dyDescent="0.25">
      <c r="A58" s="1675"/>
      <c r="B58" s="1689"/>
      <c r="C58" s="1676"/>
      <c r="D58" s="1867"/>
      <c r="E58" s="1562">
        <f t="shared" si="1"/>
        <v>0</v>
      </c>
      <c r="F58" s="1815">
        <f t="shared" si="2"/>
        <v>0</v>
      </c>
      <c r="G58" s="1816">
        <f t="shared" si="3"/>
        <v>0</v>
      </c>
    </row>
    <row r="59" spans="1:7" x14ac:dyDescent="0.25">
      <c r="A59" s="1675"/>
      <c r="B59" s="1689"/>
      <c r="C59" s="1676"/>
      <c r="D59" s="1867"/>
      <c r="E59" s="1562">
        <f t="shared" si="1"/>
        <v>0</v>
      </c>
      <c r="F59" s="1815">
        <f t="shared" si="2"/>
        <v>0</v>
      </c>
      <c r="G59" s="1816">
        <f t="shared" si="3"/>
        <v>0</v>
      </c>
    </row>
    <row r="60" spans="1:7" x14ac:dyDescent="0.25">
      <c r="A60" s="1675"/>
      <c r="B60" s="1689"/>
      <c r="C60" s="1676"/>
      <c r="D60" s="1867"/>
      <c r="E60" s="1562">
        <f t="shared" si="1"/>
        <v>0</v>
      </c>
      <c r="F60" s="1815">
        <f t="shared" si="2"/>
        <v>0</v>
      </c>
      <c r="G60" s="1816">
        <f t="shared" si="3"/>
        <v>0</v>
      </c>
    </row>
    <row r="61" spans="1:7" x14ac:dyDescent="0.25">
      <c r="A61" s="1675"/>
      <c r="B61" s="1689"/>
      <c r="C61" s="1676"/>
      <c r="D61" s="1867"/>
      <c r="E61" s="1562">
        <f t="shared" si="1"/>
        <v>0</v>
      </c>
      <c r="F61" s="1815">
        <f t="shared" si="2"/>
        <v>0</v>
      </c>
      <c r="G61" s="1816">
        <f t="shared" si="3"/>
        <v>0</v>
      </c>
    </row>
    <row r="62" spans="1:7" x14ac:dyDescent="0.25">
      <c r="A62" s="1675"/>
      <c r="B62" s="1689"/>
      <c r="C62" s="1676"/>
      <c r="D62" s="1867"/>
      <c r="E62" s="1562">
        <f t="shared" si="1"/>
        <v>0</v>
      </c>
      <c r="F62" s="1815">
        <f t="shared" si="2"/>
        <v>0</v>
      </c>
      <c r="G62" s="1816">
        <f t="shared" si="3"/>
        <v>0</v>
      </c>
    </row>
    <row r="63" spans="1:7" x14ac:dyDescent="0.25">
      <c r="A63" s="1675"/>
      <c r="B63" s="1689"/>
      <c r="C63" s="1676"/>
      <c r="D63" s="1867"/>
      <c r="E63" s="1562">
        <f t="shared" si="1"/>
        <v>0</v>
      </c>
      <c r="F63" s="1815">
        <f t="shared" si="2"/>
        <v>0</v>
      </c>
      <c r="G63" s="1816">
        <f t="shared" si="3"/>
        <v>0</v>
      </c>
    </row>
    <row r="64" spans="1:7" x14ac:dyDescent="0.25">
      <c r="A64" s="1677"/>
      <c r="B64" s="1689"/>
      <c r="C64" s="1678"/>
      <c r="D64" s="1867"/>
      <c r="E64" s="1562">
        <f t="shared" si="1"/>
        <v>0</v>
      </c>
      <c r="F64" s="1815">
        <f t="shared" si="2"/>
        <v>0</v>
      </c>
      <c r="G64" s="1816">
        <f t="shared" si="3"/>
        <v>0</v>
      </c>
    </row>
    <row r="65" spans="1:7" x14ac:dyDescent="0.25">
      <c r="A65" s="1675"/>
      <c r="B65" s="1689"/>
      <c r="C65" s="1676"/>
      <c r="D65" s="1867"/>
      <c r="E65" s="1562">
        <f t="shared" si="1"/>
        <v>0</v>
      </c>
      <c r="F65" s="1815">
        <f t="shared" si="2"/>
        <v>0</v>
      </c>
      <c r="G65" s="1816">
        <f t="shared" si="3"/>
        <v>0</v>
      </c>
    </row>
    <row r="66" spans="1:7" x14ac:dyDescent="0.25">
      <c r="A66" s="1675"/>
      <c r="B66" s="1689"/>
      <c r="C66" s="1676"/>
      <c r="D66" s="1867"/>
      <c r="E66" s="1562">
        <f t="shared" si="1"/>
        <v>0</v>
      </c>
      <c r="F66" s="1815">
        <f t="shared" si="2"/>
        <v>0</v>
      </c>
      <c r="G66" s="1816">
        <f t="shared" si="3"/>
        <v>0</v>
      </c>
    </row>
    <row r="67" spans="1:7" x14ac:dyDescent="0.25">
      <c r="A67" s="1675"/>
      <c r="B67" s="1689"/>
      <c r="C67" s="1676"/>
      <c r="D67" s="1867"/>
      <c r="E67" s="1562">
        <f t="shared" si="1"/>
        <v>0</v>
      </c>
      <c r="F67" s="1815">
        <f t="shared" si="2"/>
        <v>0</v>
      </c>
      <c r="G67" s="1816">
        <f t="shared" si="3"/>
        <v>0</v>
      </c>
    </row>
    <row r="68" spans="1:7" x14ac:dyDescent="0.25">
      <c r="A68" s="1675"/>
      <c r="B68" s="1689"/>
      <c r="C68" s="1676"/>
      <c r="D68" s="1867"/>
      <c r="E68" s="1562">
        <f t="shared" si="1"/>
        <v>0</v>
      </c>
      <c r="F68" s="1815">
        <f t="shared" si="2"/>
        <v>0</v>
      </c>
      <c r="G68" s="1816">
        <f t="shared" si="3"/>
        <v>0</v>
      </c>
    </row>
    <row r="69" spans="1:7" x14ac:dyDescent="0.25">
      <c r="A69" s="1675"/>
      <c r="B69" s="1689"/>
      <c r="C69" s="1676"/>
      <c r="D69" s="1867"/>
      <c r="E69" s="1562">
        <f t="shared" si="1"/>
        <v>0</v>
      </c>
      <c r="F69" s="1815">
        <f t="shared" si="2"/>
        <v>0</v>
      </c>
      <c r="G69" s="1816">
        <f t="shared" si="3"/>
        <v>0</v>
      </c>
    </row>
    <row r="70" spans="1:7" x14ac:dyDescent="0.25">
      <c r="A70" s="1675"/>
      <c r="B70" s="1689"/>
      <c r="C70" s="1676"/>
      <c r="D70" s="1867"/>
      <c r="E70" s="1562">
        <f t="shared" si="1"/>
        <v>0</v>
      </c>
      <c r="F70" s="1815">
        <f t="shared" si="2"/>
        <v>0</v>
      </c>
      <c r="G70" s="1816">
        <f t="shared" si="3"/>
        <v>0</v>
      </c>
    </row>
    <row r="71" spans="1:7" x14ac:dyDescent="0.25">
      <c r="A71" s="1675"/>
      <c r="B71" s="1689"/>
      <c r="C71" s="1676"/>
      <c r="D71" s="1867"/>
      <c r="E71" s="1562">
        <f t="shared" si="1"/>
        <v>0</v>
      </c>
      <c r="F71" s="1815">
        <f t="shared" si="2"/>
        <v>0</v>
      </c>
      <c r="G71" s="1816">
        <f t="shared" si="3"/>
        <v>0</v>
      </c>
    </row>
    <row r="72" spans="1:7" x14ac:dyDescent="0.25">
      <c r="A72" s="1675"/>
      <c r="B72" s="1689"/>
      <c r="C72" s="1676"/>
      <c r="D72" s="1867"/>
      <c r="E72" s="1562">
        <f t="shared" si="1"/>
        <v>0</v>
      </c>
      <c r="F72" s="1815">
        <f t="shared" si="2"/>
        <v>0</v>
      </c>
      <c r="G72" s="1816">
        <f t="shared" si="3"/>
        <v>0</v>
      </c>
    </row>
    <row r="73" spans="1:7" x14ac:dyDescent="0.25">
      <c r="A73" s="1675"/>
      <c r="B73" s="1689"/>
      <c r="C73" s="1676"/>
      <c r="D73" s="1867"/>
      <c r="E73" s="1562">
        <f t="shared" ref="E73:E84" si="4">IF(D73&lt;=25000,D73,IF(D73&gt;25000,25000,0))</f>
        <v>0</v>
      </c>
      <c r="F73" s="1815">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6">IF(F73=0,0,D73-F73)</f>
        <v>0</v>
      </c>
    </row>
    <row r="74" spans="1:7" x14ac:dyDescent="0.25">
      <c r="A74" s="1675"/>
      <c r="B74" s="1689"/>
      <c r="C74" s="1676"/>
      <c r="D74" s="1867"/>
      <c r="E74" s="1562">
        <f t="shared" si="4"/>
        <v>0</v>
      </c>
      <c r="F74" s="1815">
        <f t="shared" si="5"/>
        <v>0</v>
      </c>
      <c r="G74" s="1816">
        <f t="shared" si="6"/>
        <v>0</v>
      </c>
    </row>
    <row r="75" spans="1:7" x14ac:dyDescent="0.25">
      <c r="A75" s="1675"/>
      <c r="B75" s="1689"/>
      <c r="C75" s="1676"/>
      <c r="D75" s="1867"/>
      <c r="E75" s="1562">
        <f t="shared" si="4"/>
        <v>0</v>
      </c>
      <c r="F75" s="1815">
        <f t="shared" si="5"/>
        <v>0</v>
      </c>
      <c r="G75" s="1816">
        <f t="shared" si="6"/>
        <v>0</v>
      </c>
    </row>
    <row r="76" spans="1:7" x14ac:dyDescent="0.25">
      <c r="A76" s="1675"/>
      <c r="B76" s="1689"/>
      <c r="C76" s="1676"/>
      <c r="D76" s="1867"/>
      <c r="E76" s="1562">
        <f t="shared" si="4"/>
        <v>0</v>
      </c>
      <c r="F76" s="1815">
        <f t="shared" si="5"/>
        <v>0</v>
      </c>
      <c r="G76" s="1816">
        <f t="shared" si="6"/>
        <v>0</v>
      </c>
    </row>
    <row r="77" spans="1:7" x14ac:dyDescent="0.25">
      <c r="A77" s="1675"/>
      <c r="B77" s="1689"/>
      <c r="C77" s="1676"/>
      <c r="D77" s="1867"/>
      <c r="E77" s="1562">
        <f t="shared" si="4"/>
        <v>0</v>
      </c>
      <c r="F77" s="1815">
        <f t="shared" si="5"/>
        <v>0</v>
      </c>
      <c r="G77" s="1816">
        <f t="shared" si="6"/>
        <v>0</v>
      </c>
    </row>
    <row r="78" spans="1:7" x14ac:dyDescent="0.25">
      <c r="A78" s="1675"/>
      <c r="B78" s="1689"/>
      <c r="C78" s="1676"/>
      <c r="D78" s="1867"/>
      <c r="E78" s="1562">
        <f t="shared" si="4"/>
        <v>0</v>
      </c>
      <c r="F78" s="1815">
        <f t="shared" si="5"/>
        <v>0</v>
      </c>
      <c r="G78" s="1816">
        <f t="shared" si="6"/>
        <v>0</v>
      </c>
    </row>
    <row r="79" spans="1:7" x14ac:dyDescent="0.25">
      <c r="A79" s="1675"/>
      <c r="B79" s="1689"/>
      <c r="C79" s="1676"/>
      <c r="D79" s="1867"/>
      <c r="E79" s="1562">
        <f t="shared" si="4"/>
        <v>0</v>
      </c>
      <c r="F79" s="1815">
        <f t="shared" si="5"/>
        <v>0</v>
      </c>
      <c r="G79" s="1816">
        <f t="shared" si="6"/>
        <v>0</v>
      </c>
    </row>
    <row r="80" spans="1:7" x14ac:dyDescent="0.25">
      <c r="A80" s="1675"/>
      <c r="B80" s="1689"/>
      <c r="C80" s="1676"/>
      <c r="D80" s="1867"/>
      <c r="E80" s="1562">
        <f t="shared" si="4"/>
        <v>0</v>
      </c>
      <c r="F80" s="1815">
        <f t="shared" si="5"/>
        <v>0</v>
      </c>
      <c r="G80" s="1816">
        <f t="shared" si="6"/>
        <v>0</v>
      </c>
    </row>
    <row r="81" spans="1:7" x14ac:dyDescent="0.25">
      <c r="A81" s="1675"/>
      <c r="B81" s="1689"/>
      <c r="C81" s="1676"/>
      <c r="D81" s="1867"/>
      <c r="E81" s="1562">
        <f t="shared" si="4"/>
        <v>0</v>
      </c>
      <c r="F81" s="1815">
        <f t="shared" si="5"/>
        <v>0</v>
      </c>
      <c r="G81" s="1816">
        <f t="shared" si="6"/>
        <v>0</v>
      </c>
    </row>
    <row r="82" spans="1:7" x14ac:dyDescent="0.25">
      <c r="A82" s="1675"/>
      <c r="B82" s="1689"/>
      <c r="C82" s="1676"/>
      <c r="D82" s="1867"/>
      <c r="E82" s="1562">
        <f t="shared" si="4"/>
        <v>0</v>
      </c>
      <c r="F82" s="1815">
        <f t="shared" si="5"/>
        <v>0</v>
      </c>
      <c r="G82" s="1816">
        <f t="shared" si="6"/>
        <v>0</v>
      </c>
    </row>
    <row r="83" spans="1:7" x14ac:dyDescent="0.25">
      <c r="A83" s="1675"/>
      <c r="B83" s="1689"/>
      <c r="C83" s="1676"/>
      <c r="D83" s="1867"/>
      <c r="E83" s="1562">
        <f t="shared" si="4"/>
        <v>0</v>
      </c>
      <c r="F83" s="1815">
        <f t="shared" si="5"/>
        <v>0</v>
      </c>
      <c r="G83" s="1816">
        <f t="shared" si="6"/>
        <v>0</v>
      </c>
    </row>
    <row r="84" spans="1:7" x14ac:dyDescent="0.25">
      <c r="A84" s="1675"/>
      <c r="B84" s="1689"/>
      <c r="C84" s="1676"/>
      <c r="D84" s="1867"/>
      <c r="E84" s="1562">
        <f t="shared" si="4"/>
        <v>0</v>
      </c>
      <c r="F84" s="1815">
        <f t="shared" si="5"/>
        <v>0</v>
      </c>
      <c r="G84" s="1816">
        <f t="shared" si="6"/>
        <v>0</v>
      </c>
    </row>
    <row r="85" spans="1:7" x14ac:dyDescent="0.25">
      <c r="A85" s="1675"/>
      <c r="B85" s="1689"/>
      <c r="C85" s="1676"/>
      <c r="D85" s="1867"/>
      <c r="E85" s="1562">
        <f t="shared" si="1"/>
        <v>0</v>
      </c>
      <c r="F85" s="1815">
        <f t="shared" si="2"/>
        <v>0</v>
      </c>
      <c r="G85" s="1816">
        <f t="shared" si="3"/>
        <v>0</v>
      </c>
    </row>
    <row r="86" spans="1:7" x14ac:dyDescent="0.25">
      <c r="A86" s="1675"/>
      <c r="B86" s="1689"/>
      <c r="C86" s="1676"/>
      <c r="D86" s="1867"/>
      <c r="E86" s="1562">
        <f t="shared" si="1"/>
        <v>0</v>
      </c>
      <c r="F86" s="1815">
        <f t="shared" si="2"/>
        <v>0</v>
      </c>
      <c r="G86" s="1816">
        <f t="shared" si="3"/>
        <v>0</v>
      </c>
    </row>
    <row r="87" spans="1:7" x14ac:dyDescent="0.25">
      <c r="A87" s="1675"/>
      <c r="B87" s="1689"/>
      <c r="C87" s="1676"/>
      <c r="D87" s="1867"/>
      <c r="E87" s="1562">
        <f t="shared" si="1"/>
        <v>0</v>
      </c>
      <c r="F87" s="1815">
        <f t="shared" si="2"/>
        <v>0</v>
      </c>
      <c r="G87" s="1816">
        <f t="shared" si="3"/>
        <v>0</v>
      </c>
    </row>
    <row r="88" spans="1:7" x14ac:dyDescent="0.25">
      <c r="A88" s="1675"/>
      <c r="B88" s="1689"/>
      <c r="C88" s="1676"/>
      <c r="D88" s="1867"/>
      <c r="E88" s="1562">
        <f t="shared" si="1"/>
        <v>0</v>
      </c>
      <c r="F88" s="1815">
        <f t="shared" si="2"/>
        <v>0</v>
      </c>
      <c r="G88" s="1816">
        <f t="shared" si="3"/>
        <v>0</v>
      </c>
    </row>
    <row r="89" spans="1:7" x14ac:dyDescent="0.25">
      <c r="A89" s="1675"/>
      <c r="B89" s="1689"/>
      <c r="C89" s="1676"/>
      <c r="D89" s="1867"/>
      <c r="E89" s="1562">
        <f t="shared" si="1"/>
        <v>0</v>
      </c>
      <c r="F89" s="1815">
        <f t="shared" si="2"/>
        <v>0</v>
      </c>
      <c r="G89" s="1816">
        <f t="shared" si="3"/>
        <v>0</v>
      </c>
    </row>
    <row r="90" spans="1:7" x14ac:dyDescent="0.25">
      <c r="A90" s="1675"/>
      <c r="B90" s="1689"/>
      <c r="C90" s="1676"/>
      <c r="D90" s="1867"/>
      <c r="E90" s="1562">
        <f t="shared" si="1"/>
        <v>0</v>
      </c>
      <c r="F90" s="1815">
        <f t="shared" si="2"/>
        <v>0</v>
      </c>
      <c r="G90" s="1816">
        <f t="shared" si="3"/>
        <v>0</v>
      </c>
    </row>
    <row r="91" spans="1:7" x14ac:dyDescent="0.25">
      <c r="A91" s="1675"/>
      <c r="B91" s="1689"/>
      <c r="C91" s="1676"/>
      <c r="D91" s="1867"/>
      <c r="E91" s="1562">
        <f t="shared" si="1"/>
        <v>0</v>
      </c>
      <c r="F91" s="1815">
        <f t="shared" si="2"/>
        <v>0</v>
      </c>
      <c r="G91" s="1816">
        <f t="shared" si="3"/>
        <v>0</v>
      </c>
    </row>
    <row r="92" spans="1:7" x14ac:dyDescent="0.25">
      <c r="A92" s="1675"/>
      <c r="B92" s="1689"/>
      <c r="C92" s="1676"/>
      <c r="D92" s="1867"/>
      <c r="E92" s="1562">
        <f t="shared" si="1"/>
        <v>0</v>
      </c>
      <c r="F92" s="1815">
        <f t="shared" si="2"/>
        <v>0</v>
      </c>
      <c r="G92" s="1816">
        <f t="shared" si="3"/>
        <v>0</v>
      </c>
    </row>
    <row r="93" spans="1:7" x14ac:dyDescent="0.25">
      <c r="A93" s="1675"/>
      <c r="B93" s="1689"/>
      <c r="C93" s="1676"/>
      <c r="D93" s="1867"/>
      <c r="E93" s="1562">
        <f t="shared" ref="E93" si="7">IF(D93&lt;=25000,D93,IF(D93&gt;25000,25000,0))</f>
        <v>0</v>
      </c>
      <c r="F93" s="1815">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9">IF(F93=0,0,D93-F93)</f>
        <v>0</v>
      </c>
    </row>
    <row r="94" spans="1:7" x14ac:dyDescent="0.25">
      <c r="A94" s="1675"/>
      <c r="B94" s="1689"/>
      <c r="C94" s="1676"/>
      <c r="D94" s="1867"/>
      <c r="E94" s="1562">
        <f t="shared" si="1"/>
        <v>0</v>
      </c>
      <c r="F94" s="1815">
        <f t="shared" si="2"/>
        <v>0</v>
      </c>
      <c r="G94" s="1816">
        <f t="shared" si="3"/>
        <v>0</v>
      </c>
    </row>
    <row r="95" spans="1:7" x14ac:dyDescent="0.25">
      <c r="A95" s="1675"/>
      <c r="B95" s="1689"/>
      <c r="C95" s="1676"/>
      <c r="D95" s="1867"/>
      <c r="E95" s="1562">
        <f t="shared" ref="E95:E98" si="10">IF(D95&lt;=25000,D95,IF(D95&gt;25000,25000,0))</f>
        <v>0</v>
      </c>
      <c r="F95" s="1815">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2">IF(F95=0,0,D95-F95)</f>
        <v>0</v>
      </c>
    </row>
    <row r="96" spans="1:7" x14ac:dyDescent="0.25">
      <c r="A96" s="1675"/>
      <c r="B96" s="1689"/>
      <c r="C96" s="1676"/>
      <c r="D96" s="1867"/>
      <c r="E96" s="1562">
        <f t="shared" si="10"/>
        <v>0</v>
      </c>
      <c r="F96" s="1815">
        <f t="shared" si="11"/>
        <v>0</v>
      </c>
      <c r="G96" s="1816">
        <f t="shared" si="12"/>
        <v>0</v>
      </c>
    </row>
    <row r="97" spans="1:7" x14ac:dyDescent="0.25">
      <c r="A97" s="1675"/>
      <c r="B97" s="1689"/>
      <c r="C97" s="1676"/>
      <c r="D97" s="1867"/>
      <c r="E97" s="1562">
        <f t="shared" si="10"/>
        <v>0</v>
      </c>
      <c r="F97" s="1815">
        <f t="shared" si="11"/>
        <v>0</v>
      </c>
      <c r="G97" s="1816">
        <f t="shared" si="12"/>
        <v>0</v>
      </c>
    </row>
    <row r="98" spans="1:7" x14ac:dyDescent="0.25">
      <c r="A98" s="1675"/>
      <c r="B98" s="1689"/>
      <c r="C98" s="1676"/>
      <c r="D98" s="1867"/>
      <c r="E98" s="1562">
        <f t="shared" si="10"/>
        <v>0</v>
      </c>
      <c r="F98" s="1815">
        <f t="shared" si="11"/>
        <v>0</v>
      </c>
      <c r="G98" s="1816">
        <f t="shared" si="12"/>
        <v>0</v>
      </c>
    </row>
    <row r="99" spans="1:7" x14ac:dyDescent="0.25">
      <c r="A99" s="1675"/>
      <c r="B99" s="1689"/>
      <c r="C99" s="1676"/>
      <c r="D99" s="1867"/>
      <c r="E99" s="1562">
        <f t="shared" ref="E99" si="13">IF(D99&lt;=25000,D99,IF(D99&gt;25000,25000,0))</f>
        <v>0</v>
      </c>
      <c r="F99" s="1815">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5">IF(F99=0,0,D99-F99)</f>
        <v>0</v>
      </c>
    </row>
    <row r="100" spans="1:7" x14ac:dyDescent="0.25">
      <c r="A100" s="1675"/>
      <c r="B100" s="1689"/>
      <c r="C100" s="1676"/>
      <c r="D100" s="1867"/>
      <c r="E100" s="1562">
        <f t="shared" ref="E100:E112" si="16">IF(D100&lt;=25000,D100,IF(D100&gt;25000,25000,0))</f>
        <v>0</v>
      </c>
      <c r="F100" s="1815">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8">IF(F100=0,0,D100-F100)</f>
        <v>0</v>
      </c>
    </row>
    <row r="101" spans="1:7" x14ac:dyDescent="0.25">
      <c r="A101" s="1675"/>
      <c r="B101" s="1689"/>
      <c r="C101" s="1676"/>
      <c r="D101" s="1867"/>
      <c r="E101" s="1562">
        <f t="shared" si="16"/>
        <v>0</v>
      </c>
      <c r="F101" s="1815">
        <f t="shared" si="17"/>
        <v>0</v>
      </c>
      <c r="G101" s="1816">
        <f t="shared" si="18"/>
        <v>0</v>
      </c>
    </row>
    <row r="102" spans="1:7" x14ac:dyDescent="0.25">
      <c r="A102" s="1675"/>
      <c r="B102" s="1689"/>
      <c r="C102" s="1676"/>
      <c r="D102" s="1867"/>
      <c r="E102" s="1562">
        <f t="shared" si="16"/>
        <v>0</v>
      </c>
      <c r="F102" s="1815">
        <f t="shared" si="17"/>
        <v>0</v>
      </c>
      <c r="G102" s="1816">
        <f t="shared" si="18"/>
        <v>0</v>
      </c>
    </row>
    <row r="103" spans="1:7" x14ac:dyDescent="0.25">
      <c r="A103" s="1675"/>
      <c r="B103" s="1689"/>
      <c r="C103" s="1676"/>
      <c r="D103" s="1867"/>
      <c r="E103" s="1562">
        <f t="shared" si="16"/>
        <v>0</v>
      </c>
      <c r="F103" s="1815">
        <f t="shared" si="17"/>
        <v>0</v>
      </c>
      <c r="G103" s="1816">
        <f t="shared" si="18"/>
        <v>0</v>
      </c>
    </row>
    <row r="104" spans="1:7" x14ac:dyDescent="0.25">
      <c r="A104" s="1675"/>
      <c r="B104" s="1689"/>
      <c r="C104" s="1676"/>
      <c r="D104" s="1867"/>
      <c r="E104" s="1562">
        <f t="shared" si="16"/>
        <v>0</v>
      </c>
      <c r="F104" s="1815">
        <f t="shared" si="17"/>
        <v>0</v>
      </c>
      <c r="G104" s="1816">
        <f t="shared" si="18"/>
        <v>0</v>
      </c>
    </row>
    <row r="105" spans="1:7" x14ac:dyDescent="0.25">
      <c r="A105" s="1675"/>
      <c r="B105" s="1689"/>
      <c r="C105" s="1676"/>
      <c r="D105" s="1867"/>
      <c r="E105" s="1562">
        <f t="shared" si="16"/>
        <v>0</v>
      </c>
      <c r="F105" s="1815">
        <f t="shared" si="17"/>
        <v>0</v>
      </c>
      <c r="G105" s="1816">
        <f t="shared" si="18"/>
        <v>0</v>
      </c>
    </row>
    <row r="106" spans="1:7" x14ac:dyDescent="0.25">
      <c r="A106" s="1675"/>
      <c r="B106" s="1689"/>
      <c r="C106" s="1676"/>
      <c r="D106" s="1867"/>
      <c r="E106" s="1562">
        <f t="shared" si="16"/>
        <v>0</v>
      </c>
      <c r="F106" s="1815">
        <f t="shared" si="17"/>
        <v>0</v>
      </c>
      <c r="G106" s="1816">
        <f t="shared" si="18"/>
        <v>0</v>
      </c>
    </row>
    <row r="107" spans="1:7" x14ac:dyDescent="0.25">
      <c r="A107" s="1675"/>
      <c r="B107" s="1689"/>
      <c r="C107" s="1676"/>
      <c r="D107" s="1867"/>
      <c r="E107" s="1562">
        <f t="shared" si="16"/>
        <v>0</v>
      </c>
      <c r="F107" s="1815">
        <f t="shared" si="17"/>
        <v>0</v>
      </c>
      <c r="G107" s="1816">
        <f t="shared" si="18"/>
        <v>0</v>
      </c>
    </row>
    <row r="108" spans="1:7" x14ac:dyDescent="0.25">
      <c r="A108" s="1675"/>
      <c r="B108" s="1689"/>
      <c r="C108" s="1676"/>
      <c r="D108" s="1867"/>
      <c r="E108" s="1562">
        <f t="shared" si="16"/>
        <v>0</v>
      </c>
      <c r="F108" s="1815">
        <f t="shared" si="17"/>
        <v>0</v>
      </c>
      <c r="G108" s="1816">
        <f t="shared" si="18"/>
        <v>0</v>
      </c>
    </row>
    <row r="109" spans="1:7" x14ac:dyDescent="0.25">
      <c r="A109" s="1675"/>
      <c r="B109" s="1689"/>
      <c r="C109" s="1676"/>
      <c r="D109" s="1867"/>
      <c r="E109" s="1562">
        <f t="shared" si="16"/>
        <v>0</v>
      </c>
      <c r="F109" s="1815">
        <f t="shared" si="17"/>
        <v>0</v>
      </c>
      <c r="G109" s="1816">
        <f t="shared" si="18"/>
        <v>0</v>
      </c>
    </row>
    <row r="110" spans="1:7" x14ac:dyDescent="0.25">
      <c r="A110" s="1675"/>
      <c r="B110" s="1689"/>
      <c r="C110" s="1676"/>
      <c r="D110" s="1867"/>
      <c r="E110" s="1562">
        <f t="shared" si="16"/>
        <v>0</v>
      </c>
      <c r="F110" s="1815">
        <f t="shared" si="17"/>
        <v>0</v>
      </c>
      <c r="G110" s="1816">
        <f t="shared" si="18"/>
        <v>0</v>
      </c>
    </row>
    <row r="111" spans="1:7" x14ac:dyDescent="0.25">
      <c r="A111" s="1675"/>
      <c r="B111" s="1689"/>
      <c r="C111" s="1676"/>
      <c r="D111" s="1867"/>
      <c r="E111" s="1562">
        <f t="shared" si="16"/>
        <v>0</v>
      </c>
      <c r="F111" s="1815">
        <f t="shared" si="17"/>
        <v>0</v>
      </c>
      <c r="G111" s="1816">
        <f t="shared" si="18"/>
        <v>0</v>
      </c>
    </row>
    <row r="112" spans="1:7" x14ac:dyDescent="0.25">
      <c r="A112" s="1675"/>
      <c r="B112" s="1689"/>
      <c r="C112" s="1676"/>
      <c r="D112" s="1867"/>
      <c r="E112" s="1562">
        <f t="shared" si="16"/>
        <v>0</v>
      </c>
      <c r="F112" s="1815">
        <f t="shared" si="17"/>
        <v>0</v>
      </c>
      <c r="G112" s="1816">
        <f t="shared" si="18"/>
        <v>0</v>
      </c>
    </row>
    <row r="113" spans="1:7" x14ac:dyDescent="0.25">
      <c r="A113" s="1675"/>
      <c r="B113" s="1689"/>
      <c r="C113" s="1676"/>
      <c r="D113" s="1867"/>
      <c r="E113" s="1562">
        <f t="shared" ref="E113:E125" si="19">IF(D113&lt;=25000,D113,IF(D113&gt;25000,25000,0))</f>
        <v>0</v>
      </c>
      <c r="F113" s="1815">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1">IF(F113=0,0,D113-F113)</f>
        <v>0</v>
      </c>
    </row>
    <row r="114" spans="1:7" x14ac:dyDescent="0.25">
      <c r="A114" s="1675"/>
      <c r="B114" s="1689"/>
      <c r="C114" s="1676"/>
      <c r="D114" s="1867"/>
      <c r="E114" s="1562">
        <f t="shared" si="19"/>
        <v>0</v>
      </c>
      <c r="F114" s="1815">
        <f t="shared" si="20"/>
        <v>0</v>
      </c>
      <c r="G114" s="1816">
        <f t="shared" si="21"/>
        <v>0</v>
      </c>
    </row>
    <row r="115" spans="1:7" x14ac:dyDescent="0.25">
      <c r="A115" s="1675"/>
      <c r="B115" s="1689"/>
      <c r="C115" s="1676"/>
      <c r="D115" s="1867"/>
      <c r="E115" s="1562">
        <f t="shared" si="19"/>
        <v>0</v>
      </c>
      <c r="F115" s="1815">
        <f t="shared" si="20"/>
        <v>0</v>
      </c>
      <c r="G115" s="1816">
        <f t="shared" si="21"/>
        <v>0</v>
      </c>
    </row>
    <row r="116" spans="1:7" x14ac:dyDescent="0.25">
      <c r="A116" s="1675"/>
      <c r="B116" s="1689"/>
      <c r="C116" s="1676"/>
      <c r="D116" s="1867"/>
      <c r="E116" s="1562">
        <f t="shared" si="19"/>
        <v>0</v>
      </c>
      <c r="F116" s="1815">
        <f t="shared" si="20"/>
        <v>0</v>
      </c>
      <c r="G116" s="1816">
        <f t="shared" si="21"/>
        <v>0</v>
      </c>
    </row>
    <row r="117" spans="1:7" x14ac:dyDescent="0.25">
      <c r="A117" s="1675"/>
      <c r="B117" s="1689"/>
      <c r="C117" s="1676"/>
      <c r="D117" s="1867"/>
      <c r="E117" s="1562">
        <f t="shared" si="19"/>
        <v>0</v>
      </c>
      <c r="F117" s="1815">
        <f t="shared" si="20"/>
        <v>0</v>
      </c>
      <c r="G117" s="1816">
        <f t="shared" si="21"/>
        <v>0</v>
      </c>
    </row>
    <row r="118" spans="1:7" x14ac:dyDescent="0.25">
      <c r="A118" s="1675"/>
      <c r="B118" s="1689"/>
      <c r="C118" s="1676"/>
      <c r="D118" s="1867"/>
      <c r="E118" s="1562">
        <f t="shared" si="19"/>
        <v>0</v>
      </c>
      <c r="F118" s="1815">
        <f t="shared" si="20"/>
        <v>0</v>
      </c>
      <c r="G118" s="1816">
        <f t="shared" si="21"/>
        <v>0</v>
      </c>
    </row>
    <row r="119" spans="1:7" x14ac:dyDescent="0.25">
      <c r="A119" s="1675"/>
      <c r="B119" s="1689"/>
      <c r="C119" s="1676"/>
      <c r="D119" s="1867"/>
      <c r="E119" s="1562">
        <f t="shared" si="19"/>
        <v>0</v>
      </c>
      <c r="F119" s="1815">
        <f t="shared" si="20"/>
        <v>0</v>
      </c>
      <c r="G119" s="1816">
        <f t="shared" si="21"/>
        <v>0</v>
      </c>
    </row>
    <row r="120" spans="1:7" x14ac:dyDescent="0.25">
      <c r="A120" s="1675"/>
      <c r="B120" s="1689"/>
      <c r="C120" s="1676"/>
      <c r="D120" s="1867"/>
      <c r="E120" s="1562">
        <f t="shared" si="19"/>
        <v>0</v>
      </c>
      <c r="F120" s="1815">
        <f t="shared" si="20"/>
        <v>0</v>
      </c>
      <c r="G120" s="1816">
        <f t="shared" si="21"/>
        <v>0</v>
      </c>
    </row>
    <row r="121" spans="1:7" x14ac:dyDescent="0.25">
      <c r="A121" s="1675"/>
      <c r="B121" s="1689"/>
      <c r="C121" s="1676"/>
      <c r="D121" s="1867"/>
      <c r="E121" s="1562">
        <f t="shared" si="19"/>
        <v>0</v>
      </c>
      <c r="F121" s="1815">
        <f t="shared" si="20"/>
        <v>0</v>
      </c>
      <c r="G121" s="1816">
        <f t="shared" si="21"/>
        <v>0</v>
      </c>
    </row>
    <row r="122" spans="1:7" x14ac:dyDescent="0.25">
      <c r="A122" s="1675"/>
      <c r="B122" s="1689"/>
      <c r="C122" s="1676"/>
      <c r="D122" s="1867"/>
      <c r="E122" s="1562">
        <f t="shared" si="19"/>
        <v>0</v>
      </c>
      <c r="F122" s="1815">
        <f t="shared" si="20"/>
        <v>0</v>
      </c>
      <c r="G122" s="1816">
        <f t="shared" si="21"/>
        <v>0</v>
      </c>
    </row>
    <row r="123" spans="1:7" x14ac:dyDescent="0.25">
      <c r="A123" s="1675"/>
      <c r="B123" s="1689"/>
      <c r="C123" s="1676"/>
      <c r="D123" s="1867"/>
      <c r="E123" s="1562">
        <f t="shared" si="19"/>
        <v>0</v>
      </c>
      <c r="F123" s="1815">
        <f t="shared" si="20"/>
        <v>0</v>
      </c>
      <c r="G123" s="1816">
        <f t="shared" si="21"/>
        <v>0</v>
      </c>
    </row>
    <row r="124" spans="1:7" x14ac:dyDescent="0.25">
      <c r="A124" s="1675"/>
      <c r="B124" s="1689"/>
      <c r="C124" s="1676"/>
      <c r="D124" s="1867"/>
      <c r="E124" s="1562">
        <f t="shared" si="19"/>
        <v>0</v>
      </c>
      <c r="F124" s="1815">
        <f t="shared" si="20"/>
        <v>0</v>
      </c>
      <c r="G124" s="1816">
        <f t="shared" si="21"/>
        <v>0</v>
      </c>
    </row>
    <row r="125" spans="1:7" x14ac:dyDescent="0.25">
      <c r="A125" s="1675"/>
      <c r="B125" s="1689"/>
      <c r="C125" s="1676"/>
      <c r="D125" s="1867"/>
      <c r="E125" s="1562">
        <f t="shared" si="19"/>
        <v>0</v>
      </c>
      <c r="F125" s="1815">
        <f t="shared" si="20"/>
        <v>0</v>
      </c>
      <c r="G125" s="1816">
        <f t="shared" si="21"/>
        <v>0</v>
      </c>
    </row>
    <row r="126" spans="1:7" x14ac:dyDescent="0.25">
      <c r="A126" s="1675"/>
      <c r="B126" s="1689"/>
      <c r="C126" s="1676"/>
      <c r="D126" s="1867"/>
      <c r="E126" s="1562">
        <f t="shared" ref="E126:E134" si="22">IF(D126&lt;=25000,D126,IF(D126&gt;25000,25000,0))</f>
        <v>0</v>
      </c>
      <c r="F126" s="1815">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4">IF(F126=0,0,D126-F126)</f>
        <v>0</v>
      </c>
    </row>
    <row r="127" spans="1:7" x14ac:dyDescent="0.25">
      <c r="A127" s="1675"/>
      <c r="B127" s="1689"/>
      <c r="C127" s="1676"/>
      <c r="D127" s="1867"/>
      <c r="E127" s="1562">
        <f t="shared" si="22"/>
        <v>0</v>
      </c>
      <c r="F127" s="1815">
        <f t="shared" si="23"/>
        <v>0</v>
      </c>
      <c r="G127" s="1816">
        <f t="shared" si="24"/>
        <v>0</v>
      </c>
    </row>
    <row r="128" spans="1:7" x14ac:dyDescent="0.25">
      <c r="A128" s="1675"/>
      <c r="B128" s="1689"/>
      <c r="C128" s="1676"/>
      <c r="D128" s="1867"/>
      <c r="E128" s="1562">
        <f t="shared" si="22"/>
        <v>0</v>
      </c>
      <c r="F128" s="1815">
        <f t="shared" si="23"/>
        <v>0</v>
      </c>
      <c r="G128" s="1816">
        <f t="shared" si="24"/>
        <v>0</v>
      </c>
    </row>
    <row r="129" spans="1:7" x14ac:dyDescent="0.25">
      <c r="A129" s="1675"/>
      <c r="B129" s="1689"/>
      <c r="C129" s="1676"/>
      <c r="D129" s="1867"/>
      <c r="E129" s="1562">
        <f t="shared" si="22"/>
        <v>0</v>
      </c>
      <c r="F129" s="1815">
        <f t="shared" si="23"/>
        <v>0</v>
      </c>
      <c r="G129" s="1816">
        <f t="shared" si="24"/>
        <v>0</v>
      </c>
    </row>
    <row r="130" spans="1:7" x14ac:dyDescent="0.25">
      <c r="A130" s="1675"/>
      <c r="B130" s="1689"/>
      <c r="C130" s="1676"/>
      <c r="D130" s="1867"/>
      <c r="E130" s="1562">
        <f t="shared" si="22"/>
        <v>0</v>
      </c>
      <c r="F130" s="1815">
        <f t="shared" si="23"/>
        <v>0</v>
      </c>
      <c r="G130" s="1816">
        <f t="shared" si="24"/>
        <v>0</v>
      </c>
    </row>
    <row r="131" spans="1:7" x14ac:dyDescent="0.25">
      <c r="A131" s="1675"/>
      <c r="B131" s="1860"/>
      <c r="C131" s="1676"/>
      <c r="D131" s="1867"/>
      <c r="E131" s="1562">
        <f t="shared" si="22"/>
        <v>0</v>
      </c>
      <c r="F131" s="1815">
        <f t="shared" si="23"/>
        <v>0</v>
      </c>
      <c r="G131" s="1816">
        <f t="shared" si="24"/>
        <v>0</v>
      </c>
    </row>
    <row r="132" spans="1:7" x14ac:dyDescent="0.25">
      <c r="A132" s="1675"/>
      <c r="B132" s="1860"/>
      <c r="C132" s="1676"/>
      <c r="D132" s="1867"/>
      <c r="E132" s="1562">
        <f t="shared" si="22"/>
        <v>0</v>
      </c>
      <c r="F132" s="1815">
        <f t="shared" si="23"/>
        <v>0</v>
      </c>
      <c r="G132" s="1816">
        <f t="shared" si="24"/>
        <v>0</v>
      </c>
    </row>
    <row r="133" spans="1:7" x14ac:dyDescent="0.25">
      <c r="A133" s="1675"/>
      <c r="B133" s="1689"/>
      <c r="C133" s="1676"/>
      <c r="D133" s="1867"/>
      <c r="E133" s="1562">
        <f t="shared" si="22"/>
        <v>0</v>
      </c>
      <c r="F133" s="1815">
        <f t="shared" si="23"/>
        <v>0</v>
      </c>
      <c r="G133" s="1816">
        <f t="shared" si="24"/>
        <v>0</v>
      </c>
    </row>
    <row r="134" spans="1:7" x14ac:dyDescent="0.25">
      <c r="A134" s="1675"/>
      <c r="B134" s="1689"/>
      <c r="C134" s="1676"/>
      <c r="D134" s="1867"/>
      <c r="E134" s="1562">
        <f t="shared" si="22"/>
        <v>0</v>
      </c>
      <c r="F134" s="1815">
        <f t="shared" si="23"/>
        <v>0</v>
      </c>
      <c r="G134" s="1816">
        <f t="shared" si="24"/>
        <v>0</v>
      </c>
    </row>
    <row r="135" spans="1:7" x14ac:dyDescent="0.25">
      <c r="A135" s="1675"/>
      <c r="B135" s="1689"/>
      <c r="C135" s="1676"/>
      <c r="D135" s="1867"/>
      <c r="E135" s="1562">
        <f t="shared" ref="E135:E139" si="25">IF(D135&lt;=25000,D135,IF(D135&gt;25000,25000,0))</f>
        <v>0</v>
      </c>
      <c r="F135" s="1815">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7">IF(F135=0,0,D135-F135)</f>
        <v>0</v>
      </c>
    </row>
    <row r="136" spans="1:7" x14ac:dyDescent="0.25">
      <c r="A136" s="1675"/>
      <c r="B136" s="1689"/>
      <c r="C136" s="1676"/>
      <c r="D136" s="1867"/>
      <c r="E136" s="1562">
        <f t="shared" si="25"/>
        <v>0</v>
      </c>
      <c r="F136" s="1815">
        <f t="shared" si="26"/>
        <v>0</v>
      </c>
      <c r="G136" s="1816">
        <f t="shared" si="27"/>
        <v>0</v>
      </c>
    </row>
    <row r="137" spans="1:7" x14ac:dyDescent="0.25">
      <c r="A137" s="1675"/>
      <c r="B137" s="1689"/>
      <c r="C137" s="1676"/>
      <c r="D137" s="1867"/>
      <c r="E137" s="1562">
        <f t="shared" si="25"/>
        <v>0</v>
      </c>
      <c r="F137" s="1815">
        <f t="shared" si="26"/>
        <v>0</v>
      </c>
      <c r="G137" s="1816">
        <f t="shared" si="27"/>
        <v>0</v>
      </c>
    </row>
    <row r="138" spans="1:7" x14ac:dyDescent="0.25">
      <c r="A138" s="1675"/>
      <c r="B138" s="1689"/>
      <c r="C138" s="1676"/>
      <c r="D138" s="1867"/>
      <c r="E138" s="1562">
        <f t="shared" si="25"/>
        <v>0</v>
      </c>
      <c r="F138" s="1815">
        <f t="shared" si="26"/>
        <v>0</v>
      </c>
      <c r="G138" s="1816">
        <f t="shared" si="27"/>
        <v>0</v>
      </c>
    </row>
    <row r="139" spans="1:7" x14ac:dyDescent="0.25">
      <c r="A139" s="1675"/>
      <c r="B139" s="1689"/>
      <c r="C139" s="1676"/>
      <c r="D139" s="1867"/>
      <c r="E139" s="1562">
        <f t="shared" si="25"/>
        <v>0</v>
      </c>
      <c r="F139" s="1815">
        <f t="shared" si="26"/>
        <v>0</v>
      </c>
      <c r="G139" s="1816">
        <f t="shared" si="27"/>
        <v>0</v>
      </c>
    </row>
    <row r="140" spans="1:7" x14ac:dyDescent="0.25">
      <c r="A140" s="1675"/>
      <c r="B140" s="1688"/>
      <c r="C140" s="1676"/>
      <c r="D140" s="1867"/>
      <c r="E140" s="1562">
        <f t="shared" si="1"/>
        <v>0</v>
      </c>
      <c r="F140" s="1815">
        <f t="shared" si="2"/>
        <v>0</v>
      </c>
      <c r="G140" s="1816">
        <f t="shared" si="3"/>
        <v>0</v>
      </c>
    </row>
    <row r="141" spans="1:7" x14ac:dyDescent="0.25">
      <c r="A141" s="1819" t="s">
        <v>158</v>
      </c>
      <c r="B141" s="1820"/>
      <c r="C141" s="1821"/>
      <c r="D141" s="1817">
        <f>SUM(D17:D140)</f>
        <v>529797</v>
      </c>
      <c r="E141" s="1563">
        <f t="shared" ref="E141" si="28">IF(D141&lt;=25000,D141,IF(D141&gt;25000,25000,0))</f>
        <v>25000</v>
      </c>
      <c r="F141" s="1817">
        <f>SUM(F17:F140)</f>
        <v>25000</v>
      </c>
      <c r="G141" s="1818">
        <f>SUM(G17:G140)</f>
        <v>504797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f>+'Revenues 9-14'!C201</f>
        <v>387104</v>
      </c>
      <c r="F10" s="975"/>
      <c r="G10" s="976"/>
      <c r="H10" s="162"/>
      <c r="I10" s="162"/>
    </row>
    <row r="11" spans="1:9" s="669" customFormat="1" ht="22.5" customHeight="1" x14ac:dyDescent="0.2">
      <c r="A11" s="2307" t="s">
        <v>1942</v>
      </c>
      <c r="B11" s="2308"/>
      <c r="C11" s="2308"/>
      <c r="D11" s="2309"/>
      <c r="E11" s="978">
        <v>52890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16266823</v>
      </c>
      <c r="F19" s="1822"/>
      <c r="G19" s="1824">
        <f>'Expenditures 15-22'!K33-SUM('Expenditures 15-22'!G33,'Expenditures 15-22'!I33)+'Expenditures 15-22'!D229</f>
        <v>16266823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971337</v>
      </c>
      <c r="F21" s="1825"/>
      <c r="G21" s="1828">
        <f>'Expenditures 15-22'!K42-SUM('Expenditures 15-22'!G42,'Expenditures 15-22'!I42)+'Expenditures 15-22'!K120-SUM('Expenditures 15-22'!G120,'Expenditures 15-22'!I120)+'Expenditures 15-22'!K180-SUM('Expenditures 15-22'!G180,'Expenditures 15-22'!I180)+'Expenditures 15-22'!D238</f>
        <v>971337</v>
      </c>
      <c r="H21" s="988"/>
      <c r="I21" s="162"/>
    </row>
    <row r="22" spans="1:9" s="669" customFormat="1" ht="12" customHeight="1" x14ac:dyDescent="0.2">
      <c r="A22" s="995" t="s">
        <v>585</v>
      </c>
      <c r="B22" s="996"/>
      <c r="C22" s="994">
        <v>2200</v>
      </c>
      <c r="D22" s="1825"/>
      <c r="E22" s="1827">
        <f>'Expenditures 15-22'!K47-SUM('Expenditures 15-22'!G47,'Expenditures 15-22'!I47)+'Expenditures 15-22'!D243</f>
        <v>149572</v>
      </c>
      <c r="F22" s="1825"/>
      <c r="G22" s="1828">
        <f>'Expenditures 15-22'!K47-SUM('Expenditures 15-22'!G47,'Expenditures 15-22'!I47)+'Expenditures 15-22'!D243</f>
        <v>149572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342902</v>
      </c>
      <c r="F23" s="1825"/>
      <c r="G23" s="1827">
        <f>'Expenditures 15-22'!K53-SUM('Expenditures 15-22'!G53,'Expenditures 15-22'!I53)+'Expenditures 15-22'!D257+'Expenditures 15-22'!K330-SUM('Expenditures 15-22'!G330,'Expenditures 15-22'!I330)</f>
        <v>342902</v>
      </c>
      <c r="H23" s="988"/>
      <c r="I23" s="162"/>
    </row>
    <row r="24" spans="1:9" s="669" customFormat="1" ht="12" customHeight="1" x14ac:dyDescent="0.2">
      <c r="A24" s="995" t="s">
        <v>587</v>
      </c>
      <c r="B24" s="996"/>
      <c r="C24" s="994">
        <v>2400</v>
      </c>
      <c r="D24" s="1825"/>
      <c r="E24" s="1827">
        <f>'Expenditures 15-22'!K57-SUM('Expenditures 15-22'!G57,'Expenditures 15-22'!I57)+'Expenditures 15-22'!D261</f>
        <v>1598296</v>
      </c>
      <c r="F24" s="1825"/>
      <c r="G24" s="1828">
        <f>'Expenditures 15-22'!K57-SUM('Expenditures 15-22'!G57,'Expenditures 15-22'!I57)+'Expenditures 15-22'!D261</f>
        <v>1598296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1364</v>
      </c>
      <c r="E26" s="1827">
        <f>'Expenditures 15-22'!K122-SUM('Expenditures 15-22'!G122,'Expenditures 15-22'!I122)+E7</f>
        <v>0</v>
      </c>
      <c r="F26" s="1827">
        <f>'Expenditures 15-22'!K59-SUM('Expenditures 15-22'!G59,'Expenditures 15-22'!I59)+'Expenditures 15-22'!D263-E7</f>
        <v>1364</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189320</v>
      </c>
      <c r="E27" s="1827">
        <f>E8</f>
        <v>0</v>
      </c>
      <c r="F27" s="1827">
        <f>'Expenditures 15-22'!K60-SUM('Expenditures 15-22'!G60,'Expenditures 15-22'!I60)+'Expenditures 15-22'!D264-E8</f>
        <v>189320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2077247</v>
      </c>
      <c r="F28" s="1829">
        <f>'Expenditures 15-22'!K61-SUM('Expenditures 15-22'!G61,'Expenditures 15-22'!I61)+'Expenditures 15-22'!K124-SUM('Expenditures 15-22'!G124,'Expenditures 15-22'!I124)+'Expenditures 15-22'!D266-E9</f>
        <v>2077247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1135370</v>
      </c>
      <c r="F29" s="1825"/>
      <c r="G29" s="1828">
        <f>'Expenditures 15-22'!K62-SUM('Expenditures 15-22'!G62,'Expenditures 15-22'!I62)+'Expenditures 15-22'!K125-SUM('Expenditures 15-22'!G125,'Expenditures 15-22'!I125)+'Expenditures 15-22'!K182-SUM('Expenditures 15-22'!G182,'Expenditures 15-22'!I182)+'Expenditures 15-22'!D267</f>
        <v>1135370</v>
      </c>
      <c r="H29" s="986"/>
    </row>
    <row r="30" spans="1:9" ht="12" customHeight="1" x14ac:dyDescent="0.2">
      <c r="A30" s="995" t="s">
        <v>102</v>
      </c>
      <c r="B30" s="998"/>
      <c r="C30" s="994">
        <v>2560</v>
      </c>
      <c r="D30" s="1825"/>
      <c r="E30" s="1827">
        <f>'Expenditures 15-22'!K63-SUM('Expenditures 15-22'!G63,'Expenditures 15-22'!I63)+'Expenditures 15-22'!D268-E10</f>
        <v>151567</v>
      </c>
      <c r="F30" s="1825"/>
      <c r="G30" s="1827">
        <f>'Expenditures 15-22'!K63-SUM('Expenditures 15-22'!G63,'Expenditures 15-22'!I63)+'Expenditures 15-22'!D268-E10</f>
        <v>151567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146169</v>
      </c>
      <c r="F35" s="1825"/>
      <c r="G35" s="1827">
        <f>'Expenditures 15-22'!K69-SUM('Expenditures 15-22'!G69,'Expenditures 15-22'!I69)+'Expenditures 15-22'!D274</f>
        <v>146169</v>
      </c>
    </row>
    <row r="36" spans="1:7" ht="12" customHeight="1" x14ac:dyDescent="0.2">
      <c r="A36" s="995" t="s">
        <v>423</v>
      </c>
      <c r="B36" s="998"/>
      <c r="C36" s="994">
        <v>2640</v>
      </c>
      <c r="D36" s="1827">
        <f>'Expenditures 15-22'!K70-SUM('Expenditures 15-22'!G70,'Expenditures 15-22'!I70)+'Expenditures 15-22'!D275-E13</f>
        <v>2183</v>
      </c>
      <c r="E36" s="1827">
        <f>E13</f>
        <v>0</v>
      </c>
      <c r="F36" s="1827">
        <f>'Expenditures 15-22'!K70-SUM('Expenditures 15-22'!G70,'Expenditures 15-22'!I70)+'Expenditures 15-22'!D275-E13</f>
        <v>2183</v>
      </c>
      <c r="G36" s="1827">
        <f>E13</f>
        <v>0</v>
      </c>
    </row>
    <row r="37" spans="1:7" ht="12" customHeight="1" x14ac:dyDescent="0.2">
      <c r="A37" s="995" t="s">
        <v>424</v>
      </c>
      <c r="B37" s="998"/>
      <c r="C37" s="994">
        <v>2660</v>
      </c>
      <c r="D37" s="1827">
        <f>'Expenditures 15-22'!K71-SUM('Expenditures 15-22'!G71,'Expenditures 15-22'!I71)+'Expenditures 15-22'!D276-E14</f>
        <v>52053</v>
      </c>
      <c r="E37" s="1827">
        <f>E14</f>
        <v>0</v>
      </c>
      <c r="F37" s="1827">
        <f>'Expenditures 15-22'!K71-SUM('Expenditures 15-22'!G71,'Expenditures 15-22'!I71)+'Expenditures 15-22'!D276-E14</f>
        <v>52053</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2533</v>
      </c>
      <c r="F39" s="1825"/>
      <c r="G39" s="1827">
        <f>'Expenditures 15-22'!K75-SUM('Expenditures 15-22'!G75,'Expenditures 15-22'!I75)+'Expenditures 15-22'!K130-SUM('Expenditures 15-22'!G130,'Expenditures 15-22'!I130)+'Expenditures 15-22'!K185-SUM('Expenditures 15-22'!G185,'Expenditures 15-22'!I185)+'Expenditures 15-22'!D280</f>
        <v>2533</v>
      </c>
    </row>
    <row r="40" spans="1:7" ht="12" customHeight="1" x14ac:dyDescent="0.2">
      <c r="A40" s="991" t="s">
        <v>1928</v>
      </c>
      <c r="B40" s="992"/>
      <c r="C40" s="994"/>
      <c r="D40" s="1825"/>
      <c r="E40" s="1829">
        <f>-'Contracts Paid in CY 29'!G141</f>
        <v>-504797</v>
      </c>
      <c r="F40" s="1825"/>
      <c r="G40" s="1829">
        <f>-'Contracts Paid in CY 29'!G141</f>
        <v>-504797</v>
      </c>
    </row>
    <row r="41" spans="1:7" ht="12" customHeight="1" x14ac:dyDescent="0.2">
      <c r="A41" s="999" t="s">
        <v>158</v>
      </c>
      <c r="B41" s="1000"/>
      <c r="C41" s="1001"/>
      <c r="D41" s="1829">
        <f>SUM(D19:D39)</f>
        <v>244920</v>
      </c>
      <c r="E41" s="1829">
        <f>SUM(E19:E40)</f>
        <v>22337019</v>
      </c>
      <c r="F41" s="1829">
        <f>SUM(F19:F39)</f>
        <v>2322167</v>
      </c>
      <c r="G41" s="1829">
        <f>SUM(G19:G40)</f>
        <v>20259772</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244920</v>
      </c>
      <c r="F43" s="1830" t="s">
        <v>495</v>
      </c>
      <c r="G43" s="1831">
        <f>F41</f>
        <v>2322167</v>
      </c>
    </row>
    <row r="44" spans="1:7" ht="12" customHeight="1" x14ac:dyDescent="0.2">
      <c r="A44" s="988"/>
      <c r="B44" s="162"/>
      <c r="C44" s="1002"/>
      <c r="D44" s="1830" t="s">
        <v>494</v>
      </c>
      <c r="E44" s="1831">
        <f>E41</f>
        <v>22337019</v>
      </c>
      <c r="F44" s="1830" t="s">
        <v>494</v>
      </c>
      <c r="G44" s="1831">
        <f>G41</f>
        <v>20259772</v>
      </c>
    </row>
    <row r="45" spans="1:7" ht="12" customHeight="1" x14ac:dyDescent="0.2">
      <c r="A45" s="988"/>
      <c r="B45" s="162"/>
      <c r="C45" s="162"/>
      <c r="D45" s="1832" t="s">
        <v>1063</v>
      </c>
      <c r="E45" s="1833">
        <f>(E43/E44)</f>
        <v>1.0964757651860349E-2</v>
      </c>
      <c r="F45" s="1832" t="s">
        <v>1063</v>
      </c>
      <c r="G45" s="1833">
        <f>(G43/G44)</f>
        <v>0.11461960183954686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3" t="s">
        <v>1446</v>
      </c>
      <c r="B1" s="2313"/>
      <c r="C1" s="2313"/>
      <c r="D1" s="2313"/>
      <c r="E1" s="2313"/>
      <c r="F1" s="2313"/>
    </row>
    <row r="2" spans="1:10" x14ac:dyDescent="0.2">
      <c r="A2" s="1912" t="s">
        <v>2044</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4" t="s">
        <v>1627</v>
      </c>
      <c r="B5" s="2315"/>
      <c r="C5" s="2316"/>
      <c r="D5" s="2316"/>
      <c r="E5" s="2316"/>
      <c r="F5" s="2316"/>
    </row>
    <row r="6" spans="1:10" ht="12" customHeight="1" x14ac:dyDescent="0.25">
      <c r="A6" s="1875"/>
      <c r="B6" s="1876"/>
      <c r="C6" s="2317" t="str">
        <f>COVER!A17</f>
        <v>Sandwich CUSD 430</v>
      </c>
      <c r="D6" s="2317"/>
      <c r="E6" s="2317"/>
      <c r="F6" s="1877"/>
    </row>
    <row r="7" spans="1:10" ht="11.25" customHeight="1" thickBot="1" x14ac:dyDescent="0.3">
      <c r="A7" s="1875"/>
      <c r="B7" s="1876"/>
      <c r="C7" s="2318">
        <f>COVER!A13</f>
        <v>16019430026</v>
      </c>
      <c r="D7" s="2318"/>
      <c r="E7" s="2318"/>
      <c r="F7" s="1877"/>
    </row>
    <row r="8" spans="1:10" ht="25.5" customHeight="1" thickBot="1" x14ac:dyDescent="0.25">
      <c r="A8" s="1918" t="s">
        <v>2021</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2097</v>
      </c>
      <c r="D15" s="1890" t="s">
        <v>2097</v>
      </c>
      <c r="E15" s="1893"/>
      <c r="F15" s="1892" t="s">
        <v>2098</v>
      </c>
      <c r="H15" s="1903">
        <f t="shared" si="0"/>
        <v>5</v>
      </c>
      <c r="I15" s="1903">
        <f t="shared" si="1"/>
        <v>5</v>
      </c>
      <c r="J15" s="1903">
        <f t="shared" si="2"/>
        <v>0</v>
      </c>
    </row>
    <row r="16" spans="1:10" ht="12" customHeight="1" x14ac:dyDescent="0.2">
      <c r="A16" s="1888" t="s">
        <v>1455</v>
      </c>
      <c r="B16" s="1889"/>
      <c r="C16" s="1890" t="s">
        <v>2097</v>
      </c>
      <c r="D16" s="1890" t="s">
        <v>2097</v>
      </c>
      <c r="E16" s="1893"/>
      <c r="F16" s="1892" t="s">
        <v>2099</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2097</v>
      </c>
      <c r="D23" s="1890" t="s">
        <v>2097</v>
      </c>
      <c r="E23" s="1893"/>
      <c r="F23" s="1892" t="s">
        <v>2100</v>
      </c>
      <c r="H23" s="1903">
        <f t="shared" si="0"/>
        <v>5</v>
      </c>
      <c r="I23" s="1903">
        <f t="shared" si="1"/>
        <v>5</v>
      </c>
      <c r="J23" s="1903">
        <f t="shared" si="2"/>
        <v>0</v>
      </c>
    </row>
    <row r="24" spans="1:12" ht="12" customHeight="1" x14ac:dyDescent="0.2">
      <c r="A24" s="1888" t="s">
        <v>1613</v>
      </c>
      <c r="B24" s="1889"/>
      <c r="C24" s="1890" t="s">
        <v>2097</v>
      </c>
      <c r="D24" s="1890" t="s">
        <v>2097</v>
      </c>
      <c r="E24" s="1893"/>
      <c r="F24" s="1892" t="s">
        <v>2101</v>
      </c>
      <c r="H24" s="1903">
        <f t="shared" si="0"/>
        <v>5</v>
      </c>
      <c r="I24" s="1903">
        <f t="shared" si="1"/>
        <v>5</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2097</v>
      </c>
      <c r="D26" s="1890" t="s">
        <v>2097</v>
      </c>
      <c r="E26" s="1893"/>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2097</v>
      </c>
      <c r="D31" s="1890" t="s">
        <v>2097</v>
      </c>
      <c r="E31" s="1893"/>
      <c r="F31" s="1892" t="s">
        <v>2103</v>
      </c>
      <c r="H31" s="1903">
        <f t="shared" si="0"/>
        <v>5</v>
      </c>
      <c r="I31" s="1903">
        <f t="shared" si="1"/>
        <v>5</v>
      </c>
      <c r="J31" s="1903">
        <f t="shared" si="2"/>
        <v>0</v>
      </c>
      <c r="L31" s="1894"/>
    </row>
    <row r="32" spans="1:12" ht="12" customHeight="1" x14ac:dyDescent="0.2">
      <c r="A32" s="1888" t="s">
        <v>1621</v>
      </c>
      <c r="B32" s="1889"/>
      <c r="C32" s="1890" t="s">
        <v>2097</v>
      </c>
      <c r="D32" s="1890" t="s">
        <v>2097</v>
      </c>
      <c r="E32" s="1893"/>
      <c r="F32" s="1892" t="s">
        <v>2104</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0</v>
      </c>
      <c r="K34" s="1903">
        <f>SUM(H34:J34)</f>
        <v>70</v>
      </c>
    </row>
    <row r="35" spans="1:11" ht="12" customHeight="1" x14ac:dyDescent="0.2">
      <c r="A35" s="1896" t="s">
        <v>1459</v>
      </c>
      <c r="B35" s="1897"/>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1458</v>
      </c>
      <c r="B40" s="1900"/>
      <c r="C40" s="2327"/>
      <c r="D40" s="2327"/>
      <c r="E40" s="2327"/>
      <c r="F40" s="2328"/>
      <c r="H40" s="1904"/>
      <c r="I40" s="1904"/>
      <c r="J40" s="1904"/>
      <c r="K40" s="1904"/>
    </row>
    <row r="41" spans="1:11" s="1895" customFormat="1" ht="12" customHeight="1" x14ac:dyDescent="0.25">
      <c r="A41" s="2329"/>
      <c r="B41" s="2330"/>
      <c r="C41" s="2330"/>
      <c r="D41" s="2330"/>
      <c r="E41" s="2330"/>
      <c r="F41" s="2331"/>
      <c r="H41" s="1904"/>
      <c r="I41" s="1904"/>
      <c r="J41" s="1904"/>
      <c r="K41" s="1904"/>
    </row>
    <row r="42" spans="1:11" s="1895" customFormat="1" ht="12" customHeight="1" x14ac:dyDescent="0.25">
      <c r="A42" s="2329"/>
      <c r="B42" s="2330"/>
      <c r="C42" s="2330"/>
      <c r="D42" s="2330"/>
      <c r="E42" s="2330"/>
      <c r="F42" s="2331"/>
      <c r="H42" s="1904"/>
      <c r="I42" s="1904"/>
      <c r="J42" s="1904"/>
      <c r="K42" s="1904"/>
    </row>
    <row r="43" spans="1:11" s="1895" customFormat="1" ht="15" x14ac:dyDescent="0.25">
      <c r="A43" s="2321"/>
      <c r="B43" s="2322"/>
      <c r="C43" s="2322"/>
      <c r="D43" s="2322"/>
      <c r="E43" s="2322"/>
      <c r="F43" s="2323"/>
      <c r="H43" s="1904"/>
      <c r="I43" s="1904"/>
      <c r="J43" s="1904"/>
      <c r="K43" s="1904"/>
    </row>
    <row r="44" spans="1:11" s="1895" customFormat="1" ht="12" hidden="1" customHeight="1" x14ac:dyDescent="0.25">
      <c r="A44" s="2321"/>
      <c r="B44" s="2322"/>
      <c r="C44" s="2322"/>
      <c r="D44" s="2322"/>
      <c r="E44" s="2322"/>
      <c r="F44" s="232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Sandwich CUSD 430</v>
      </c>
      <c r="J6" s="2338"/>
      <c r="Q6" s="1686"/>
    </row>
    <row r="7" spans="1:17" x14ac:dyDescent="0.2">
      <c r="A7" s="2339" t="s">
        <v>924</v>
      </c>
      <c r="B7" s="2340"/>
      <c r="C7" s="2340"/>
      <c r="D7" s="2340"/>
      <c r="E7" s="2341"/>
      <c r="F7" s="1018"/>
      <c r="G7" s="1010"/>
      <c r="H7" s="1017" t="s">
        <v>390</v>
      </c>
      <c r="I7" s="2342">
        <f>COVER!A13</f>
        <v>16019430026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212662</v>
      </c>
      <c r="F12" s="1040"/>
      <c r="G12" s="1834">
        <f t="shared" ref="G12:G18" si="0">SUM(E12:F12)</f>
        <v>212662</v>
      </c>
      <c r="H12" s="1041">
        <v>205847</v>
      </c>
      <c r="I12" s="1040"/>
      <c r="J12" s="1834">
        <f t="shared" ref="J12:J18" si="1">SUM(H12:I12)</f>
        <v>205847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1364</v>
      </c>
      <c r="F15" s="1834">
        <f>'Expenditures 15-22'!K122</f>
        <v>0</v>
      </c>
      <c r="G15" s="1834">
        <f t="shared" si="0"/>
        <v>1364</v>
      </c>
      <c r="H15" s="1041">
        <v>2500</v>
      </c>
      <c r="I15" s="1041"/>
      <c r="J15" s="1834">
        <f t="shared" si="1"/>
        <v>2500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214026</v>
      </c>
      <c r="F19" s="1836">
        <f t="shared" si="2"/>
        <v>0</v>
      </c>
      <c r="G19" s="1836">
        <f t="shared" si="2"/>
        <v>214026</v>
      </c>
      <c r="H19" s="1836">
        <f t="shared" si="2"/>
        <v>208347</v>
      </c>
      <c r="I19" s="1836">
        <f t="shared" si="2"/>
        <v>0</v>
      </c>
      <c r="J19" s="1836">
        <f t="shared" si="2"/>
        <v>208347</v>
      </c>
    </row>
    <row r="20" spans="1:10" ht="13.5" thickTop="1" x14ac:dyDescent="0.2">
      <c r="A20" s="1036">
        <v>9</v>
      </c>
      <c r="B20" s="2349" t="s">
        <v>1703</v>
      </c>
      <c r="C20" s="2349"/>
      <c r="D20" s="2350"/>
      <c r="E20" s="1047"/>
      <c r="F20" s="1047"/>
      <c r="G20" s="1047"/>
      <c r="H20" s="1047"/>
      <c r="I20" s="1047"/>
      <c r="J20" s="1837">
        <f>IF(AND(G19&gt;0,J19&gt;0),(((J19-G19)/G19)),"Enter Budget Data")</f>
        <v>-2.6534159401194246E-2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1941</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v>2</v>
      </c>
      <c r="B6" s="329" t="s">
        <v>2106</v>
      </c>
    </row>
    <row r="7" spans="1:2" x14ac:dyDescent="0.2">
      <c r="A7" s="1069">
        <v>3</v>
      </c>
      <c r="B7" s="329" t="s">
        <v>2107</v>
      </c>
    </row>
    <row r="8" spans="1:2" x14ac:dyDescent="0.2">
      <c r="A8" s="1069">
        <v>4</v>
      </c>
      <c r="B8" s="329" t="s">
        <v>2108</v>
      </c>
    </row>
    <row r="9" spans="1:2" x14ac:dyDescent="0.2">
      <c r="A9" s="1069">
        <v>5</v>
      </c>
      <c r="B9" s="329" t="s">
        <v>2109</v>
      </c>
    </row>
    <row r="10" spans="1:2" x14ac:dyDescent="0.2">
      <c r="A10" s="1069">
        <v>6</v>
      </c>
      <c r="B10" s="329" t="s">
        <v>2110</v>
      </c>
    </row>
    <row r="11" spans="1:2" x14ac:dyDescent="0.2">
      <c r="A11" s="1069">
        <v>7</v>
      </c>
      <c r="B11" s="329" t="s">
        <v>2111</v>
      </c>
    </row>
    <row r="12" spans="1:2" x14ac:dyDescent="0.2">
      <c r="A12" s="1069">
        <v>8</v>
      </c>
      <c r="B12" s="329" t="s">
        <v>2112</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Sandwich CUSD 430</v>
      </c>
    </row>
    <row r="65" spans="2:2" x14ac:dyDescent="0.2">
      <c r="B65" s="1071">
        <f>COVER!A13</f>
        <v>16019430026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8" sqref="A18:B1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742950</xdr:colOff>
                <xdr:row>4</xdr:row>
                <xdr:rowOff>57150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5</xdr:row>
                <xdr:rowOff>0</xdr:rowOff>
              </from>
              <to>
                <xdr:col>1</xdr:col>
                <xdr:colOff>742950</xdr:colOff>
                <xdr:row>9</xdr:row>
                <xdr:rowOff>57150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10</xdr:row>
                <xdr:rowOff>0</xdr:rowOff>
              </from>
              <to>
                <xdr:col>1</xdr:col>
                <xdr:colOff>742950</xdr:colOff>
                <xdr:row>14</xdr:row>
                <xdr:rowOff>57150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1</xdr:col>
                <xdr:colOff>0</xdr:colOff>
                <xdr:row>15</xdr:row>
                <xdr:rowOff>0</xdr:rowOff>
              </from>
              <to>
                <xdr:col>1</xdr:col>
                <xdr:colOff>914400</xdr:colOff>
                <xdr:row>17</xdr:row>
                <xdr:rowOff>38100</xdr:rowOff>
              </to>
            </anchor>
          </objectPr>
        </oleObject>
      </mc:Choice>
      <mc:Fallback>
        <oleObject progId="AcroExch.Document.11" dvAspect="DVASPECT_ICON" shapeId="50180" r:id="rId8"/>
      </mc:Fallback>
    </mc:AlternateContent>
    <mc:AlternateContent xmlns:mc="http://schemas.openxmlformats.org/markup-compatibility/2006">
      <mc:Choice Requires="x14">
        <oleObject progId="AcroExch.Document.11" dvAspect="DVASPECT_ICON" shapeId="50181" r:id="rId10">
          <objectPr defaultSize="0" r:id="rId9">
            <anchor moveWithCells="1">
              <from>
                <xdr:col>0</xdr:col>
                <xdr:colOff>0</xdr:colOff>
                <xdr:row>17</xdr:row>
                <xdr:rowOff>0</xdr:rowOff>
              </from>
              <to>
                <xdr:col>1</xdr:col>
                <xdr:colOff>790575</xdr:colOff>
                <xdr:row>20</xdr:row>
                <xdr:rowOff>47625</xdr:rowOff>
              </to>
            </anchor>
          </objectPr>
        </oleObject>
      </mc:Choice>
      <mc:Fallback>
        <oleObject progId="AcroExch.Document.11" dvAspect="DVASPECT_ICON" shapeId="50181"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2052</v>
      </c>
      <c r="B4" s="2377"/>
      <c r="C4" s="2377"/>
      <c r="D4" s="2377"/>
      <c r="E4" s="2377"/>
      <c r="F4" s="2378"/>
      <c r="G4" s="1075"/>
      <c r="H4" s="1075"/>
    </row>
    <row r="5" spans="1:8" ht="14.25" customHeight="1" x14ac:dyDescent="0.2">
      <c r="A5" s="2379" t="s">
        <v>2053</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20667947</v>
      </c>
      <c r="C8" s="1838">
        <f>'Acct Summary 7-8'!D8</f>
        <v>1747626</v>
      </c>
      <c r="D8" s="1838">
        <f>'Acct Summary 7-8'!F8</f>
        <v>1028542</v>
      </c>
      <c r="E8" s="1838">
        <f>'Acct Summary 7-8'!I8</f>
        <v>342</v>
      </c>
      <c r="F8" s="1838">
        <f>SUM(B8:E8)</f>
        <v>23444457</v>
      </c>
    </row>
    <row r="9" spans="1:8" s="1080" customFormat="1" ht="14.25" customHeight="1" thickBot="1" x14ac:dyDescent="0.25">
      <c r="A9" s="1079" t="s">
        <v>1436</v>
      </c>
      <c r="B9" s="1839">
        <f>'Acct Summary 7-8'!C17</f>
        <v>20524955</v>
      </c>
      <c r="C9" s="1839">
        <f>'Acct Summary 7-8'!D17</f>
        <v>1801250</v>
      </c>
      <c r="D9" s="1839">
        <f>'Acct Summary 7-8'!F17</f>
        <v>1037024</v>
      </c>
      <c r="E9" s="1838"/>
      <c r="F9" s="1838">
        <f>SUM(B9:E9)</f>
        <v>23363229</v>
      </c>
    </row>
    <row r="10" spans="1:8" s="1080" customFormat="1" ht="14.25" thickTop="1" thickBot="1" x14ac:dyDescent="0.25">
      <c r="A10" s="1081" t="s">
        <v>1437</v>
      </c>
      <c r="B10" s="1840">
        <f>(B8-B9)</f>
        <v>142992</v>
      </c>
      <c r="C10" s="1840">
        <f>(C8-C9)</f>
        <v>-53624</v>
      </c>
      <c r="D10" s="1840">
        <f>(D8-D9)</f>
        <v>-8482</v>
      </c>
      <c r="E10" s="1839">
        <f>(E8-E9)</f>
        <v>342</v>
      </c>
      <c r="F10" s="1841">
        <f>SUM(F8-F9)</f>
        <v>81228</v>
      </c>
    </row>
    <row r="11" spans="1:8" s="1080" customFormat="1" ht="14.25" thickTop="1" thickBot="1" x14ac:dyDescent="0.25">
      <c r="A11" s="1082" t="s">
        <v>1785</v>
      </c>
      <c r="B11" s="1842">
        <f>'Acct Summary 7-8'!C81</f>
        <v>-525969</v>
      </c>
      <c r="C11" s="1842">
        <f>'Acct Summary 7-8'!D81</f>
        <v>15492</v>
      </c>
      <c r="D11" s="1842">
        <f>'Acct Summary 7-8'!F81</f>
        <v>63967</v>
      </c>
      <c r="E11" s="1842">
        <f>'Acct Summary 7-8'!I81</f>
        <v>751761</v>
      </c>
      <c r="F11" s="1843">
        <f>SUM(B11:E11)</f>
        <v>305251</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16019430026</v>
      </c>
    </row>
    <row r="3" spans="1:2" x14ac:dyDescent="0.2">
      <c r="A3" t="s">
        <v>1013</v>
      </c>
      <c r="B3" s="138" t="str">
        <f>COVER!A15</f>
        <v>DeKalb / LaSalle / Kendall</v>
      </c>
    </row>
    <row r="4" spans="1:2" x14ac:dyDescent="0.2">
      <c r="A4" t="s">
        <v>1064</v>
      </c>
      <c r="B4" s="138" t="str">
        <f>COVER!A17</f>
        <v>Sandwich CUSD 430</v>
      </c>
    </row>
    <row r="5" spans="1:2" x14ac:dyDescent="0.2">
      <c r="A5" t="s">
        <v>728</v>
      </c>
      <c r="B5" s="138" t="str">
        <f>COVER!A38</f>
        <v>Rick Schmitt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066-005100</v>
      </c>
    </row>
    <row r="16" spans="1:2" x14ac:dyDescent="0.2">
      <c r="A16" t="s">
        <v>442</v>
      </c>
      <c r="B16" s="138" t="str">
        <f>COVER!T13</f>
        <v>Mack &amp; Assocaites, P.C.</v>
      </c>
    </row>
    <row r="17" spans="1:2" x14ac:dyDescent="0.2">
      <c r="A17" t="s">
        <v>939</v>
      </c>
      <c r="B17" s="138" t="str">
        <f>COVER!T15</f>
        <v>Tawnya Mack, CPA</v>
      </c>
    </row>
    <row r="18" spans="1:2" x14ac:dyDescent="0.2">
      <c r="A18" t="s">
        <v>1212</v>
      </c>
      <c r="B18" s="138" t="str">
        <f>COVER!T17</f>
        <v>116 E.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 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36526</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2393081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2919050</v>
      </c>
      <c r="C91" s="2" t="s">
        <v>594</v>
      </c>
      <c r="D91" s="2" t="str">
        <f t="shared" si="0"/>
        <v>Error?</v>
      </c>
    </row>
    <row r="92" spans="1:4" x14ac:dyDescent="0.2">
      <c r="A92" s="5">
        <v>31</v>
      </c>
      <c r="B92" s="138">
        <f>'Assets-Liab 5-6'!C39</f>
        <v>-1425929</v>
      </c>
      <c r="D92" s="2" t="str">
        <f t="shared" si="0"/>
        <v>Error?</v>
      </c>
    </row>
    <row r="93" spans="1:4" x14ac:dyDescent="0.2">
      <c r="A93" s="5">
        <v>32</v>
      </c>
      <c r="B93" s="138">
        <f>'Assets-Liab 5-6'!C41</f>
        <v>2393081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15492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15492</v>
      </c>
      <c r="D123" s="2" t="str">
        <f t="shared" si="0"/>
        <v>Error?</v>
      </c>
    </row>
    <row r="124" spans="1:4" x14ac:dyDescent="0.2">
      <c r="A124" s="5">
        <v>63</v>
      </c>
      <c r="B124" s="138">
        <f>'Assets-Liab 5-6'!D41</f>
        <v>15492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63967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63967</v>
      </c>
      <c r="D170" s="2" t="str">
        <f t="shared" si="1"/>
        <v>Error?</v>
      </c>
    </row>
    <row r="171" spans="1:4" x14ac:dyDescent="0.2">
      <c r="A171" s="5">
        <v>110</v>
      </c>
      <c r="B171" s="138">
        <f>'Assets-Liab 5-6'!F41</f>
        <v>63967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3754467</v>
      </c>
      <c r="D273" s="2" t="str">
        <f t="shared" si="3"/>
        <v>Error?</v>
      </c>
    </row>
    <row r="274" spans="1:4" x14ac:dyDescent="0.2">
      <c r="A274" s="5">
        <v>213</v>
      </c>
      <c r="B274" s="138">
        <f>'Assets-Liab 5-6'!M17</f>
        <v>10288298</v>
      </c>
      <c r="D274" s="2" t="str">
        <f t="shared" si="3"/>
        <v>Error?</v>
      </c>
    </row>
    <row r="275" spans="1:4" x14ac:dyDescent="0.2">
      <c r="A275" s="5">
        <v>214</v>
      </c>
      <c r="B275" s="138">
        <f>'Assets-Liab 5-6'!M18</f>
        <v>201652</v>
      </c>
      <c r="D275" s="2" t="str">
        <f t="shared" si="3"/>
        <v>Error?</v>
      </c>
    </row>
    <row r="276" spans="1:4" x14ac:dyDescent="0.2">
      <c r="A276" s="5">
        <v>215</v>
      </c>
      <c r="B276" s="138">
        <f>'Assets-Liab 5-6'!M19</f>
        <v>348837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14599499</v>
      </c>
      <c r="C279" s="2" t="s">
        <v>594</v>
      </c>
      <c r="D279" s="2" t="str">
        <f t="shared" si="3"/>
        <v>Error?</v>
      </c>
    </row>
    <row r="280" spans="1:4" x14ac:dyDescent="0.2">
      <c r="A280" s="5">
        <v>219</v>
      </c>
      <c r="B280" s="138">
        <f>'Assets-Liab 5-6'!M40</f>
        <v>14599499</v>
      </c>
      <c r="D280" s="2" t="str">
        <f t="shared" si="3"/>
        <v>Error?</v>
      </c>
    </row>
    <row r="281" spans="1:4" x14ac:dyDescent="0.2">
      <c r="A281" s="5">
        <v>220</v>
      </c>
      <c r="B281" s="138">
        <f>'Assets-Liab 5-6'!M41</f>
        <v>14599499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1496918</v>
      </c>
      <c r="D283" s="2" t="str">
        <f t="shared" si="3"/>
        <v>Error?</v>
      </c>
    </row>
    <row r="284" spans="1:4" x14ac:dyDescent="0.2">
      <c r="A284" s="5">
        <v>223</v>
      </c>
      <c r="B284" s="138">
        <f>'Assets-Liab 5-6'!N23</f>
        <v>1496918</v>
      </c>
      <c r="C284" s="2" t="s">
        <v>594</v>
      </c>
      <c r="D284" s="2" t="str">
        <f t="shared" si="3"/>
        <v>Error?</v>
      </c>
    </row>
    <row r="285" spans="1:4" x14ac:dyDescent="0.2">
      <c r="A285" s="5">
        <v>224</v>
      </c>
      <c r="B285" s="138">
        <f>'Assets-Liab 5-6'!N36</f>
        <v>1496918</v>
      </c>
      <c r="D285" s="2" t="str">
        <f t="shared" si="3"/>
        <v>Error?</v>
      </c>
    </row>
    <row r="286" spans="1:4" x14ac:dyDescent="0.2">
      <c r="A286" s="10">
        <v>225</v>
      </c>
      <c r="D286" s="2" t="str">
        <f t="shared" si="3"/>
        <v>OK</v>
      </c>
    </row>
    <row r="287" spans="1:4" x14ac:dyDescent="0.2">
      <c r="A287" s="5">
        <v>226</v>
      </c>
      <c r="B287" s="138">
        <f>'Assets-Liab 5-6'!N37</f>
        <v>1496918</v>
      </c>
      <c r="C287" s="2" t="s">
        <v>594</v>
      </c>
      <c r="D287" s="2" t="str">
        <f t="shared" si="3"/>
        <v>Error?</v>
      </c>
    </row>
    <row r="288" spans="1:4" x14ac:dyDescent="0.2">
      <c r="A288" s="5">
        <v>227</v>
      </c>
      <c r="B288" s="138">
        <f>'Assets-Liab 5-6'!N41</f>
        <v>1496918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7165137</v>
      </c>
      <c r="D705" s="2" t="str">
        <f t="shared" si="10"/>
        <v>Error?</v>
      </c>
    </row>
    <row r="706" spans="1:4" x14ac:dyDescent="0.2">
      <c r="A706" s="5">
        <v>645</v>
      </c>
      <c r="B706" s="138">
        <f>'Expenditures 15-22'!C16</f>
        <v>74560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236254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123469</v>
      </c>
      <c r="D717" s="2" t="str">
        <f t="shared" si="10"/>
        <v>Error?</v>
      </c>
    </row>
    <row r="718" spans="1:4" x14ac:dyDescent="0.2">
      <c r="A718" s="5">
        <v>657</v>
      </c>
      <c r="B718" s="138">
        <f>'Expenditures 15-22'!C14</f>
        <v>442079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10412119</v>
      </c>
      <c r="C720" s="2" t="s">
        <v>594</v>
      </c>
      <c r="D720" s="2" t="str">
        <f t="shared" si="10"/>
        <v>Error?</v>
      </c>
    </row>
    <row r="721" spans="1:4" x14ac:dyDescent="0.2">
      <c r="A721" s="5">
        <v>660</v>
      </c>
      <c r="B721" s="138">
        <f>'Expenditures 15-22'!C36</f>
        <v>240836</v>
      </c>
      <c r="D721" s="2" t="str">
        <f t="shared" si="10"/>
        <v>Error?</v>
      </c>
    </row>
    <row r="722" spans="1:4" x14ac:dyDescent="0.2">
      <c r="A722" s="5">
        <v>661</v>
      </c>
      <c r="B722" s="138">
        <f>'Expenditures 15-22'!C37</f>
        <v>179630</v>
      </c>
      <c r="D722" s="2" t="str">
        <f t="shared" si="10"/>
        <v>Error?</v>
      </c>
    </row>
    <row r="723" spans="1:4" x14ac:dyDescent="0.2">
      <c r="A723" s="5">
        <v>662</v>
      </c>
      <c r="B723" s="138">
        <f>'Expenditures 15-22'!C38</f>
        <v>134416</v>
      </c>
      <c r="D723" s="2" t="str">
        <f t="shared" si="10"/>
        <v>Error?</v>
      </c>
    </row>
    <row r="724" spans="1:4" x14ac:dyDescent="0.2">
      <c r="A724" s="5">
        <v>663</v>
      </c>
      <c r="B724" s="138">
        <f>'Expenditures 15-22'!C39</f>
        <v>136150</v>
      </c>
      <c r="D724" s="2" t="str">
        <f t="shared" si="10"/>
        <v>Error?</v>
      </c>
    </row>
    <row r="725" spans="1:4" x14ac:dyDescent="0.2">
      <c r="A725" s="5">
        <v>664</v>
      </c>
      <c r="B725" s="138">
        <f>'Expenditures 15-22'!C40</f>
        <v>96015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787047</v>
      </c>
      <c r="C727" s="2" t="s">
        <v>594</v>
      </c>
      <c r="D727" s="2" t="str">
        <f t="shared" si="10"/>
        <v>Error?</v>
      </c>
    </row>
    <row r="728" spans="1:4" x14ac:dyDescent="0.2">
      <c r="A728" s="5">
        <v>667</v>
      </c>
      <c r="B728" s="138">
        <f>'Expenditures 15-22'!C44</f>
        <v>11179</v>
      </c>
      <c r="D728" s="2" t="str">
        <f t="shared" si="10"/>
        <v>Error?</v>
      </c>
    </row>
    <row r="729" spans="1:4" x14ac:dyDescent="0.2">
      <c r="A729" s="5">
        <v>668</v>
      </c>
      <c r="B729" s="138">
        <f>'Expenditures 15-22'!C45</f>
        <v>8800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19979</v>
      </c>
      <c r="C731" s="2" t="s">
        <v>594</v>
      </c>
      <c r="D731" s="2" t="str">
        <f t="shared" si="10"/>
        <v>Error?</v>
      </c>
    </row>
    <row r="732" spans="1:4" x14ac:dyDescent="0.2">
      <c r="A732" s="5">
        <v>671</v>
      </c>
      <c r="B732" s="138">
        <f>'Expenditures 15-22'!C49</f>
        <v>27319</v>
      </c>
      <c r="D732" s="2" t="str">
        <f t="shared" si="10"/>
        <v>Error?</v>
      </c>
    </row>
    <row r="733" spans="1:4" x14ac:dyDescent="0.2">
      <c r="A733" s="5">
        <v>672</v>
      </c>
      <c r="B733" s="138">
        <f>'Expenditures 15-22'!C50</f>
        <v>130620</v>
      </c>
      <c r="D733" s="2" t="str">
        <f t="shared" si="10"/>
        <v>Error?</v>
      </c>
    </row>
    <row r="734" spans="1:4" x14ac:dyDescent="0.2">
      <c r="A734" s="5">
        <v>673</v>
      </c>
      <c r="B734" s="138">
        <f>'Expenditures 15-22'!C53</f>
        <v>157939</v>
      </c>
      <c r="C734" s="2" t="s">
        <v>594</v>
      </c>
      <c r="D734" s="2" t="str">
        <f t="shared" si="10"/>
        <v>Error?</v>
      </c>
    </row>
    <row r="735" spans="1:4" x14ac:dyDescent="0.2">
      <c r="A735" s="5">
        <v>674</v>
      </c>
      <c r="B735" s="138">
        <f>'Expenditures 15-22'!C55</f>
        <v>1366554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1366554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130353</v>
      </c>
      <c r="D739" s="2" t="str">
        <f t="shared" si="10"/>
        <v>Error?</v>
      </c>
    </row>
    <row r="740" spans="1:4" x14ac:dyDescent="0.2">
      <c r="A740" s="5">
        <v>679</v>
      </c>
      <c r="B740" s="138">
        <f>'Expenditures 15-22'!C61</f>
        <v>24704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155057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116257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116257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2602833</v>
      </c>
      <c r="C755" s="2" t="s">
        <v>594</v>
      </c>
      <c r="D755" s="2" t="str">
        <f t="shared" si="10"/>
        <v>Error?</v>
      </c>
    </row>
    <row r="756" spans="1:4" x14ac:dyDescent="0.2">
      <c r="A756" s="5">
        <v>695</v>
      </c>
      <c r="B756" s="138">
        <f>'Expenditures 15-22'!C75</f>
        <v>2220</v>
      </c>
      <c r="D756" s="2" t="str">
        <f t="shared" si="10"/>
        <v>Error?</v>
      </c>
    </row>
    <row r="757" spans="1:4" x14ac:dyDescent="0.2">
      <c r="A757" s="5">
        <v>696</v>
      </c>
      <c r="B757" s="138">
        <f>'Expenditures 15-22'!C114</f>
        <v>13017172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3082270</v>
      </c>
      <c r="D763" s="2" t="str">
        <f t="shared" si="10"/>
        <v>Error?</v>
      </c>
    </row>
    <row r="764" spans="1:4" x14ac:dyDescent="0.2">
      <c r="A764" s="5">
        <v>703</v>
      </c>
      <c r="B764" s="138">
        <f>'Expenditures 15-22'!D16</f>
        <v>8601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25239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14169</v>
      </c>
      <c r="D775" s="2" t="str">
        <f t="shared" si="11"/>
        <v>Error?</v>
      </c>
    </row>
    <row r="776" spans="1:4" x14ac:dyDescent="0.2">
      <c r="A776" s="5">
        <v>715</v>
      </c>
      <c r="B776" s="138">
        <f>'Expenditures 15-22'!D14</f>
        <v>33715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3344033</v>
      </c>
      <c r="C778" s="2" t="s">
        <v>594</v>
      </c>
      <c r="D778" s="2" t="str">
        <f t="shared" si="11"/>
        <v>Error?</v>
      </c>
    </row>
    <row r="779" spans="1:4" x14ac:dyDescent="0.2">
      <c r="A779" s="5">
        <v>718</v>
      </c>
      <c r="B779" s="138">
        <f>'Expenditures 15-22'!D36</f>
        <v>27839</v>
      </c>
      <c r="D779" s="2" t="str">
        <f t="shared" si="11"/>
        <v>Error?</v>
      </c>
    </row>
    <row r="780" spans="1:4" x14ac:dyDescent="0.2">
      <c r="A780" s="5">
        <v>719</v>
      </c>
      <c r="B780" s="138">
        <f>'Expenditures 15-22'!D37</f>
        <v>20426</v>
      </c>
      <c r="D780" s="2" t="str">
        <f t="shared" si="11"/>
        <v>Error?</v>
      </c>
    </row>
    <row r="781" spans="1:4" x14ac:dyDescent="0.2">
      <c r="A781" s="5">
        <v>720</v>
      </c>
      <c r="B781" s="138">
        <f>'Expenditures 15-22'!D38</f>
        <v>6684</v>
      </c>
      <c r="D781" s="2" t="str">
        <f t="shared" si="11"/>
        <v>Error?</v>
      </c>
    </row>
    <row r="782" spans="1:4" x14ac:dyDescent="0.2">
      <c r="A782" s="5">
        <v>721</v>
      </c>
      <c r="B782" s="138">
        <f>'Expenditures 15-22'!D39</f>
        <v>17555</v>
      </c>
      <c r="D782" s="2" t="str">
        <f t="shared" si="11"/>
        <v>Error?</v>
      </c>
    </row>
    <row r="783" spans="1:4" x14ac:dyDescent="0.2">
      <c r="A783" s="5">
        <v>722</v>
      </c>
      <c r="B783" s="138">
        <f>'Expenditures 15-22'!D40</f>
        <v>11075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83579</v>
      </c>
      <c r="C785" s="2" t="s">
        <v>594</v>
      </c>
      <c r="D785" s="2" t="str">
        <f t="shared" si="11"/>
        <v>Error?</v>
      </c>
    </row>
    <row r="786" spans="1:4" x14ac:dyDescent="0.2">
      <c r="A786" s="5">
        <v>725</v>
      </c>
      <c r="B786" s="138">
        <f>'Expenditures 15-22'!D44</f>
        <v>3194</v>
      </c>
      <c r="D786" s="2" t="str">
        <f t="shared" si="11"/>
        <v>Error?</v>
      </c>
    </row>
    <row r="787" spans="1:4" x14ac:dyDescent="0.2">
      <c r="A787" s="5">
        <v>726</v>
      </c>
      <c r="B787" s="138">
        <f>'Expenditures 15-22'!D45</f>
        <v>1024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4218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16736</v>
      </c>
      <c r="D791" s="2" t="str">
        <f t="shared" si="11"/>
        <v>Error?</v>
      </c>
    </row>
    <row r="792" spans="1:4" x14ac:dyDescent="0.2">
      <c r="A792" s="5">
        <v>731</v>
      </c>
      <c r="B792" s="138">
        <f>'Expenditures 15-22'!D53</f>
        <v>16736</v>
      </c>
      <c r="C792" s="2" t="s">
        <v>594</v>
      </c>
      <c r="D792" s="2" t="str">
        <f t="shared" si="11"/>
        <v>Error?</v>
      </c>
    </row>
    <row r="793" spans="1:4" x14ac:dyDescent="0.2">
      <c r="A793" s="5">
        <v>732</v>
      </c>
      <c r="B793" s="138">
        <f>'Expenditures 15-22'!D55</f>
        <v>116633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116633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4869</v>
      </c>
      <c r="D797" s="2" t="str">
        <f t="shared" si="11"/>
        <v>Error?</v>
      </c>
    </row>
    <row r="798" spans="1:4" x14ac:dyDescent="0.2">
      <c r="A798" s="5">
        <v>737</v>
      </c>
      <c r="B798" s="138">
        <f>'Expenditures 15-22'!D61</f>
        <v>2434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7303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228469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3572502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144758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71576</v>
      </c>
      <c r="D833" s="2" t="str">
        <f t="shared" si="12"/>
        <v>Error?</v>
      </c>
    </row>
    <row r="834" spans="1:4" x14ac:dyDescent="0.2">
      <c r="A834" s="5">
        <v>773</v>
      </c>
      <c r="B834" s="138">
        <f>'Expenditures 15-22'!E14</f>
        <v>116203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560475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31240</v>
      </c>
      <c r="D839" s="2" t="str">
        <f t="shared" si="12"/>
        <v>Error?</v>
      </c>
    </row>
    <row r="840" spans="1:4" x14ac:dyDescent="0.2">
      <c r="A840" s="5">
        <v>779</v>
      </c>
      <c r="B840" s="138">
        <f>'Expenditures 15-22'!E39</f>
        <v>2616</v>
      </c>
      <c r="D840" s="2" t="str">
        <f t="shared" si="12"/>
        <v>Error?</v>
      </c>
    </row>
    <row r="841" spans="1:4" x14ac:dyDescent="0.2">
      <c r="A841" s="5">
        <v>780</v>
      </c>
      <c r="B841" s="138">
        <f>'Expenditures 15-22'!E40</f>
        <v>25718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59574</v>
      </c>
      <c r="C843" s="2" t="s">
        <v>594</v>
      </c>
      <c r="D843" s="2" t="str">
        <f t="shared" si="12"/>
        <v>Error?</v>
      </c>
    </row>
    <row r="844" spans="1:4" x14ac:dyDescent="0.2">
      <c r="A844" s="5">
        <v>783</v>
      </c>
      <c r="B844" s="138">
        <f>'Expenditures 15-22'!E44</f>
        <v>50672</v>
      </c>
      <c r="D844" s="2" t="str">
        <f t="shared" si="12"/>
        <v>Error?</v>
      </c>
    </row>
    <row r="845" spans="1:4" x14ac:dyDescent="0.2">
      <c r="A845" s="5">
        <v>784</v>
      </c>
      <c r="B845" s="138">
        <f>'Expenditures 15-22'!E45</f>
        <v>8829</v>
      </c>
      <c r="D845" s="2" t="str">
        <f t="shared" si="12"/>
        <v>Error?</v>
      </c>
    </row>
    <row r="846" spans="1:4" x14ac:dyDescent="0.2">
      <c r="A846" s="5">
        <v>785</v>
      </c>
      <c r="B846" s="138">
        <f>'Expenditures 15-22'!E46</f>
        <v>40145</v>
      </c>
      <c r="D846" s="2" t="str">
        <f t="shared" si="12"/>
        <v>Error?</v>
      </c>
    </row>
    <row r="847" spans="1:4" x14ac:dyDescent="0.2">
      <c r="A847" s="5">
        <v>786</v>
      </c>
      <c r="B847" s="138">
        <f>'Expenditures 15-22'!E47</f>
        <v>99646</v>
      </c>
      <c r="C847" s="2" t="s">
        <v>594</v>
      </c>
      <c r="D847" s="2" t="str">
        <f t="shared" si="12"/>
        <v>Error?</v>
      </c>
    </row>
    <row r="848" spans="1:4" x14ac:dyDescent="0.2">
      <c r="A848" s="5">
        <v>787</v>
      </c>
      <c r="B848" s="138">
        <f>'Expenditures 15-22'!E49</f>
        <v>74384</v>
      </c>
      <c r="D848" s="2" t="str">
        <f t="shared" si="12"/>
        <v>Error?</v>
      </c>
    </row>
    <row r="849" spans="1:4" x14ac:dyDescent="0.2">
      <c r="A849" s="5">
        <v>788</v>
      </c>
      <c r="B849" s="138">
        <f>'Expenditures 15-22'!E50</f>
        <v>57298</v>
      </c>
      <c r="D849" s="2" t="str">
        <f t="shared" si="12"/>
        <v>Error?</v>
      </c>
    </row>
    <row r="850" spans="1:4" x14ac:dyDescent="0.2">
      <c r="A850" s="5">
        <v>789</v>
      </c>
      <c r="B850" s="138">
        <f>'Expenditures 15-22'!E53</f>
        <v>131682</v>
      </c>
      <c r="C850" s="2" t="s">
        <v>594</v>
      </c>
      <c r="D850" s="2" t="str">
        <f t="shared" si="12"/>
        <v>Error?</v>
      </c>
    </row>
    <row r="851" spans="1:4" x14ac:dyDescent="0.2">
      <c r="A851" s="5">
        <v>790</v>
      </c>
      <c r="B851" s="138">
        <f>'Expenditures 15-22'!E55</f>
        <v>2698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2698</v>
      </c>
      <c r="C853" s="2" t="s">
        <v>594</v>
      </c>
      <c r="D853" s="2" t="str">
        <f t="shared" si="12"/>
        <v>Error?</v>
      </c>
    </row>
    <row r="854" spans="1:4" x14ac:dyDescent="0.2">
      <c r="A854" s="5">
        <v>793</v>
      </c>
      <c r="B854" s="138">
        <f>'Expenditures 15-22'!E59</f>
        <v>1364</v>
      </c>
      <c r="D854" s="2" t="str">
        <f t="shared" si="12"/>
        <v>Error?</v>
      </c>
    </row>
    <row r="855" spans="1:4" x14ac:dyDescent="0.2">
      <c r="A855" s="5">
        <v>794</v>
      </c>
      <c r="B855" s="138">
        <f>'Expenditures 15-22'!E60</f>
        <v>31522</v>
      </c>
      <c r="D855" s="2" t="str">
        <f t="shared" si="12"/>
        <v>Error?</v>
      </c>
    </row>
    <row r="856" spans="1:4" x14ac:dyDescent="0.2">
      <c r="A856" s="5">
        <v>795</v>
      </c>
      <c r="B856" s="138">
        <f>'Expenditures 15-22'!E61</f>
        <v>106676</v>
      </c>
      <c r="D856" s="2" t="str">
        <f t="shared" si="12"/>
        <v>Error?</v>
      </c>
    </row>
    <row r="857" spans="1:4" x14ac:dyDescent="0.2">
      <c r="A857" s="5">
        <v>796</v>
      </c>
      <c r="B857" s="138">
        <f>'Expenditures 15-22'!E62</f>
        <v>3927</v>
      </c>
      <c r="D857" s="2" t="str">
        <f t="shared" si="12"/>
        <v>Error?</v>
      </c>
    </row>
    <row r="858" spans="1:4" x14ac:dyDescent="0.2">
      <c r="A858" s="5">
        <v>797</v>
      </c>
      <c r="B858" s="138">
        <f>'Expenditures 15-22'!E63</f>
        <v>533704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677193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3396</v>
      </c>
      <c r="D864" s="2" t="str">
        <f t="shared" si="12"/>
        <v>Error?</v>
      </c>
    </row>
    <row r="865" spans="1:4" x14ac:dyDescent="0.2">
      <c r="A865" s="5">
        <v>804</v>
      </c>
      <c r="B865" s="138">
        <f>'Expenditures 15-22'!E70</f>
        <v>2183</v>
      </c>
      <c r="D865" s="2" t="str">
        <f t="shared" si="12"/>
        <v>Error?</v>
      </c>
    </row>
    <row r="866" spans="1:4" x14ac:dyDescent="0.2">
      <c r="A866" s="10">
        <v>805</v>
      </c>
      <c r="D866" s="2" t="str">
        <f t="shared" si="12"/>
        <v>OK</v>
      </c>
    </row>
    <row r="867" spans="1:4" x14ac:dyDescent="0.2">
      <c r="A867" s="5">
        <v>806</v>
      </c>
      <c r="B867" s="138">
        <f>'Expenditures 15-22'!E71</f>
        <v>52053</v>
      </c>
      <c r="D867" s="2" t="str">
        <f t="shared" si="12"/>
        <v>Error?</v>
      </c>
    </row>
    <row r="868" spans="1:4" x14ac:dyDescent="0.2">
      <c r="A868" s="10">
        <v>807</v>
      </c>
      <c r="D868" s="2" t="str">
        <f t="shared" si="12"/>
        <v>OK</v>
      </c>
    </row>
    <row r="869" spans="1:4" x14ac:dyDescent="0.2">
      <c r="A869" s="5">
        <v>808</v>
      </c>
      <c r="B869" s="138">
        <f>'Expenditures 15-22'!E72</f>
        <v>57632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1028425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1588900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320222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48846</v>
      </c>
      <c r="D891" s="2" t="str">
        <f t="shared" si="12"/>
        <v>Error?</v>
      </c>
    </row>
    <row r="892" spans="1:4" x14ac:dyDescent="0.2">
      <c r="A892" s="5">
        <v>831</v>
      </c>
      <c r="B892" s="138">
        <f>'Expenditures 15-22'!F14</f>
        <v>87289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465265</v>
      </c>
      <c r="C894" s="2" t="s">
        <v>594</v>
      </c>
      <c r="D894" s="2" t="str">
        <f t="shared" si="12"/>
        <v>Error?</v>
      </c>
    </row>
    <row r="895" spans="1:4" x14ac:dyDescent="0.2">
      <c r="A895" s="5">
        <v>834</v>
      </c>
      <c r="B895" s="138">
        <f>'Expenditures 15-22'!F36</f>
        <v>132</v>
      </c>
      <c r="D895" s="2" t="str">
        <f t="shared" ref="D895:D958" si="13">IF(ISBLANK(B895),"OK",IF(A895-B895=0,"OK","Error?"))</f>
        <v>Error?</v>
      </c>
    </row>
    <row r="896" spans="1:4" x14ac:dyDescent="0.2">
      <c r="A896" s="5">
        <v>835</v>
      </c>
      <c r="B896" s="138">
        <f>'Expenditures 15-22'!F37</f>
        <v>1417</v>
      </c>
      <c r="D896" s="2" t="str">
        <f t="shared" si="13"/>
        <v>Error?</v>
      </c>
    </row>
    <row r="897" spans="1:4" x14ac:dyDescent="0.2">
      <c r="A897" s="5">
        <v>836</v>
      </c>
      <c r="B897" s="138">
        <f>'Expenditures 15-22'!F38</f>
        <v>9665</v>
      </c>
      <c r="D897" s="2" t="str">
        <f t="shared" si="13"/>
        <v>Error?</v>
      </c>
    </row>
    <row r="898" spans="1:4" x14ac:dyDescent="0.2">
      <c r="A898" s="5">
        <v>837</v>
      </c>
      <c r="B898" s="138">
        <f>'Expenditures 15-22'!F39</f>
        <v>339</v>
      </c>
      <c r="D898" s="2" t="str">
        <f t="shared" si="13"/>
        <v>Error?</v>
      </c>
    </row>
    <row r="899" spans="1:4" x14ac:dyDescent="0.2">
      <c r="A899" s="5">
        <v>838</v>
      </c>
      <c r="B899" s="138">
        <f>'Expenditures 15-22'!F40</f>
        <v>3806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15359</v>
      </c>
      <c r="C901" s="2" t="s">
        <v>594</v>
      </c>
      <c r="D901" s="2" t="str">
        <f t="shared" si="13"/>
        <v>Error?</v>
      </c>
    </row>
    <row r="902" spans="1:4" x14ac:dyDescent="0.2">
      <c r="A902" s="5">
        <v>841</v>
      </c>
      <c r="B902" s="138">
        <f>'Expenditures 15-22'!F44</f>
        <v>1096</v>
      </c>
      <c r="D902" s="2" t="str">
        <f t="shared" si="13"/>
        <v>Error?</v>
      </c>
    </row>
    <row r="903" spans="1:4" x14ac:dyDescent="0.2">
      <c r="A903" s="5">
        <v>842</v>
      </c>
      <c r="B903" s="138">
        <f>'Expenditures 15-22'!F45</f>
        <v>22937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24033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7841</v>
      </c>
      <c r="D907" s="2" t="str">
        <f t="shared" si="13"/>
        <v>Error?</v>
      </c>
    </row>
    <row r="908" spans="1:4" x14ac:dyDescent="0.2">
      <c r="A908" s="5">
        <v>847</v>
      </c>
      <c r="B908" s="138">
        <f>'Expenditures 15-22'!F53</f>
        <v>7841</v>
      </c>
      <c r="C908" s="2" t="s">
        <v>594</v>
      </c>
      <c r="D908" s="2" t="str">
        <f t="shared" si="13"/>
        <v>Error?</v>
      </c>
    </row>
    <row r="909" spans="1:4" x14ac:dyDescent="0.2">
      <c r="A909" s="5">
        <v>848</v>
      </c>
      <c r="B909" s="138">
        <f>'Expenditures 15-22'!F55</f>
        <v>16042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16042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3446</v>
      </c>
      <c r="D913" s="2" t="str">
        <f t="shared" si="13"/>
        <v>Error?</v>
      </c>
    </row>
    <row r="914" spans="1:4" x14ac:dyDescent="0.2">
      <c r="A914" s="5">
        <v>853</v>
      </c>
      <c r="B914" s="138">
        <f>'Expenditures 15-22'!F61</f>
        <v>9966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18379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81654</v>
      </c>
      <c r="C929" s="2" t="s">
        <v>594</v>
      </c>
      <c r="D929" s="2" t="str">
        <f t="shared" si="13"/>
        <v>Error?</v>
      </c>
    </row>
    <row r="930" spans="1:4" x14ac:dyDescent="0.2">
      <c r="A930" s="5">
        <v>869</v>
      </c>
      <c r="B930" s="138">
        <f>'Expenditures 15-22'!F75</f>
        <v>143</v>
      </c>
      <c r="D930" s="2" t="str">
        <f t="shared" si="13"/>
        <v>Error?</v>
      </c>
    </row>
    <row r="931" spans="1:4" x14ac:dyDescent="0.2">
      <c r="A931" s="5">
        <v>870</v>
      </c>
      <c r="B931" s="138">
        <f>'Expenditures 15-22'!F114</f>
        <v>547062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35488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35488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26115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26115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26115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61603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22581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1166999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10846</v>
      </c>
      <c r="D1022" s="2" t="str">
        <f t="shared" si="14"/>
        <v>Error?</v>
      </c>
    </row>
    <row r="1023" spans="1:4" x14ac:dyDescent="0.2">
      <c r="A1023" s="5">
        <v>962</v>
      </c>
      <c r="B1023" s="138">
        <f>'Expenditures 15-22'!H50</f>
        <v>167</v>
      </c>
      <c r="D1023" s="2" t="str">
        <f t="shared" ref="D1023:D1086" si="15">IF(ISBLANK(B1023),"OK",IF(A1023-B1023=0,"OK","Error?"))</f>
        <v>Error?</v>
      </c>
    </row>
    <row r="1024" spans="1:4" x14ac:dyDescent="0.2">
      <c r="A1024" s="5">
        <v>963</v>
      </c>
      <c r="B1024" s="138">
        <f>'Expenditures 15-22'!H53</f>
        <v>11013</v>
      </c>
      <c r="C1024" s="2" t="s">
        <v>594</v>
      </c>
      <c r="D1024" s="2" t="str">
        <f t="shared" si="15"/>
        <v>Error?</v>
      </c>
    </row>
    <row r="1025" spans="1:4" x14ac:dyDescent="0.2">
      <c r="A1025" s="5">
        <v>964</v>
      </c>
      <c r="B1025" s="138">
        <f>'Expenditures 15-22'!H55</f>
        <v>6300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6300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2625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2625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19938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493997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56782</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56782</v>
      </c>
      <c r="C1053" s="2" t="s">
        <v>594</v>
      </c>
      <c r="D1053" s="2" t="str">
        <f t="shared" si="15"/>
        <v>Error?</v>
      </c>
    </row>
    <row r="1054" spans="1:4" x14ac:dyDescent="0.2">
      <c r="A1054" s="5">
        <v>993</v>
      </c>
      <c r="B1054" s="138">
        <f>'Expenditures 15-22'!H114</f>
        <v>1737716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10770456</v>
      </c>
      <c r="C1093" s="2" t="s">
        <v>594</v>
      </c>
      <c r="D1093" s="2" t="str">
        <f t="shared" si="16"/>
        <v>Error?</v>
      </c>
    </row>
    <row r="1094" spans="1:4" x14ac:dyDescent="0.2">
      <c r="A1094" s="5">
        <v>1033</v>
      </c>
      <c r="B1094" s="138">
        <f>'Expenditures 15-22'!K16</f>
        <v>83161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261493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258060</v>
      </c>
      <c r="C1105" s="2" t="s">
        <v>594</v>
      </c>
      <c r="D1105" s="2" t="str">
        <f t="shared" si="16"/>
        <v>Error?</v>
      </c>
    </row>
    <row r="1106" spans="1:4" x14ac:dyDescent="0.2">
      <c r="A1106" s="5">
        <v>1045</v>
      </c>
      <c r="B1106" s="138">
        <f>'Expenditures 15-22'!K14</f>
        <v>682171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15984379</v>
      </c>
      <c r="C1108" s="2" t="s">
        <v>594</v>
      </c>
      <c r="D1108" s="2" t="str">
        <f t="shared" si="16"/>
        <v>Error?</v>
      </c>
    </row>
    <row r="1109" spans="1:4" x14ac:dyDescent="0.2">
      <c r="A1109" s="5">
        <v>1048</v>
      </c>
      <c r="B1109" s="138">
        <f>'Expenditures 15-22'!K36</f>
        <v>268807</v>
      </c>
      <c r="C1109" s="2" t="s">
        <v>594</v>
      </c>
      <c r="D1109" s="2" t="str">
        <f t="shared" si="16"/>
        <v>Error?</v>
      </c>
    </row>
    <row r="1110" spans="1:4" x14ac:dyDescent="0.2">
      <c r="A1110" s="5">
        <v>1049</v>
      </c>
      <c r="B1110" s="138">
        <f>'Expenditures 15-22'!K37</f>
        <v>201473</v>
      </c>
      <c r="C1110" s="2" t="s">
        <v>594</v>
      </c>
      <c r="D1110" s="2" t="str">
        <f t="shared" si="16"/>
        <v>Error?</v>
      </c>
    </row>
    <row r="1111" spans="1:4" x14ac:dyDescent="0.2">
      <c r="A1111" s="5">
        <v>1050</v>
      </c>
      <c r="B1111" s="138">
        <f>'Expenditures 15-22'!K38</f>
        <v>182005</v>
      </c>
      <c r="C1111" s="2" t="s">
        <v>594</v>
      </c>
      <c r="D1111" s="2" t="str">
        <f t="shared" si="16"/>
        <v>Error?</v>
      </c>
    </row>
    <row r="1112" spans="1:4" x14ac:dyDescent="0.2">
      <c r="A1112" s="5">
        <v>1051</v>
      </c>
      <c r="B1112" s="138">
        <f>'Expenditures 15-22'!K39</f>
        <v>156660</v>
      </c>
      <c r="C1112" s="2" t="s">
        <v>594</v>
      </c>
      <c r="D1112" s="2" t="str">
        <f t="shared" si="16"/>
        <v>Error?</v>
      </c>
    </row>
    <row r="1113" spans="1:4" x14ac:dyDescent="0.2">
      <c r="A1113" s="5">
        <v>1052</v>
      </c>
      <c r="B1113" s="138">
        <f>'Expenditures 15-22'!K40</f>
        <v>136614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945559</v>
      </c>
      <c r="C1115" s="2" t="s">
        <v>594</v>
      </c>
      <c r="D1115" s="2" t="str">
        <f t="shared" si="16"/>
        <v>Error?</v>
      </c>
    </row>
    <row r="1116" spans="1:4" x14ac:dyDescent="0.2">
      <c r="A1116" s="5">
        <v>1055</v>
      </c>
      <c r="B1116" s="138">
        <f>'Expenditures 15-22'!K44</f>
        <v>66141</v>
      </c>
      <c r="C1116" s="2" t="s">
        <v>594</v>
      </c>
      <c r="D1116" s="2" t="str">
        <f t="shared" si="16"/>
        <v>Error?</v>
      </c>
    </row>
    <row r="1117" spans="1:4" x14ac:dyDescent="0.2">
      <c r="A1117" s="5">
        <v>1056</v>
      </c>
      <c r="B1117" s="138">
        <f>'Expenditures 15-22'!K45</f>
        <v>41590</v>
      </c>
      <c r="C1117" s="2" t="s">
        <v>594</v>
      </c>
      <c r="D1117" s="2" t="str">
        <f t="shared" si="16"/>
        <v>Error?</v>
      </c>
    </row>
    <row r="1118" spans="1:4" x14ac:dyDescent="0.2">
      <c r="A1118" s="5">
        <v>1057</v>
      </c>
      <c r="B1118" s="138">
        <f>'Expenditures 15-22'!K46</f>
        <v>40145</v>
      </c>
      <c r="C1118" s="2" t="s">
        <v>594</v>
      </c>
      <c r="D1118" s="2" t="str">
        <f t="shared" si="16"/>
        <v>Error?</v>
      </c>
    </row>
    <row r="1119" spans="1:4" x14ac:dyDescent="0.2">
      <c r="A1119" s="5">
        <v>1058</v>
      </c>
      <c r="B1119" s="138">
        <f>'Expenditures 15-22'!K47</f>
        <v>147876</v>
      </c>
      <c r="C1119" s="2" t="s">
        <v>594</v>
      </c>
      <c r="D1119" s="2" t="str">
        <f t="shared" si="16"/>
        <v>Error?</v>
      </c>
    </row>
    <row r="1120" spans="1:4" x14ac:dyDescent="0.2">
      <c r="A1120" s="5">
        <v>1059</v>
      </c>
      <c r="B1120" s="138">
        <f>'Expenditures 15-22'!K49</f>
        <v>112549</v>
      </c>
      <c r="C1120" s="2" t="s">
        <v>594</v>
      </c>
      <c r="D1120" s="2" t="str">
        <f t="shared" si="16"/>
        <v>Error?</v>
      </c>
    </row>
    <row r="1121" spans="1:4" x14ac:dyDescent="0.2">
      <c r="A1121" s="5">
        <v>1060</v>
      </c>
      <c r="B1121" s="138">
        <f>'Expenditures 15-22'!K50</f>
        <v>212662</v>
      </c>
      <c r="C1121" s="2" t="s">
        <v>594</v>
      </c>
      <c r="D1121" s="2" t="str">
        <f t="shared" si="16"/>
        <v>Error?</v>
      </c>
    </row>
    <row r="1122" spans="1:4" x14ac:dyDescent="0.2">
      <c r="A1122" s="5">
        <v>1061</v>
      </c>
      <c r="B1122" s="138">
        <f>'Expenditures 15-22'!K53</f>
        <v>325211</v>
      </c>
      <c r="C1122" s="2" t="s">
        <v>594</v>
      </c>
      <c r="D1122" s="2" t="str">
        <f t="shared" si="16"/>
        <v>Error?</v>
      </c>
    </row>
    <row r="1123" spans="1:4" x14ac:dyDescent="0.2">
      <c r="A1123" s="5">
        <v>1062</v>
      </c>
      <c r="B1123" s="138">
        <f>'Expenditures 15-22'!K55</f>
        <v>1508227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1508227</v>
      </c>
      <c r="C1125" s="2" t="s">
        <v>594</v>
      </c>
      <c r="D1125" s="2" t="str">
        <f t="shared" si="16"/>
        <v>Error?</v>
      </c>
    </row>
    <row r="1126" spans="1:4" x14ac:dyDescent="0.2">
      <c r="A1126" s="5">
        <v>1065</v>
      </c>
      <c r="B1126" s="138">
        <f>'Expenditures 15-22'!K59</f>
        <v>1364</v>
      </c>
      <c r="C1126" s="2" t="s">
        <v>594</v>
      </c>
      <c r="D1126" s="2" t="str">
        <f t="shared" si="16"/>
        <v>Error?</v>
      </c>
    </row>
    <row r="1127" spans="1:4" x14ac:dyDescent="0.2">
      <c r="A1127" s="5">
        <v>1066</v>
      </c>
      <c r="B1127" s="138">
        <f>'Expenditures 15-22'!K60</f>
        <v>172815</v>
      </c>
      <c r="C1127" s="2" t="s">
        <v>594</v>
      </c>
      <c r="D1127" s="2" t="str">
        <f t="shared" si="16"/>
        <v>Error?</v>
      </c>
    </row>
    <row r="1128" spans="1:4" x14ac:dyDescent="0.2">
      <c r="A1128" s="5">
        <v>1067</v>
      </c>
      <c r="B1128" s="138">
        <f>'Expenditures 15-22'!K61</f>
        <v>169895</v>
      </c>
      <c r="C1128" s="2" t="s">
        <v>594</v>
      </c>
      <c r="D1128" s="2" t="str">
        <f t="shared" si="16"/>
        <v>Error?</v>
      </c>
    </row>
    <row r="1129" spans="1:4" x14ac:dyDescent="0.2">
      <c r="A1129" s="5">
        <v>1068</v>
      </c>
      <c r="B1129" s="138">
        <f>'Expenditures 15-22'!K62</f>
        <v>3927</v>
      </c>
      <c r="C1129" s="2" t="s">
        <v>594</v>
      </c>
      <c r="D1129" s="2" t="str">
        <f t="shared" si="16"/>
        <v>Error?</v>
      </c>
    </row>
    <row r="1130" spans="1:4" x14ac:dyDescent="0.2">
      <c r="A1130" s="5">
        <v>1069</v>
      </c>
      <c r="B1130" s="138">
        <f>'Expenditures 15-22'!K63</f>
        <v>538671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886672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119653</v>
      </c>
      <c r="C1136" s="2" t="s">
        <v>594</v>
      </c>
      <c r="D1136" s="2" t="str">
        <f t="shared" si="16"/>
        <v>Error?</v>
      </c>
    </row>
    <row r="1137" spans="1:4" x14ac:dyDescent="0.2">
      <c r="A1137" s="5">
        <v>1076</v>
      </c>
      <c r="B1137" s="138">
        <f>'Expenditures 15-22'!K70</f>
        <v>2183</v>
      </c>
      <c r="C1137" s="2" t="s">
        <v>594</v>
      </c>
      <c r="D1137" s="2" t="str">
        <f t="shared" si="16"/>
        <v>Error?</v>
      </c>
    </row>
    <row r="1138" spans="1:4" x14ac:dyDescent="0.2">
      <c r="A1138" s="10">
        <v>1077</v>
      </c>
      <c r="D1138" s="2" t="str">
        <f t="shared" si="16"/>
        <v>OK</v>
      </c>
    </row>
    <row r="1139" spans="1:4" x14ac:dyDescent="0.2">
      <c r="A1139" s="5">
        <v>1078</v>
      </c>
      <c r="B1139" s="138">
        <f>'Expenditures 15-22'!K71</f>
        <v>52053</v>
      </c>
      <c r="C1139" s="2" t="s">
        <v>594</v>
      </c>
      <c r="D1139" s="2" t="str">
        <f t="shared" si="16"/>
        <v>Error?</v>
      </c>
    </row>
    <row r="1140" spans="1:4" x14ac:dyDescent="0.2">
      <c r="A1140" s="10">
        <v>1079</v>
      </c>
      <c r="D1140" s="2" t="str">
        <f t="shared" si="16"/>
        <v>OK</v>
      </c>
    </row>
    <row r="1141" spans="1:4" x14ac:dyDescent="0.2">
      <c r="A1141" s="5">
        <v>1080</v>
      </c>
      <c r="B1141" s="138">
        <f>'Expenditures 15-22'!K72</f>
        <v>173889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3987434</v>
      </c>
      <c r="C1143" s="2" t="s">
        <v>594</v>
      </c>
      <c r="D1143" s="2" t="str">
        <f t="shared" si="16"/>
        <v>Error?</v>
      </c>
    </row>
    <row r="1144" spans="1:4" x14ac:dyDescent="0.2">
      <c r="A1144" s="5">
        <v>1083</v>
      </c>
      <c r="B1144" s="138">
        <f>'Expenditures 15-22'!K75</f>
        <v>2363</v>
      </c>
      <c r="C1144" s="2" t="s">
        <v>594</v>
      </c>
      <c r="D1144" s="2" t="str">
        <f t="shared" si="16"/>
        <v>Error?</v>
      </c>
    </row>
    <row r="1145" spans="1:4" x14ac:dyDescent="0.2">
      <c r="A1145" s="5">
        <v>1084</v>
      </c>
      <c r="B1145" s="138">
        <f>'Expenditures 15-22'!K102</f>
        <v>493997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56782</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56782</v>
      </c>
      <c r="C1151" s="2" t="s">
        <v>594</v>
      </c>
      <c r="D1151" s="2" t="str">
        <f t="shared" ref="D1151:D1214" si="17">IF(ISBLANK(B1151),"OK",IF(A1151-B1151=0,"OK","Error?"))</f>
        <v>Error?</v>
      </c>
    </row>
    <row r="1152" spans="1:4" x14ac:dyDescent="0.2">
      <c r="A1152" s="5">
        <v>1091</v>
      </c>
      <c r="B1152" s="138">
        <f>'Expenditures 15-22'!K114</f>
        <v>20524955</v>
      </c>
      <c r="C1152" s="2" t="s">
        <v>594</v>
      </c>
      <c r="D1152" s="2" t="str">
        <f t="shared" si="17"/>
        <v>Error?</v>
      </c>
    </row>
    <row r="1153" spans="1:4" x14ac:dyDescent="0.2">
      <c r="A1153" s="5">
        <v>1092</v>
      </c>
      <c r="B1153" s="138">
        <f>'Expenditures 15-22'!K115</f>
        <v>142992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727398</v>
      </c>
      <c r="D1221" s="2" t="str">
        <f t="shared" si="18"/>
        <v>Error?</v>
      </c>
    </row>
    <row r="1222" spans="1:4" x14ac:dyDescent="0.2">
      <c r="A1222" s="10">
        <v>1161</v>
      </c>
      <c r="D1222" s="2" t="str">
        <f t="shared" si="18"/>
        <v>OK</v>
      </c>
    </row>
    <row r="1223" spans="1:4" x14ac:dyDescent="0.2">
      <c r="A1223" s="5">
        <v>1162</v>
      </c>
      <c r="B1223" s="138">
        <f>'Expenditures 15-22'!C127</f>
        <v>727398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727398</v>
      </c>
      <c r="C1225" s="2" t="s">
        <v>594</v>
      </c>
      <c r="D1225" s="2" t="str">
        <f t="shared" si="18"/>
        <v>Error?</v>
      </c>
    </row>
    <row r="1226" spans="1:4" x14ac:dyDescent="0.2">
      <c r="A1226" s="5">
        <v>1165</v>
      </c>
      <c r="B1226" s="138">
        <f>'Expenditures 15-22'!C151</f>
        <v>727398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105000</v>
      </c>
      <c r="D1229" s="2" t="str">
        <f t="shared" si="18"/>
        <v>Error?</v>
      </c>
    </row>
    <row r="1230" spans="1:4" x14ac:dyDescent="0.2">
      <c r="A1230" s="10">
        <v>1169</v>
      </c>
      <c r="D1230" s="2" t="str">
        <f t="shared" si="18"/>
        <v>OK</v>
      </c>
    </row>
    <row r="1231" spans="1:4" x14ac:dyDescent="0.2">
      <c r="A1231" s="5">
        <v>1170</v>
      </c>
      <c r="B1231" s="138">
        <f>'Expenditures 15-22'!D127</f>
        <v>105000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105000</v>
      </c>
      <c r="C1233" s="2" t="s">
        <v>594</v>
      </c>
      <c r="D1233" s="2" t="str">
        <f t="shared" si="18"/>
        <v>Error?</v>
      </c>
    </row>
    <row r="1234" spans="1:4" x14ac:dyDescent="0.2">
      <c r="A1234" s="5">
        <v>1173</v>
      </c>
      <c r="B1234" s="138">
        <f>'Expenditures 15-22'!D151</f>
        <v>105000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448329</v>
      </c>
      <c r="D1237" s="2" t="str">
        <f t="shared" si="18"/>
        <v>Error?</v>
      </c>
    </row>
    <row r="1238" spans="1:4" x14ac:dyDescent="0.2">
      <c r="A1238" s="10">
        <v>1177</v>
      </c>
      <c r="D1238" s="2" t="str">
        <f t="shared" si="18"/>
        <v>OK</v>
      </c>
    </row>
    <row r="1239" spans="1:4" x14ac:dyDescent="0.2">
      <c r="A1239" s="5">
        <v>1178</v>
      </c>
      <c r="B1239" s="138">
        <f>'Expenditures 15-22'!E127</f>
        <v>448329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448329</v>
      </c>
      <c r="C1241" s="2" t="s">
        <v>594</v>
      </c>
      <c r="D1241" s="2" t="str">
        <f t="shared" si="18"/>
        <v>Error?</v>
      </c>
    </row>
    <row r="1242" spans="1:4" x14ac:dyDescent="0.2">
      <c r="A1242" s="5">
        <v>1181</v>
      </c>
      <c r="B1242" s="138">
        <f>'Expenditures 15-22'!E151</f>
        <v>448329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519523</v>
      </c>
      <c r="D1245" s="2" t="str">
        <f t="shared" si="18"/>
        <v>Error?</v>
      </c>
    </row>
    <row r="1246" spans="1:4" x14ac:dyDescent="0.2">
      <c r="A1246" s="10">
        <v>1185</v>
      </c>
      <c r="D1246" s="2" t="str">
        <f t="shared" si="18"/>
        <v>OK</v>
      </c>
    </row>
    <row r="1247" spans="1:4" x14ac:dyDescent="0.2">
      <c r="A1247" s="5">
        <v>1186</v>
      </c>
      <c r="B1247" s="138">
        <f>'Expenditures 15-22'!F127</f>
        <v>519523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519523</v>
      </c>
      <c r="C1249" s="2" t="s">
        <v>594</v>
      </c>
      <c r="D1249" s="2" t="str">
        <f t="shared" si="18"/>
        <v>Error?</v>
      </c>
    </row>
    <row r="1250" spans="1:4" x14ac:dyDescent="0.2">
      <c r="A1250" s="5">
        <v>1189</v>
      </c>
      <c r="B1250" s="138">
        <f>'Expenditures 15-22'!F151</f>
        <v>519523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1000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1000</v>
      </c>
      <c r="C1258" s="2" t="s">
        <v>594</v>
      </c>
      <c r="D1258" s="2" t="str">
        <f t="shared" si="18"/>
        <v>Error?</v>
      </c>
    </row>
    <row r="1259" spans="1:4" x14ac:dyDescent="0.2">
      <c r="A1259" s="5">
        <v>1198</v>
      </c>
      <c r="B1259" s="138">
        <f>'Expenditures 15-22'!G151</f>
        <v>1000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1000</v>
      </c>
      <c r="C1275" s="2" t="s">
        <v>594</v>
      </c>
      <c r="D1275" s="2" t="str">
        <f t="shared" si="18"/>
        <v>Error?</v>
      </c>
    </row>
    <row r="1276" spans="1:4" x14ac:dyDescent="0.2">
      <c r="A1276" s="5">
        <v>1215</v>
      </c>
      <c r="B1276" s="138">
        <f>'Expenditures 15-22'!K124</f>
        <v>1800250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1801250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1801250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1801250</v>
      </c>
      <c r="C1288" s="2" t="s">
        <v>594</v>
      </c>
      <c r="D1288" s="2" t="str">
        <f t="shared" si="19"/>
        <v>Error?</v>
      </c>
    </row>
    <row r="1289" spans="1:4" x14ac:dyDescent="0.2">
      <c r="A1289" s="5">
        <v>1228</v>
      </c>
      <c r="B1289" s="138">
        <f>'Expenditures 15-22'!K152</f>
        <v>-53624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118331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1142791</v>
      </c>
      <c r="D1315" s="2" t="str">
        <f t="shared" si="19"/>
        <v>Error?</v>
      </c>
    </row>
    <row r="1316" spans="1:4" x14ac:dyDescent="0.2">
      <c r="A1316" s="5">
        <v>1255</v>
      </c>
      <c r="B1316" s="138">
        <f>'Expenditures 15-22'!H171</f>
        <v>4600</v>
      </c>
      <c r="D1316" s="2" t="str">
        <f t="shared" si="19"/>
        <v>Error?</v>
      </c>
    </row>
    <row r="1317" spans="1:4" x14ac:dyDescent="0.2">
      <c r="A1317" s="5">
        <v>1256</v>
      </c>
      <c r="B1317" s="138">
        <f>'Expenditures 15-22'!H172</f>
        <v>1265722</v>
      </c>
      <c r="C1317" s="2" t="s">
        <v>594</v>
      </c>
      <c r="D1317" s="2" t="str">
        <f t="shared" si="19"/>
        <v>Error?</v>
      </c>
    </row>
    <row r="1318" spans="1:4" x14ac:dyDescent="0.2">
      <c r="A1318" s="5">
        <v>1257</v>
      </c>
      <c r="B1318" s="138">
        <f>'Expenditures 15-22'!H174</f>
        <v>1265722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118331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1142791</v>
      </c>
      <c r="C1329" s="2" t="s">
        <v>594</v>
      </c>
      <c r="D1329" s="2" t="str">
        <f t="shared" si="19"/>
        <v>Error?</v>
      </c>
    </row>
    <row r="1330" spans="1:4" x14ac:dyDescent="0.2">
      <c r="A1330" s="5">
        <v>1269</v>
      </c>
      <c r="B1330" s="138">
        <f>'Expenditures 15-22'!K171</f>
        <v>4600</v>
      </c>
      <c r="C1330" s="2" t="s">
        <v>594</v>
      </c>
      <c r="D1330" s="2" t="str">
        <f t="shared" si="19"/>
        <v>Error?</v>
      </c>
    </row>
    <row r="1331" spans="1:4" x14ac:dyDescent="0.2">
      <c r="A1331" s="5">
        <v>1270</v>
      </c>
      <c r="B1331" s="138">
        <f>'Expenditures 15-22'!K172</f>
        <v>1265722</v>
      </c>
      <c r="C1331" s="2" t="s">
        <v>594</v>
      </c>
      <c r="D1331" s="2" t="str">
        <f t="shared" si="19"/>
        <v>Error?</v>
      </c>
    </row>
    <row r="1332" spans="1:4" x14ac:dyDescent="0.2">
      <c r="A1332" s="5">
        <v>1271</v>
      </c>
      <c r="B1332" s="138">
        <f>'Expenditures 15-22'!K174</f>
        <v>1265722</v>
      </c>
      <c r="C1332" s="2" t="s">
        <v>594</v>
      </c>
      <c r="D1332" s="2" t="str">
        <f t="shared" si="19"/>
        <v>Error?</v>
      </c>
    </row>
    <row r="1333" spans="1:4" x14ac:dyDescent="0.2">
      <c r="A1333" s="5">
        <v>1272</v>
      </c>
      <c r="B1333" s="138">
        <f>'Expenditures 15-22'!K175</f>
        <v>65573</v>
      </c>
      <c r="C1333" s="2" t="s">
        <v>594</v>
      </c>
      <c r="D1333" s="2" t="str">
        <f t="shared" si="19"/>
        <v>Error?</v>
      </c>
    </row>
    <row r="1334" spans="1:4" x14ac:dyDescent="0.2">
      <c r="A1334" s="10">
        <v>1273</v>
      </c>
      <c r="D1334" s="2" t="str">
        <f t="shared" si="19"/>
        <v>OK</v>
      </c>
    </row>
    <row r="1335" spans="1:4" x14ac:dyDescent="0.2">
      <c r="A1335" s="5">
        <v>1274</v>
      </c>
      <c r="B1335" s="138">
        <f>'Expenditures 15-22'!C182</f>
        <v>627204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627204</v>
      </c>
      <c r="C1339" s="2" t="s">
        <v>594</v>
      </c>
      <c r="D1339" s="2" t="str">
        <f t="shared" si="19"/>
        <v>Error?</v>
      </c>
    </row>
    <row r="1340" spans="1:4" x14ac:dyDescent="0.2">
      <c r="A1340" s="5">
        <v>1279</v>
      </c>
      <c r="B1340" s="138">
        <f>'Expenditures 15-22'!C210</f>
        <v>627204</v>
      </c>
      <c r="C1340" s="2" t="s">
        <v>594</v>
      </c>
      <c r="D1340" s="2" t="str">
        <f t="shared" si="19"/>
        <v>Error?</v>
      </c>
    </row>
    <row r="1341" spans="1:4" x14ac:dyDescent="0.2">
      <c r="A1341" s="5">
        <v>1280</v>
      </c>
      <c r="B1341" s="138">
        <f>'Expenditures 15-22'!D182</f>
        <v>51849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51849</v>
      </c>
      <c r="C1345" s="2" t="s">
        <v>594</v>
      </c>
      <c r="D1345" s="2" t="str">
        <f t="shared" si="20"/>
        <v>Error?</v>
      </c>
    </row>
    <row r="1346" spans="1:4" x14ac:dyDescent="0.2">
      <c r="A1346" s="5">
        <v>1285</v>
      </c>
      <c r="B1346" s="138">
        <f>'Expenditures 15-22'!D210</f>
        <v>51849</v>
      </c>
      <c r="C1346" s="2" t="s">
        <v>594</v>
      </c>
      <c r="D1346" s="2" t="str">
        <f t="shared" si="20"/>
        <v>Error?</v>
      </c>
    </row>
    <row r="1347" spans="1:4" x14ac:dyDescent="0.2">
      <c r="A1347" s="5">
        <v>1286</v>
      </c>
      <c r="B1347" s="138">
        <f>'Expenditures 15-22'!E182</f>
        <v>232895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232895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232895</v>
      </c>
      <c r="C1353" s="2" t="s">
        <v>594</v>
      </c>
      <c r="D1353" s="2" t="str">
        <f t="shared" si="20"/>
        <v>Error?</v>
      </c>
    </row>
    <row r="1354" spans="1:4" x14ac:dyDescent="0.2">
      <c r="A1354" s="5">
        <v>1293</v>
      </c>
      <c r="B1354" s="138">
        <f>'Expenditures 15-22'!F182</f>
        <v>118831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118831</v>
      </c>
      <c r="C1358" s="2" t="s">
        <v>594</v>
      </c>
      <c r="D1358" s="2" t="str">
        <f t="shared" si="20"/>
        <v>Error?</v>
      </c>
    </row>
    <row r="1359" spans="1:4" x14ac:dyDescent="0.2">
      <c r="A1359" s="5">
        <v>1298</v>
      </c>
      <c r="B1359" s="138">
        <f>'Expenditures 15-22'!F210</f>
        <v>118831</v>
      </c>
      <c r="C1359" s="2" t="s">
        <v>594</v>
      </c>
      <c r="D1359" s="2" t="str">
        <f t="shared" si="20"/>
        <v>Error?</v>
      </c>
    </row>
    <row r="1360" spans="1:4" x14ac:dyDescent="0.2">
      <c r="A1360" s="5">
        <v>1299</v>
      </c>
      <c r="B1360" s="138">
        <f>'Expenditures 15-22'!G182</f>
        <v>6245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6245</v>
      </c>
      <c r="C1364" s="2" t="s">
        <v>594</v>
      </c>
      <c r="D1364" s="2" t="str">
        <f t="shared" si="20"/>
        <v>Error?</v>
      </c>
    </row>
    <row r="1365" spans="1:4" x14ac:dyDescent="0.2">
      <c r="A1365" s="5">
        <v>1304</v>
      </c>
      <c r="B1365" s="138">
        <f>'Expenditures 15-22'!G210</f>
        <v>6245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1037024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1037024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1037024</v>
      </c>
      <c r="C1388" s="2" t="s">
        <v>594</v>
      </c>
      <c r="D1388" s="2" t="str">
        <f t="shared" si="20"/>
        <v>Error?</v>
      </c>
    </row>
    <row r="1389" spans="1:4" x14ac:dyDescent="0.2">
      <c r="A1389" s="5">
        <v>1328</v>
      </c>
      <c r="B1389" s="138">
        <f>'Expenditures 15-22'!K211</f>
        <v>-8482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1080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6303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1788</v>
      </c>
      <c r="D1407" s="2" t="str">
        <f t="shared" ref="D1407:D1470" si="21">IF(ISBLANK(B1407),"OK",IF(A1407-B1407=0,"OK","Error?"))</f>
        <v>Error?</v>
      </c>
    </row>
    <row r="1408" spans="1:4" x14ac:dyDescent="0.2">
      <c r="A1408" s="5">
        <v>1347</v>
      </c>
      <c r="B1408" s="138">
        <f>'Expenditures 15-22'!D223</f>
        <v>22931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317932</v>
      </c>
      <c r="C1410" s="2" t="s">
        <v>594</v>
      </c>
      <c r="D1410" s="2" t="str">
        <f t="shared" si="21"/>
        <v>Error?</v>
      </c>
    </row>
    <row r="1411" spans="1:4" x14ac:dyDescent="0.2">
      <c r="A1411" s="5">
        <v>1350</v>
      </c>
      <c r="B1411" s="138">
        <f>'Expenditures 15-22'!D232</f>
        <v>3488</v>
      </c>
      <c r="D1411" s="2" t="str">
        <f t="shared" si="21"/>
        <v>Error?</v>
      </c>
    </row>
    <row r="1412" spans="1:4" x14ac:dyDescent="0.2">
      <c r="A1412" s="5">
        <v>1351</v>
      </c>
      <c r="B1412" s="138">
        <f>'Expenditures 15-22'!D233</f>
        <v>2586</v>
      </c>
      <c r="D1412" s="2" t="str">
        <f t="shared" si="21"/>
        <v>Error?</v>
      </c>
    </row>
    <row r="1413" spans="1:4" x14ac:dyDescent="0.2">
      <c r="A1413" s="5">
        <v>1352</v>
      </c>
      <c r="B1413" s="138">
        <f>'Expenditures 15-22'!D234</f>
        <v>14999</v>
      </c>
      <c r="D1413" s="2" t="str">
        <f t="shared" si="21"/>
        <v>Error?</v>
      </c>
    </row>
    <row r="1414" spans="1:4" x14ac:dyDescent="0.2">
      <c r="A1414" s="5">
        <v>1353</v>
      </c>
      <c r="B1414" s="138">
        <f>'Expenditures 15-22'!D235</f>
        <v>3322</v>
      </c>
      <c r="D1414" s="2" t="str">
        <f t="shared" si="21"/>
        <v>Error?</v>
      </c>
    </row>
    <row r="1415" spans="1:4" x14ac:dyDescent="0.2">
      <c r="A1415" s="5">
        <v>1354</v>
      </c>
      <c r="B1415" s="138">
        <f>'Expenditures 15-22'!D236</f>
        <v>1383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25778</v>
      </c>
      <c r="C1417" s="2" t="s">
        <v>594</v>
      </c>
      <c r="D1417" s="2" t="str">
        <f t="shared" si="21"/>
        <v>Error?</v>
      </c>
    </row>
    <row r="1418" spans="1:4" x14ac:dyDescent="0.2">
      <c r="A1418" s="5">
        <v>1357</v>
      </c>
      <c r="B1418" s="138">
        <f>'Expenditures 15-22'!D240</f>
        <v>1553</v>
      </c>
      <c r="D1418" s="2" t="str">
        <f t="shared" si="21"/>
        <v>Error?</v>
      </c>
    </row>
    <row r="1419" spans="1:4" x14ac:dyDescent="0.2">
      <c r="A1419" s="5">
        <v>1358</v>
      </c>
      <c r="B1419" s="138">
        <f>'Expenditures 15-22'!D241</f>
        <v>143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1696</v>
      </c>
      <c r="C1421" s="2" t="s">
        <v>594</v>
      </c>
      <c r="D1421" s="2" t="str">
        <f t="shared" si="21"/>
        <v>Error?</v>
      </c>
    </row>
    <row r="1422" spans="1:4" x14ac:dyDescent="0.2">
      <c r="A1422" s="5">
        <v>1361</v>
      </c>
      <c r="B1422" s="138">
        <f>'Expenditures 15-22'!D245</f>
        <v>5127</v>
      </c>
      <c r="D1422" s="2" t="str">
        <f t="shared" si="21"/>
        <v>Error?</v>
      </c>
    </row>
    <row r="1423" spans="1:4" x14ac:dyDescent="0.2">
      <c r="A1423" s="5">
        <v>1362</v>
      </c>
      <c r="B1423" s="138">
        <f>'Expenditures 15-22'!D246</f>
        <v>12564</v>
      </c>
      <c r="D1423" s="2" t="str">
        <f t="shared" si="21"/>
        <v>Error?</v>
      </c>
    </row>
    <row r="1424" spans="1:4" x14ac:dyDescent="0.2">
      <c r="A1424" s="5">
        <v>1363</v>
      </c>
      <c r="B1424" s="138">
        <f>'Expenditures 15-22'!D257</f>
        <v>17691</v>
      </c>
      <c r="C1424" s="2" t="s">
        <v>594</v>
      </c>
      <c r="D1424" s="2" t="str">
        <f t="shared" si="21"/>
        <v>Error?</v>
      </c>
    </row>
    <row r="1425" spans="1:4" x14ac:dyDescent="0.2">
      <c r="A1425" s="5">
        <v>1364</v>
      </c>
      <c r="B1425" s="138">
        <f>'Expenditures 15-22'!D259</f>
        <v>90069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90069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16505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133217</v>
      </c>
      <c r="D1431" s="2" t="str">
        <f t="shared" si="21"/>
        <v>Error?</v>
      </c>
    </row>
    <row r="1432" spans="1:4" x14ac:dyDescent="0.2">
      <c r="A1432" s="5">
        <v>1371</v>
      </c>
      <c r="B1432" s="138">
        <f>'Expenditures 15-22'!D267</f>
        <v>100664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250386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26516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26516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412136</v>
      </c>
      <c r="C1446" s="2" t="s">
        <v>594</v>
      </c>
      <c r="D1446" s="2" t="str">
        <f t="shared" si="21"/>
        <v>Error?</v>
      </c>
    </row>
    <row r="1447" spans="1:4" x14ac:dyDescent="0.2">
      <c r="A1447" s="5">
        <v>1386</v>
      </c>
      <c r="B1447" s="138">
        <f>'Expenditures 15-22'!D280</f>
        <v>170</v>
      </c>
      <c r="D1447" s="2" t="str">
        <f t="shared" si="21"/>
        <v>Error?</v>
      </c>
    </row>
    <row r="1448" spans="1:4" x14ac:dyDescent="0.2">
      <c r="A1448" s="5">
        <v>1387</v>
      </c>
      <c r="B1448" s="138">
        <f>'Expenditures 15-22'!D295</f>
        <v>730238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1080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6303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1788</v>
      </c>
      <c r="C1471" s="2" t="s">
        <v>594</v>
      </c>
      <c r="D1471" s="2" t="str">
        <f t="shared" ref="D1471:D1534" si="22">IF(ISBLANK(B1471),"OK",IF(A1471-B1471=0,"OK","Error?"))</f>
        <v>Error?</v>
      </c>
    </row>
    <row r="1472" spans="1:4" x14ac:dyDescent="0.2">
      <c r="A1472" s="5">
        <v>1411</v>
      </c>
      <c r="B1472" s="138">
        <f>'Expenditures 15-22'!K223</f>
        <v>22931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317932</v>
      </c>
      <c r="C1474" s="2" t="s">
        <v>594</v>
      </c>
      <c r="D1474" s="2" t="str">
        <f t="shared" si="22"/>
        <v>Error?</v>
      </c>
    </row>
    <row r="1475" spans="1:4" x14ac:dyDescent="0.2">
      <c r="A1475" s="5">
        <v>1414</v>
      </c>
      <c r="B1475" s="138">
        <f>'Expenditures 15-22'!K232</f>
        <v>3488</v>
      </c>
      <c r="C1475" s="2" t="s">
        <v>594</v>
      </c>
      <c r="D1475" s="2" t="str">
        <f t="shared" si="22"/>
        <v>Error?</v>
      </c>
    </row>
    <row r="1476" spans="1:4" x14ac:dyDescent="0.2">
      <c r="A1476" s="5">
        <v>1415</v>
      </c>
      <c r="B1476" s="138">
        <f>'Expenditures 15-22'!K233</f>
        <v>2586</v>
      </c>
      <c r="C1476" s="2" t="s">
        <v>594</v>
      </c>
      <c r="D1476" s="2" t="str">
        <f t="shared" si="22"/>
        <v>Error?</v>
      </c>
    </row>
    <row r="1477" spans="1:4" x14ac:dyDescent="0.2">
      <c r="A1477" s="5">
        <v>1416</v>
      </c>
      <c r="B1477" s="138">
        <f>'Expenditures 15-22'!K234</f>
        <v>14999</v>
      </c>
      <c r="C1477" s="2" t="s">
        <v>594</v>
      </c>
      <c r="D1477" s="2" t="str">
        <f t="shared" si="22"/>
        <v>Error?</v>
      </c>
    </row>
    <row r="1478" spans="1:4" x14ac:dyDescent="0.2">
      <c r="A1478" s="5">
        <v>1417</v>
      </c>
      <c r="B1478" s="138">
        <f>'Expenditures 15-22'!K235</f>
        <v>3322</v>
      </c>
      <c r="C1478" s="2" t="s">
        <v>594</v>
      </c>
      <c r="D1478" s="2" t="str">
        <f t="shared" si="22"/>
        <v>Error?</v>
      </c>
    </row>
    <row r="1479" spans="1:4" x14ac:dyDescent="0.2">
      <c r="A1479" s="5">
        <v>1418</v>
      </c>
      <c r="B1479" s="138">
        <f>'Expenditures 15-22'!K236</f>
        <v>1383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25778</v>
      </c>
      <c r="C1481" s="2" t="s">
        <v>594</v>
      </c>
      <c r="D1481" s="2" t="str">
        <f t="shared" si="22"/>
        <v>Error?</v>
      </c>
    </row>
    <row r="1482" spans="1:4" x14ac:dyDescent="0.2">
      <c r="A1482" s="5">
        <v>1421</v>
      </c>
      <c r="B1482" s="138">
        <f>'Expenditures 15-22'!K240</f>
        <v>1553</v>
      </c>
      <c r="C1482" s="2" t="s">
        <v>594</v>
      </c>
      <c r="D1482" s="2" t="str">
        <f t="shared" si="22"/>
        <v>Error?</v>
      </c>
    </row>
    <row r="1483" spans="1:4" x14ac:dyDescent="0.2">
      <c r="A1483" s="5">
        <v>1422</v>
      </c>
      <c r="B1483" s="138">
        <f>'Expenditures 15-22'!K241</f>
        <v>143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1696</v>
      </c>
      <c r="C1485" s="2" t="s">
        <v>594</v>
      </c>
      <c r="D1485" s="2" t="str">
        <f t="shared" si="22"/>
        <v>Error?</v>
      </c>
    </row>
    <row r="1486" spans="1:4" x14ac:dyDescent="0.2">
      <c r="A1486" s="5">
        <v>1425</v>
      </c>
      <c r="B1486" s="138">
        <f>'Expenditures 15-22'!K245</f>
        <v>5127</v>
      </c>
      <c r="C1486" s="2" t="s">
        <v>594</v>
      </c>
      <c r="D1486" s="2" t="str">
        <f t="shared" si="22"/>
        <v>Error?</v>
      </c>
    </row>
    <row r="1487" spans="1:4" x14ac:dyDescent="0.2">
      <c r="A1487" s="5">
        <v>1426</v>
      </c>
      <c r="B1487" s="138">
        <f>'Expenditures 15-22'!K246</f>
        <v>12564</v>
      </c>
      <c r="C1487" s="2" t="s">
        <v>594</v>
      </c>
      <c r="D1487" s="2" t="str">
        <f t="shared" si="22"/>
        <v>Error?</v>
      </c>
    </row>
    <row r="1488" spans="1:4" x14ac:dyDescent="0.2">
      <c r="A1488" s="5">
        <v>1427</v>
      </c>
      <c r="B1488" s="138">
        <f>'Expenditures 15-22'!K257</f>
        <v>17691</v>
      </c>
      <c r="C1488" s="2" t="s">
        <v>594</v>
      </c>
      <c r="D1488" s="2" t="str">
        <f t="shared" si="22"/>
        <v>Error?</v>
      </c>
    </row>
    <row r="1489" spans="1:4" x14ac:dyDescent="0.2">
      <c r="A1489" s="5">
        <v>1428</v>
      </c>
      <c r="B1489" s="138">
        <f>'Expenditures 15-22'!K259</f>
        <v>90069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90069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16505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133217</v>
      </c>
      <c r="C1495" s="2" t="s">
        <v>594</v>
      </c>
      <c r="D1495" s="2" t="str">
        <f t="shared" si="22"/>
        <v>Error?</v>
      </c>
    </row>
    <row r="1496" spans="1:4" x14ac:dyDescent="0.2">
      <c r="A1496" s="5">
        <v>1435</v>
      </c>
      <c r="B1496" s="138">
        <f>'Expenditures 15-22'!K267</f>
        <v>100664</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250386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26516</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26516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412136</v>
      </c>
      <c r="C1510" s="2" t="s">
        <v>594</v>
      </c>
      <c r="D1510" s="2" t="str">
        <f t="shared" si="22"/>
        <v>Error?</v>
      </c>
    </row>
    <row r="1511" spans="1:4" x14ac:dyDescent="0.2">
      <c r="A1511" s="5">
        <v>1450</v>
      </c>
      <c r="B1511" s="138">
        <f>'Expenditures 15-22'!K280</f>
        <v>170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730238</v>
      </c>
      <c r="C1517" s="2" t="s">
        <v>594</v>
      </c>
      <c r="D1517" s="2" t="str">
        <f t="shared" si="22"/>
        <v>Error?</v>
      </c>
    </row>
    <row r="1518" spans="1:4" x14ac:dyDescent="0.2">
      <c r="A1518" s="5">
        <v>1457</v>
      </c>
      <c r="B1518" s="138">
        <f>'Expenditures 15-22'!K296</f>
        <v>-1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-668961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-525969</v>
      </c>
      <c r="C1630" s="2" t="s">
        <v>594</v>
      </c>
      <c r="D1630" s="2" t="str">
        <f t="shared" si="24"/>
        <v>Error?</v>
      </c>
    </row>
    <row r="1631" spans="1:4" x14ac:dyDescent="0.2">
      <c r="A1631" s="5">
        <v>1570</v>
      </c>
      <c r="B1631" s="138">
        <f>'Acct Summary 7-8'!D79</f>
        <v>69116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15492</v>
      </c>
      <c r="C1644" s="2" t="s">
        <v>594</v>
      </c>
      <c r="D1644" s="2" t="str">
        <f t="shared" si="24"/>
        <v>Error?</v>
      </c>
    </row>
    <row r="1645" spans="1:4" x14ac:dyDescent="0.2">
      <c r="A1645" s="5">
        <v>1584</v>
      </c>
      <c r="B1645" s="138">
        <f>'Acct Summary 7-8'!E79</f>
        <v>-65573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72449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63967</v>
      </c>
      <c r="C1672" s="2" t="s">
        <v>594</v>
      </c>
      <c r="D1672" s="2" t="str">
        <f t="shared" si="25"/>
        <v>Error?</v>
      </c>
    </row>
    <row r="1673" spans="1:4" x14ac:dyDescent="0.2">
      <c r="A1673" s="5">
        <v>1612</v>
      </c>
      <c r="B1673" s="138">
        <f>'Acct Summary 7-8'!G79</f>
        <v>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11380618</v>
      </c>
      <c r="C1744" s="2" t="s">
        <v>594</v>
      </c>
      <c r="D1744" s="2" t="str">
        <f t="shared" si="26"/>
        <v>Error?</v>
      </c>
    </row>
    <row r="1745" spans="1:5" x14ac:dyDescent="0.2">
      <c r="A1745" s="5">
        <v>1684</v>
      </c>
      <c r="B1745" s="138">
        <f>'Tax Sched 23'!B5</f>
        <v>1696073</v>
      </c>
      <c r="C1745" s="2" t="s">
        <v>594</v>
      </c>
      <c r="D1745" s="2" t="str">
        <f t="shared" si="26"/>
        <v>Error?</v>
      </c>
    </row>
    <row r="1746" spans="1:5" x14ac:dyDescent="0.2">
      <c r="A1746" s="5">
        <v>1685</v>
      </c>
      <c r="B1746" s="138">
        <f>'Tax Sched 23'!B6</f>
        <v>1002405</v>
      </c>
      <c r="C1746" s="2" t="s">
        <v>594</v>
      </c>
      <c r="D1746" s="2" t="str">
        <f t="shared" si="26"/>
        <v>Error?</v>
      </c>
    </row>
    <row r="1747" spans="1:5" x14ac:dyDescent="0.2">
      <c r="A1747" s="5">
        <v>1686</v>
      </c>
      <c r="B1747" s="138">
        <f>'Tax Sched 23'!B7</f>
        <v>112202</v>
      </c>
      <c r="C1747" s="2" t="s">
        <v>594</v>
      </c>
      <c r="D1747" s="2" t="str">
        <f t="shared" si="26"/>
        <v>Error?</v>
      </c>
    </row>
    <row r="1748" spans="1:5" x14ac:dyDescent="0.2">
      <c r="A1748" s="5">
        <v>1687</v>
      </c>
      <c r="B1748" s="138">
        <f>'Tax Sched 23'!B8</f>
        <v>223062</v>
      </c>
      <c r="C1748" s="2" t="s">
        <v>594</v>
      </c>
      <c r="D1748" s="2" t="str">
        <f t="shared" si="26"/>
        <v>Error?</v>
      </c>
    </row>
    <row r="1749" spans="1:5" x14ac:dyDescent="0.2">
      <c r="A1749" s="5">
        <v>1688</v>
      </c>
      <c r="B1749" s="138">
        <f>'Tax Sched 23'!B10</f>
        <v>309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308</v>
      </c>
      <c r="C1752" s="2" t="s">
        <v>594</v>
      </c>
      <c r="D1752" s="2" t="str">
        <f t="shared" si="26"/>
        <v>Error?</v>
      </c>
    </row>
    <row r="1753" spans="1:5" x14ac:dyDescent="0.2">
      <c r="A1753" s="5">
        <v>1692</v>
      </c>
      <c r="B1753" s="138">
        <f>'Tax Sched 23'!B12</f>
        <v>117772</v>
      </c>
      <c r="C1753" s="2" t="s">
        <v>594</v>
      </c>
      <c r="D1753" s="2" t="str">
        <f t="shared" si="26"/>
        <v>Error?</v>
      </c>
    </row>
    <row r="1754" spans="1:5" x14ac:dyDescent="0.2">
      <c r="A1754" s="5">
        <v>1693</v>
      </c>
      <c r="B1754" s="138">
        <f>'Tax Sched 23'!B14</f>
        <v>549283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15305402</v>
      </c>
      <c r="C1759" s="2" t="s">
        <v>594</v>
      </c>
      <c r="D1759" s="2" t="str">
        <f t="shared" si="26"/>
        <v>Error?</v>
      </c>
    </row>
    <row r="1760" spans="1:5" x14ac:dyDescent="0.2">
      <c r="A1760" s="5">
        <v>1699</v>
      </c>
      <c r="B1760" s="138">
        <f>'Tax Sched 23'!D4</f>
        <v>6911187</v>
      </c>
      <c r="C1760" s="2" t="s">
        <v>594</v>
      </c>
      <c r="D1760" s="2" t="str">
        <f t="shared" si="26"/>
        <v>Error?</v>
      </c>
    </row>
    <row r="1761" spans="1:5" x14ac:dyDescent="0.2">
      <c r="A1761" s="5">
        <v>1700</v>
      </c>
      <c r="B1761" s="138">
        <f>'Tax Sched 23'!D5</f>
        <v>1450520</v>
      </c>
      <c r="C1761" s="2" t="s">
        <v>594</v>
      </c>
      <c r="D1761" s="2" t="str">
        <f t="shared" si="26"/>
        <v>Error?</v>
      </c>
    </row>
    <row r="1762" spans="1:5" s="8" customFormat="1" x14ac:dyDescent="0.2">
      <c r="A1762" s="5">
        <v>1701</v>
      </c>
      <c r="B1762" s="138">
        <f>'Tax Sched 23'!D6</f>
        <v>383286</v>
      </c>
      <c r="C1762" s="2" t="s">
        <v>594</v>
      </c>
      <c r="D1762" s="2" t="str">
        <f t="shared" si="26"/>
        <v>Error?</v>
      </c>
      <c r="E1762" s="9"/>
    </row>
    <row r="1763" spans="1:5" x14ac:dyDescent="0.2">
      <c r="A1763" s="5">
        <v>1702</v>
      </c>
      <c r="B1763" s="138">
        <f>'Tax Sched 23'!D7</f>
        <v>34813</v>
      </c>
      <c r="C1763" s="2" t="s">
        <v>594</v>
      </c>
      <c r="D1763" s="2" t="str">
        <f t="shared" si="26"/>
        <v>Error?</v>
      </c>
    </row>
    <row r="1764" spans="1:5" x14ac:dyDescent="0.2">
      <c r="A1764" s="5">
        <v>1703</v>
      </c>
      <c r="B1764" s="138">
        <f>'Tax Sched 23'!D8</f>
        <v>167782</v>
      </c>
      <c r="C1764" s="2" t="s">
        <v>594</v>
      </c>
      <c r="D1764" s="2" t="str">
        <f t="shared" si="26"/>
        <v>Error?</v>
      </c>
    </row>
    <row r="1765" spans="1:5" x14ac:dyDescent="0.2">
      <c r="A1765" s="5">
        <v>1704</v>
      </c>
      <c r="B1765" s="138">
        <f>'Tax Sched 23'!D10</f>
        <v>190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189</v>
      </c>
      <c r="C1768" s="2" t="s">
        <v>594</v>
      </c>
      <c r="D1768" s="2" t="str">
        <f t="shared" si="26"/>
        <v>Error?</v>
      </c>
    </row>
    <row r="1769" spans="1:5" x14ac:dyDescent="0.2">
      <c r="A1769" s="5">
        <v>1708</v>
      </c>
      <c r="B1769" s="138">
        <f>'Tax Sched 23'!D12</f>
        <v>112244</v>
      </c>
      <c r="C1769" s="2" t="s">
        <v>594</v>
      </c>
      <c r="D1769" s="2" t="str">
        <f t="shared" si="26"/>
        <v>Error?</v>
      </c>
    </row>
    <row r="1770" spans="1:5" x14ac:dyDescent="0.2">
      <c r="A1770" s="5">
        <v>1709</v>
      </c>
      <c r="B1770" s="138">
        <f>'Tax Sched 23'!D14</f>
        <v>378040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9640717</v>
      </c>
      <c r="C1775" s="2" t="s">
        <v>594</v>
      </c>
      <c r="D1775" s="2" t="str">
        <f t="shared" si="26"/>
        <v>Error?</v>
      </c>
    </row>
    <row r="1776" spans="1:5" x14ac:dyDescent="0.2">
      <c r="A1776" s="5">
        <v>1715</v>
      </c>
      <c r="B1776" s="138">
        <f>'Tax Sched 23'!C4</f>
        <v>4469431</v>
      </c>
      <c r="D1776" s="2" t="str">
        <f t="shared" si="26"/>
        <v>Error?</v>
      </c>
    </row>
    <row r="1777" spans="1:4" x14ac:dyDescent="0.2">
      <c r="A1777" s="5">
        <v>1716</v>
      </c>
      <c r="B1777" s="138">
        <f>'Tax Sched 23'!C5</f>
        <v>245553</v>
      </c>
      <c r="D1777" s="2" t="str">
        <f t="shared" si="26"/>
        <v>Error?</v>
      </c>
    </row>
    <row r="1778" spans="1:4" x14ac:dyDescent="0.2">
      <c r="A1778" s="5">
        <v>1717</v>
      </c>
      <c r="B1778" s="138">
        <f>'Tax Sched 23'!C6</f>
        <v>619119</v>
      </c>
      <c r="D1778" s="2" t="str">
        <f t="shared" si="26"/>
        <v>Error?</v>
      </c>
    </row>
    <row r="1779" spans="1:4" x14ac:dyDescent="0.2">
      <c r="A1779" s="5">
        <v>1718</v>
      </c>
      <c r="B1779" s="138">
        <f>'Tax Sched 23'!C7</f>
        <v>77389</v>
      </c>
      <c r="D1779" s="2" t="str">
        <f t="shared" si="26"/>
        <v>Error?</v>
      </c>
    </row>
    <row r="1780" spans="1:4" x14ac:dyDescent="0.2">
      <c r="A1780" s="5">
        <v>1719</v>
      </c>
      <c r="B1780" s="138">
        <f>'Tax Sched 23'!C8</f>
        <v>55280</v>
      </c>
      <c r="D1780" s="2" t="str">
        <f t="shared" si="26"/>
        <v>Error?</v>
      </c>
    </row>
    <row r="1781" spans="1:4" x14ac:dyDescent="0.2">
      <c r="A1781" s="5">
        <v>1720</v>
      </c>
      <c r="B1781" s="138">
        <f>'Tax Sched 23'!C10</f>
        <v>119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119</v>
      </c>
      <c r="D1784" s="2" t="str">
        <f t="shared" si="26"/>
        <v>Error?</v>
      </c>
    </row>
    <row r="1785" spans="1:4" x14ac:dyDescent="0.2">
      <c r="A1785" s="5">
        <v>1724</v>
      </c>
      <c r="B1785" s="138">
        <f>'Tax Sched 23'!C12</f>
        <v>5528</v>
      </c>
      <c r="D1785" s="2" t="str">
        <f t="shared" si="26"/>
        <v>Error?</v>
      </c>
    </row>
    <row r="1786" spans="1:4" x14ac:dyDescent="0.2">
      <c r="A1786" s="5">
        <v>1725</v>
      </c>
      <c r="B1786" s="138">
        <f>'Tax Sched 23'!C14</f>
        <v>171243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5664685</v>
      </c>
      <c r="C1791" s="2" t="s">
        <v>594</v>
      </c>
      <c r="D1791" s="2" t="str">
        <f t="shared" ref="D1791:D1854" si="27">IF(ISBLANK(B1791),"OK",IF(A1791-B1791=0,"OK","Error?"))</f>
        <v>Error?</v>
      </c>
    </row>
    <row r="1792" spans="1:4" x14ac:dyDescent="0.2">
      <c r="A1792" s="5">
        <v>1731</v>
      </c>
      <c r="B1792" s="138">
        <f>'Tax Sched 23'!F4</f>
        <v>7283469</v>
      </c>
      <c r="C1792" s="2" t="s">
        <v>594</v>
      </c>
      <c r="D1792" s="2" t="str">
        <f t="shared" si="27"/>
        <v>Error?</v>
      </c>
    </row>
    <row r="1793" spans="1:4" x14ac:dyDescent="0.2">
      <c r="A1793" s="5">
        <v>1732</v>
      </c>
      <c r="B1793" s="138">
        <f>'Tax Sched 23'!F5</f>
        <v>1404531</v>
      </c>
      <c r="C1793" s="2" t="s">
        <v>594</v>
      </c>
      <c r="D1793" s="2" t="str">
        <f t="shared" si="27"/>
        <v>Error?</v>
      </c>
    </row>
    <row r="1794" spans="1:4" x14ac:dyDescent="0.2">
      <c r="A1794" s="5">
        <v>1733</v>
      </c>
      <c r="B1794" s="138">
        <f>'Tax Sched 23'!F6</f>
        <v>28757</v>
      </c>
      <c r="C1794" s="2" t="s">
        <v>594</v>
      </c>
      <c r="D1794" s="2" t="str">
        <f t="shared" si="27"/>
        <v>Error?</v>
      </c>
    </row>
    <row r="1795" spans="1:4" x14ac:dyDescent="0.2">
      <c r="A1795" s="5">
        <v>1734</v>
      </c>
      <c r="B1795" s="138">
        <f>'Tax Sched 23'!F7</f>
        <v>77269</v>
      </c>
      <c r="C1795" s="2" t="s">
        <v>594</v>
      </c>
      <c r="D1795" s="2" t="str">
        <f t="shared" si="27"/>
        <v>Error?</v>
      </c>
    </row>
    <row r="1796" spans="1:4" x14ac:dyDescent="0.2">
      <c r="A1796" s="5">
        <v>1735</v>
      </c>
      <c r="B1796" s="138">
        <f>'Tax Sched 23'!F8</f>
        <v>149911</v>
      </c>
      <c r="C1796" s="2" t="s">
        <v>594</v>
      </c>
      <c r="D1796" s="2" t="str">
        <f t="shared" si="27"/>
        <v>Error?</v>
      </c>
    </row>
    <row r="1797" spans="1:4" x14ac:dyDescent="0.2">
      <c r="A1797" s="5">
        <v>1736</v>
      </c>
      <c r="B1797" s="138">
        <f>'Tax Sched 23'!F10</f>
        <v>202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202</v>
      </c>
      <c r="C1800" s="2" t="s">
        <v>594</v>
      </c>
      <c r="D1800" s="2" t="str">
        <f t="shared" si="27"/>
        <v>Error?</v>
      </c>
    </row>
    <row r="1801" spans="1:4" x14ac:dyDescent="0.2">
      <c r="A1801" s="5">
        <v>1740</v>
      </c>
      <c r="B1801" s="138">
        <f>'Tax Sched 23'!F12</f>
        <v>9046</v>
      </c>
      <c r="C1801" s="2" t="s">
        <v>594</v>
      </c>
      <c r="D1801" s="2" t="str">
        <f t="shared" si="27"/>
        <v>Error?</v>
      </c>
    </row>
    <row r="1802" spans="1:4" x14ac:dyDescent="0.2">
      <c r="A1802" s="5">
        <v>1741</v>
      </c>
      <c r="B1802" s="138">
        <f>'Tax Sched 23'!F14</f>
        <v>338322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9372786</v>
      </c>
      <c r="C1807" s="2" t="s">
        <v>594</v>
      </c>
      <c r="D1807" s="2" t="str">
        <f t="shared" si="27"/>
        <v>Error?</v>
      </c>
    </row>
    <row r="1808" spans="1:4" x14ac:dyDescent="0.2">
      <c r="A1808" s="5">
        <v>1747</v>
      </c>
      <c r="B1808" s="138">
        <f>'Tax Sched 23'!E4</f>
        <v>11752900</v>
      </c>
      <c r="D1808" s="2" t="str">
        <f t="shared" si="27"/>
        <v>Error?</v>
      </c>
    </row>
    <row r="1809" spans="1:4" x14ac:dyDescent="0.2">
      <c r="A1809" s="5">
        <v>1748</v>
      </c>
      <c r="B1809" s="138">
        <f>'Tax Sched 23'!E5</f>
        <v>1650084</v>
      </c>
      <c r="D1809" s="2" t="str">
        <f t="shared" si="27"/>
        <v>Error?</v>
      </c>
    </row>
    <row r="1810" spans="1:4" x14ac:dyDescent="0.2">
      <c r="A1810" s="5">
        <v>1749</v>
      </c>
      <c r="B1810" s="138">
        <f>'Tax Sched 23'!E6</f>
        <v>647876</v>
      </c>
      <c r="D1810" s="2" t="str">
        <f t="shared" si="27"/>
        <v>Error?</v>
      </c>
    </row>
    <row r="1811" spans="1:4" x14ac:dyDescent="0.2">
      <c r="A1811" s="5">
        <v>1750</v>
      </c>
      <c r="B1811" s="138">
        <f>'Tax Sched 23'!E7</f>
        <v>154658</v>
      </c>
      <c r="D1811" s="2" t="str">
        <f t="shared" si="27"/>
        <v>Error?</v>
      </c>
    </row>
    <row r="1812" spans="1:4" x14ac:dyDescent="0.2">
      <c r="A1812" s="5">
        <v>1751</v>
      </c>
      <c r="B1812" s="138">
        <f>'Tax Sched 23'!E8</f>
        <v>205191</v>
      </c>
      <c r="D1812" s="2" t="str">
        <f t="shared" si="27"/>
        <v>Error?</v>
      </c>
    </row>
    <row r="1813" spans="1:4" x14ac:dyDescent="0.2">
      <c r="A1813" s="5">
        <v>1752</v>
      </c>
      <c r="B1813" s="138">
        <f>'Tax Sched 23'!E10</f>
        <v>321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321</v>
      </c>
      <c r="D1816" s="2" t="str">
        <f t="shared" si="27"/>
        <v>Error?</v>
      </c>
    </row>
    <row r="1817" spans="1:4" x14ac:dyDescent="0.2">
      <c r="A1817" s="5">
        <v>1756</v>
      </c>
      <c r="B1817" s="138">
        <f>'Tax Sched 23'!E12</f>
        <v>14574</v>
      </c>
      <c r="D1817" s="2" t="str">
        <f t="shared" si="27"/>
        <v>Error?</v>
      </c>
    </row>
    <row r="1818" spans="1:4" x14ac:dyDescent="0.2">
      <c r="A1818" s="5">
        <v>1757</v>
      </c>
      <c r="B1818" s="138">
        <f>'Tax Sched 23'!E14</f>
        <v>509565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15037471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3667900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3667900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2919050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2919050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3667900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3667900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2919050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2919050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2639709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549283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549283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549283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3754467</v>
      </c>
      <c r="D2008" s="2" t="str">
        <f t="shared" si="30"/>
        <v>Error?</v>
      </c>
    </row>
    <row r="2009" spans="1:4" x14ac:dyDescent="0.2">
      <c r="A2009" s="5">
        <v>1948</v>
      </c>
      <c r="B2009" s="138">
        <f>'Cap Outlay Deprec 26'!C8</f>
        <v>20017535</v>
      </c>
      <c r="D2009" s="2" t="str">
        <f t="shared" si="30"/>
        <v>Error?</v>
      </c>
    </row>
    <row r="2010" spans="1:4" x14ac:dyDescent="0.2">
      <c r="A2010" s="5">
        <v>1949</v>
      </c>
      <c r="B2010" s="138">
        <f>'Cap Outlay Deprec 26'!C10</f>
        <v>569051</v>
      </c>
      <c r="D2010" s="2" t="str">
        <f t="shared" si="30"/>
        <v>Error?</v>
      </c>
    </row>
    <row r="2011" spans="1:4" x14ac:dyDescent="0.2">
      <c r="A2011" s="5">
        <v>1950</v>
      </c>
      <c r="B2011" s="138">
        <f>'Cap Outlay Deprec 26'!C12</f>
        <v>5522966</v>
      </c>
      <c r="D2011" s="2" t="str">
        <f t="shared" si="30"/>
        <v>Error?</v>
      </c>
    </row>
    <row r="2012" spans="1:4" x14ac:dyDescent="0.2">
      <c r="A2012" s="5">
        <v>1951</v>
      </c>
      <c r="B2012" s="138">
        <f>'Cap Outlay Deprec 26'!C13</f>
        <v>2313821</v>
      </c>
      <c r="D2012" s="2" t="str">
        <f t="shared" si="30"/>
        <v>Error?</v>
      </c>
    </row>
    <row r="2013" spans="1:4" x14ac:dyDescent="0.2">
      <c r="A2013" s="5">
        <v>1952</v>
      </c>
      <c r="B2013" s="138">
        <f>'Cap Outlay Deprec 26'!C16</f>
        <v>32377340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37346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43591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191511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191511</v>
      </c>
      <c r="C2025" s="2" t="s">
        <v>594</v>
      </c>
      <c r="D2025" s="2" t="str">
        <f t="shared" si="30"/>
        <v>Error?</v>
      </c>
    </row>
    <row r="2026" spans="1:4" x14ac:dyDescent="0.2">
      <c r="A2026" s="5">
        <v>1965</v>
      </c>
      <c r="B2026" s="138">
        <f>'Cap Outlay Deprec 26'!F5</f>
        <v>3754467</v>
      </c>
      <c r="C2026" s="2" t="s">
        <v>594</v>
      </c>
      <c r="D2026" s="2" t="str">
        <f t="shared" si="30"/>
        <v>Error?</v>
      </c>
    </row>
    <row r="2027" spans="1:4" x14ac:dyDescent="0.2">
      <c r="A2027" s="5">
        <v>1966</v>
      </c>
      <c r="B2027" s="138">
        <f>'Cap Outlay Deprec 26'!F8</f>
        <v>20017535</v>
      </c>
      <c r="C2027" s="2" t="s">
        <v>594</v>
      </c>
      <c r="D2027" s="2" t="str">
        <f t="shared" si="30"/>
        <v>Error?</v>
      </c>
    </row>
    <row r="2028" spans="1:4" x14ac:dyDescent="0.2">
      <c r="A2028" s="5">
        <v>1967</v>
      </c>
      <c r="B2028" s="138">
        <f>'Cap Outlay Deprec 26'!F10</f>
        <v>569051</v>
      </c>
      <c r="C2028" s="2" t="s">
        <v>594</v>
      </c>
      <c r="D2028" s="2" t="str">
        <f t="shared" si="30"/>
        <v>Error?</v>
      </c>
    </row>
    <row r="2029" spans="1:4" x14ac:dyDescent="0.2">
      <c r="A2029" s="5">
        <v>1968</v>
      </c>
      <c r="B2029" s="138">
        <f>'Cap Outlay Deprec 26'!F12</f>
        <v>5368801</v>
      </c>
      <c r="C2029" s="2" t="s">
        <v>594</v>
      </c>
      <c r="D2029" s="2" t="str">
        <f t="shared" si="30"/>
        <v>Error?</v>
      </c>
    </row>
    <row r="2030" spans="1:4" x14ac:dyDescent="0.2">
      <c r="A2030" s="5">
        <v>1969</v>
      </c>
      <c r="B2030" s="138">
        <f>'Cap Outlay Deprec 26'!F13</f>
        <v>2313821</v>
      </c>
      <c r="C2030" s="2" t="s">
        <v>594</v>
      </c>
      <c r="D2030" s="2" t="str">
        <f t="shared" si="30"/>
        <v>Error?</v>
      </c>
    </row>
    <row r="2031" spans="1:4" x14ac:dyDescent="0.2">
      <c r="A2031" s="5">
        <v>1970</v>
      </c>
      <c r="B2031" s="138">
        <f>'Cap Outlay Deprec 26'!F16</f>
        <v>32229420</v>
      </c>
      <c r="C2031" s="2" t="s">
        <v>594</v>
      </c>
      <c r="D2031" s="2" t="str">
        <f t="shared" si="30"/>
        <v>Error?</v>
      </c>
    </row>
    <row r="2032" spans="1:4" x14ac:dyDescent="0.2">
      <c r="A2032" s="10">
        <v>1971</v>
      </c>
      <c r="D2032" s="2" t="str">
        <f t="shared" si="30"/>
        <v>OK</v>
      </c>
    </row>
    <row r="2033" spans="1:4" x14ac:dyDescent="0.2">
      <c r="A2033" s="5">
        <v>1972</v>
      </c>
      <c r="B2033" s="138">
        <f>'Cap Outlay Deprec 26'!H8</f>
        <v>9343768</v>
      </c>
      <c r="D2033" s="2" t="str">
        <f t="shared" si="30"/>
        <v>Error?</v>
      </c>
    </row>
    <row r="2034" spans="1:4" x14ac:dyDescent="0.2">
      <c r="A2034" s="5">
        <v>1973</v>
      </c>
      <c r="B2034" s="138">
        <f>'Cap Outlay Deprec 26'!H10</f>
        <v>341621</v>
      </c>
      <c r="D2034" s="2" t="str">
        <f t="shared" si="30"/>
        <v>Error?</v>
      </c>
    </row>
    <row r="2035" spans="1:4" x14ac:dyDescent="0.2">
      <c r="A2035" s="5">
        <v>1974</v>
      </c>
      <c r="B2035" s="138">
        <f>'Cap Outlay Deprec 26'!H12</f>
        <v>5162922</v>
      </c>
      <c r="D2035" s="2" t="str">
        <f t="shared" si="30"/>
        <v>Error?</v>
      </c>
    </row>
    <row r="2036" spans="1:4" x14ac:dyDescent="0.2">
      <c r="A2036" s="5">
        <v>1975</v>
      </c>
      <c r="B2036" s="138">
        <f>'Cap Outlay Deprec 26'!H13</f>
        <v>2235841</v>
      </c>
      <c r="D2036" s="2" t="str">
        <f t="shared" si="30"/>
        <v>Error?</v>
      </c>
    </row>
    <row r="2037" spans="1:4" x14ac:dyDescent="0.2">
      <c r="A2037" s="5">
        <v>1976</v>
      </c>
      <c r="B2037" s="138">
        <f>'Cap Outlay Deprec 26'!H16</f>
        <v>17188890</v>
      </c>
      <c r="C2037" s="2" t="s">
        <v>594</v>
      </c>
      <c r="D2037" s="2" t="str">
        <f t="shared" si="30"/>
        <v>Error?</v>
      </c>
    </row>
    <row r="2038" spans="1:4" x14ac:dyDescent="0.2">
      <c r="A2038" s="10">
        <v>1977</v>
      </c>
      <c r="D2038" s="2" t="str">
        <f t="shared" si="30"/>
        <v>OK</v>
      </c>
    </row>
    <row r="2039" spans="1:4" x14ac:dyDescent="0.2">
      <c r="A2039" s="5">
        <v>1978</v>
      </c>
      <c r="B2039" s="138">
        <f>'Cap Outlay Deprec 26'!I8</f>
        <v>477360</v>
      </c>
      <c r="D2039" s="2" t="str">
        <f t="shared" si="30"/>
        <v>Error?</v>
      </c>
    </row>
    <row r="2040" spans="1:4" x14ac:dyDescent="0.2">
      <c r="A2040" s="5">
        <v>1979</v>
      </c>
      <c r="B2040" s="138">
        <f>'Cap Outlay Deprec 26'!I10</f>
        <v>25778</v>
      </c>
      <c r="D2040" s="2" t="str">
        <f t="shared" si="30"/>
        <v>Error?</v>
      </c>
    </row>
    <row r="2041" spans="1:4" x14ac:dyDescent="0.2">
      <c r="A2041" s="5">
        <v>1980</v>
      </c>
      <c r="B2041" s="138">
        <f>'Cap Outlay Deprec 26'!I12</f>
        <v>77135</v>
      </c>
      <c r="D2041" s="2" t="str">
        <f t="shared" si="30"/>
        <v>Error?</v>
      </c>
    </row>
    <row r="2042" spans="1:4" x14ac:dyDescent="0.2">
      <c r="A2042" s="5">
        <v>1981</v>
      </c>
      <c r="B2042" s="138">
        <f>'Cap Outlay Deprec 26'!I13</f>
        <v>24010</v>
      </c>
      <c r="D2042" s="2" t="str">
        <f t="shared" si="30"/>
        <v>Error?</v>
      </c>
    </row>
    <row r="2043" spans="1:4" x14ac:dyDescent="0.2">
      <c r="A2043" s="5">
        <v>1982</v>
      </c>
      <c r="B2043" s="138">
        <f>'Cap Outlay Deprec 26'!I16</f>
        <v>614258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173227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173227</v>
      </c>
      <c r="C2049" s="2" t="s">
        <v>594</v>
      </c>
      <c r="D2049" s="2" t="str">
        <f t="shared" si="31"/>
        <v>Error?</v>
      </c>
    </row>
    <row r="2050" spans="1:4" x14ac:dyDescent="0.2">
      <c r="A2050" s="10">
        <v>1989</v>
      </c>
      <c r="D2050" s="2" t="str">
        <f t="shared" si="31"/>
        <v>OK</v>
      </c>
    </row>
    <row r="2051" spans="1:4" x14ac:dyDescent="0.2">
      <c r="A2051" s="5">
        <v>1990</v>
      </c>
      <c r="B2051" s="138">
        <f>'Cap Outlay Deprec 26'!K8</f>
        <v>9821128</v>
      </c>
      <c r="C2051" s="2" t="s">
        <v>594</v>
      </c>
      <c r="D2051" s="2" t="str">
        <f t="shared" si="31"/>
        <v>Error?</v>
      </c>
    </row>
    <row r="2052" spans="1:4" x14ac:dyDescent="0.2">
      <c r="A2052" s="5">
        <v>1991</v>
      </c>
      <c r="B2052" s="138">
        <f>'Cap Outlay Deprec 26'!K10</f>
        <v>367399</v>
      </c>
      <c r="C2052" s="2" t="s">
        <v>594</v>
      </c>
      <c r="D2052" s="2" t="str">
        <f t="shared" si="31"/>
        <v>Error?</v>
      </c>
    </row>
    <row r="2053" spans="1:4" x14ac:dyDescent="0.2">
      <c r="A2053" s="5">
        <v>1992</v>
      </c>
      <c r="B2053" s="138">
        <f>'Cap Outlay Deprec 26'!K12</f>
        <v>5066830</v>
      </c>
      <c r="C2053" s="2" t="s">
        <v>594</v>
      </c>
      <c r="D2053" s="2" t="str">
        <f t="shared" si="31"/>
        <v>Error?</v>
      </c>
    </row>
    <row r="2054" spans="1:4" x14ac:dyDescent="0.2">
      <c r="A2054" s="5">
        <v>1993</v>
      </c>
      <c r="B2054" s="138">
        <f>'Cap Outlay Deprec 26'!K13</f>
        <v>2259851</v>
      </c>
      <c r="C2054" s="2" t="s">
        <v>594</v>
      </c>
      <c r="D2054" s="2" t="str">
        <f t="shared" si="31"/>
        <v>Error?</v>
      </c>
    </row>
    <row r="2055" spans="1:4" x14ac:dyDescent="0.2">
      <c r="A2055" s="5">
        <v>1994</v>
      </c>
      <c r="B2055" s="138">
        <f>'Cap Outlay Deprec 26'!K16</f>
        <v>17629921</v>
      </c>
      <c r="C2055" s="2" t="s">
        <v>594</v>
      </c>
      <c r="D2055" s="2" t="str">
        <f t="shared" si="31"/>
        <v>Error?</v>
      </c>
    </row>
    <row r="2056" spans="1:4" x14ac:dyDescent="0.2">
      <c r="A2056" s="5">
        <v>1995</v>
      </c>
      <c r="B2056" s="138">
        <f>'Cap Outlay Deprec 26'!L5</f>
        <v>3754467</v>
      </c>
      <c r="C2056" s="2" t="s">
        <v>594</v>
      </c>
      <c r="D2056" s="2" t="str">
        <f t="shared" si="31"/>
        <v>Error?</v>
      </c>
    </row>
    <row r="2057" spans="1:4" x14ac:dyDescent="0.2">
      <c r="A2057" s="5">
        <v>1996</v>
      </c>
      <c r="B2057" s="138">
        <f>'Cap Outlay Deprec 26'!L8</f>
        <v>10196407</v>
      </c>
      <c r="C2057" s="2" t="s">
        <v>594</v>
      </c>
      <c r="D2057" s="2" t="str">
        <f t="shared" si="31"/>
        <v>Error?</v>
      </c>
    </row>
    <row r="2058" spans="1:4" x14ac:dyDescent="0.2">
      <c r="A2058" s="5">
        <v>1997</v>
      </c>
      <c r="B2058" s="138">
        <f>'Cap Outlay Deprec 26'!L10</f>
        <v>201652</v>
      </c>
      <c r="C2058" s="2" t="s">
        <v>594</v>
      </c>
      <c r="D2058" s="2" t="str">
        <f t="shared" si="31"/>
        <v>Error?</v>
      </c>
    </row>
    <row r="2059" spans="1:4" x14ac:dyDescent="0.2">
      <c r="A2059" s="5">
        <v>1998</v>
      </c>
      <c r="B2059" s="138">
        <f>'Cap Outlay Deprec 26'!L12</f>
        <v>301971</v>
      </c>
      <c r="C2059" s="2" t="s">
        <v>594</v>
      </c>
      <c r="D2059" s="2" t="str">
        <f t="shared" si="31"/>
        <v>Error?</v>
      </c>
    </row>
    <row r="2060" spans="1:4" x14ac:dyDescent="0.2">
      <c r="A2060" s="5">
        <v>1999</v>
      </c>
      <c r="B2060" s="138">
        <f>'Cap Outlay Deprec 26'!L13</f>
        <v>53970</v>
      </c>
      <c r="C2060" s="2" t="s">
        <v>594</v>
      </c>
      <c r="D2060" s="2" t="str">
        <f t="shared" si="31"/>
        <v>Error?</v>
      </c>
    </row>
    <row r="2061" spans="1:4" x14ac:dyDescent="0.2">
      <c r="A2061" s="5">
        <v>2000</v>
      </c>
      <c r="B2061" s="138">
        <f>'Cap Outlay Deprec 26'!L16</f>
        <v>14599499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16541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16541</v>
      </c>
      <c r="C2088" s="2" t="s">
        <v>594</v>
      </c>
      <c r="D2088" s="2" t="str">
        <f t="shared" si="31"/>
        <v>Error?</v>
      </c>
    </row>
    <row r="2089" spans="1:4" x14ac:dyDescent="0.2">
      <c r="A2089" s="5">
        <v>2028</v>
      </c>
      <c r="B2089" s="138">
        <f>'Expenditures 15-22'!K92</f>
        <v>477456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899960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12908229</v>
      </c>
      <c r="C2551" s="2" t="s">
        <v>594</v>
      </c>
      <c r="D2551" s="2" t="str">
        <f t="shared" si="38"/>
        <v>Error?</v>
      </c>
    </row>
    <row r="2552" spans="1:4" x14ac:dyDescent="0.2">
      <c r="A2552" s="10">
        <v>2491</v>
      </c>
      <c r="D2552" s="2" t="str">
        <f t="shared" si="38"/>
        <v>OK</v>
      </c>
    </row>
    <row r="2553" spans="1:4" x14ac:dyDescent="0.2">
      <c r="A2553" s="5">
        <v>2492</v>
      </c>
      <c r="B2553" s="138">
        <f>'Acct Summary 7-8'!C6</f>
        <v>6163092</v>
      </c>
      <c r="C2553" s="2" t="s">
        <v>594</v>
      </c>
      <c r="D2553" s="2" t="str">
        <f t="shared" si="38"/>
        <v>Error?</v>
      </c>
    </row>
    <row r="2554" spans="1:4" x14ac:dyDescent="0.2">
      <c r="A2554" s="5">
        <v>2493</v>
      </c>
      <c r="B2554" s="138">
        <f>'Acct Summary 7-8'!C7</f>
        <v>1596626</v>
      </c>
      <c r="C2554" s="2" t="s">
        <v>594</v>
      </c>
      <c r="D2554" s="2" t="str">
        <f t="shared" si="38"/>
        <v>Error?</v>
      </c>
    </row>
    <row r="2555" spans="1:4" x14ac:dyDescent="0.2">
      <c r="A2555" s="5">
        <v>2494</v>
      </c>
      <c r="B2555" s="138">
        <f>'Acct Summary 7-8'!C8</f>
        <v>20667947</v>
      </c>
      <c r="C2555" s="2" t="s">
        <v>594</v>
      </c>
      <c r="D2555" s="2" t="str">
        <f t="shared" si="38"/>
        <v>Error?</v>
      </c>
    </row>
    <row r="2556" spans="1:4" x14ac:dyDescent="0.2">
      <c r="A2556" s="5">
        <v>2495</v>
      </c>
      <c r="B2556" s="138">
        <f>'Acct Summary 7-8'!C12</f>
        <v>15984379</v>
      </c>
      <c r="C2556" s="2" t="s">
        <v>594</v>
      </c>
      <c r="D2556" s="2" t="str">
        <f t="shared" si="38"/>
        <v>Error?</v>
      </c>
    </row>
    <row r="2557" spans="1:4" x14ac:dyDescent="0.2">
      <c r="A2557" s="5">
        <v>2496</v>
      </c>
      <c r="B2557" s="138">
        <f>'Acct Summary 7-8'!C13</f>
        <v>3987434</v>
      </c>
      <c r="C2557" s="2" t="s">
        <v>594</v>
      </c>
      <c r="D2557" s="2" t="str">
        <f t="shared" si="38"/>
        <v>Error?</v>
      </c>
    </row>
    <row r="2558" spans="1:4" x14ac:dyDescent="0.2">
      <c r="A2558" s="5">
        <v>2497</v>
      </c>
      <c r="B2558" s="138">
        <f>'Acct Summary 7-8'!C14</f>
        <v>2363</v>
      </c>
      <c r="C2558" s="2" t="s">
        <v>594</v>
      </c>
      <c r="D2558" s="2" t="str">
        <f t="shared" si="38"/>
        <v>Error?</v>
      </c>
    </row>
    <row r="2559" spans="1:4" x14ac:dyDescent="0.2">
      <c r="A2559" s="5">
        <v>2498</v>
      </c>
      <c r="B2559" s="138">
        <f>'Acct Summary 7-8'!C15</f>
        <v>493997</v>
      </c>
      <c r="C2559" s="2" t="s">
        <v>594</v>
      </c>
      <c r="D2559" s="2" t="str">
        <f t="shared" ref="D2559:D2622" si="39">IF(ISBLANK(B2559),"OK",IF(A2559-B2559=0,"OK","Error?"))</f>
        <v>Error?</v>
      </c>
    </row>
    <row r="2560" spans="1:4" x14ac:dyDescent="0.2">
      <c r="A2560" s="5">
        <v>2499</v>
      </c>
      <c r="B2560" s="138">
        <f>'Acct Summary 7-8'!C16</f>
        <v>56782</v>
      </c>
      <c r="C2560" s="2" t="s">
        <v>594</v>
      </c>
      <c r="D2560" s="2" t="str">
        <f t="shared" si="39"/>
        <v>Error?</v>
      </c>
    </row>
    <row r="2561" spans="1:4" x14ac:dyDescent="0.2">
      <c r="A2561" s="5">
        <v>2500</v>
      </c>
      <c r="B2561" s="138">
        <f>'Acct Summary 7-8'!C17</f>
        <v>20524955</v>
      </c>
      <c r="C2561" s="2" t="s">
        <v>594</v>
      </c>
      <c r="D2561" s="2" t="str">
        <f t="shared" si="39"/>
        <v>Error?</v>
      </c>
    </row>
    <row r="2562" spans="1:4" x14ac:dyDescent="0.2">
      <c r="A2562" s="5">
        <v>2501</v>
      </c>
      <c r="B2562" s="138">
        <f>'Acct Summary 7-8'!C20</f>
        <v>142992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1729223</v>
      </c>
      <c r="C2564" s="2" t="s">
        <v>594</v>
      </c>
      <c r="D2564" s="2" t="str">
        <f t="shared" si="39"/>
        <v>Error?</v>
      </c>
    </row>
    <row r="2565" spans="1:4" x14ac:dyDescent="0.2">
      <c r="A2565" s="10">
        <v>2504</v>
      </c>
      <c r="D2565" s="2" t="str">
        <f t="shared" si="39"/>
        <v>OK</v>
      </c>
    </row>
    <row r="2566" spans="1:4" x14ac:dyDescent="0.2">
      <c r="A2566" s="5">
        <v>2505</v>
      </c>
      <c r="B2566" s="138">
        <f>'Acct Summary 7-8'!D6</f>
        <v>18403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1747626</v>
      </c>
      <c r="C2568" s="2" t="s">
        <v>594</v>
      </c>
      <c r="D2568" s="2" t="str">
        <f t="shared" si="39"/>
        <v>Error?</v>
      </c>
    </row>
    <row r="2569" spans="1:4" x14ac:dyDescent="0.2">
      <c r="A2569" s="5">
        <v>2508</v>
      </c>
      <c r="B2569" s="138">
        <f>'Acct Summary 7-8'!D13</f>
        <v>1801250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1801250</v>
      </c>
      <c r="C2573" s="2" t="s">
        <v>594</v>
      </c>
      <c r="D2573" s="2" t="str">
        <f t="shared" si="39"/>
        <v>Error?</v>
      </c>
    </row>
    <row r="2574" spans="1:4" x14ac:dyDescent="0.2">
      <c r="A2574" s="5">
        <v>2513</v>
      </c>
      <c r="B2574" s="138">
        <f>'Acct Summary 7-8'!D20</f>
        <v>-53624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130419</v>
      </c>
      <c r="C2591" s="2" t="s">
        <v>594</v>
      </c>
      <c r="D2591" s="2" t="str">
        <f t="shared" si="39"/>
        <v>Error?</v>
      </c>
    </row>
    <row r="2592" spans="1:4" x14ac:dyDescent="0.2">
      <c r="A2592" s="10">
        <v>2531</v>
      </c>
      <c r="D2592" s="2" t="str">
        <f t="shared" si="39"/>
        <v>OK</v>
      </c>
    </row>
    <row r="2593" spans="1:4" x14ac:dyDescent="0.2">
      <c r="A2593" s="5">
        <v>2532</v>
      </c>
      <c r="B2593" s="138">
        <f>'Acct Summary 7-8'!F6</f>
        <v>898123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1028542</v>
      </c>
      <c r="C2595" s="2" t="s">
        <v>594</v>
      </c>
      <c r="D2595" s="2" t="str">
        <f t="shared" si="39"/>
        <v>Error?</v>
      </c>
    </row>
    <row r="2596" spans="1:4" x14ac:dyDescent="0.2">
      <c r="A2596" s="5">
        <v>2535</v>
      </c>
      <c r="B2596" s="138">
        <f>'Acct Summary 7-8'!F13</f>
        <v>1037024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1037024</v>
      </c>
      <c r="C2600" s="2" t="s">
        <v>594</v>
      </c>
      <c r="D2600" s="2" t="str">
        <f t="shared" si="39"/>
        <v>Error?</v>
      </c>
    </row>
    <row r="2601" spans="1:4" x14ac:dyDescent="0.2">
      <c r="A2601" s="5">
        <v>2540</v>
      </c>
      <c r="B2601" s="138">
        <f>'Acct Summary 7-8'!F20</f>
        <v>-8482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446326</v>
      </c>
      <c r="C2603" s="2" t="s">
        <v>594</v>
      </c>
      <c r="D2603" s="2" t="str">
        <f t="shared" si="39"/>
        <v>Error?</v>
      </c>
    </row>
    <row r="2604" spans="1:4" x14ac:dyDescent="0.2">
      <c r="A2604" s="5">
        <v>2543</v>
      </c>
      <c r="B2604" s="138">
        <f>'Acct Summary 7-8'!G6</f>
        <v>283911</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730237</v>
      </c>
      <c r="C2606" s="2" t="s">
        <v>594</v>
      </c>
      <c r="D2606" s="2" t="str">
        <f t="shared" si="39"/>
        <v>Error?</v>
      </c>
    </row>
    <row r="2607" spans="1:4" x14ac:dyDescent="0.2">
      <c r="A2607" s="5">
        <v>2546</v>
      </c>
      <c r="B2607" s="138">
        <f>'Acct Summary 7-8'!G12</f>
        <v>317932</v>
      </c>
      <c r="C2607" s="2" t="s">
        <v>594</v>
      </c>
      <c r="D2607" s="2" t="str">
        <f t="shared" si="39"/>
        <v>Error?</v>
      </c>
    </row>
    <row r="2608" spans="1:4" x14ac:dyDescent="0.2">
      <c r="A2608" s="5">
        <v>2547</v>
      </c>
      <c r="B2608" s="138">
        <f>'Acct Summary 7-8'!G13</f>
        <v>412136</v>
      </c>
      <c r="C2608" s="2" t="s">
        <v>594</v>
      </c>
      <c r="D2608" s="2" t="str">
        <f t="shared" si="39"/>
        <v>Error?</v>
      </c>
    </row>
    <row r="2609" spans="1:4" x14ac:dyDescent="0.2">
      <c r="A2609" s="5">
        <v>2548</v>
      </c>
      <c r="B2609" s="138">
        <f>'Acct Summary 7-8'!G14</f>
        <v>170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730238</v>
      </c>
      <c r="C2612" s="2" t="s">
        <v>594</v>
      </c>
      <c r="D2612" s="2" t="str">
        <f t="shared" si="39"/>
        <v>Error?</v>
      </c>
    </row>
    <row r="2613" spans="1:4" x14ac:dyDescent="0.2">
      <c r="A2613" s="5">
        <v>2552</v>
      </c>
      <c r="B2613" s="138">
        <f>'Acct Summary 7-8'!G20</f>
        <v>-1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1007380</v>
      </c>
      <c r="C2630" s="2" t="s">
        <v>594</v>
      </c>
      <c r="D2630" s="2" t="str">
        <f t="shared" si="40"/>
        <v>Error?</v>
      </c>
    </row>
    <row r="2631" spans="1:4" x14ac:dyDescent="0.2">
      <c r="A2631" s="5">
        <v>2570</v>
      </c>
      <c r="B2631" s="138">
        <f>'Acct Summary 7-8'!E6</f>
        <v>323915</v>
      </c>
      <c r="C2631" s="2" t="s">
        <v>594</v>
      </c>
      <c r="D2631" s="2" t="str">
        <f t="shared" si="40"/>
        <v>Error?</v>
      </c>
    </row>
    <row r="2632" spans="1:4" x14ac:dyDescent="0.2">
      <c r="A2632" s="5">
        <v>2571</v>
      </c>
      <c r="B2632" s="138">
        <f>'Acct Summary 7-8'!E8</f>
        <v>1331295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1265722</v>
      </c>
      <c r="C2634" s="2" t="s">
        <v>594</v>
      </c>
      <c r="D2634" s="2" t="str">
        <f t="shared" si="40"/>
        <v>Error?</v>
      </c>
    </row>
    <row r="2635" spans="1:4" x14ac:dyDescent="0.2">
      <c r="A2635" s="5">
        <v>2574</v>
      </c>
      <c r="B2635" s="138">
        <f>'Acct Summary 7-8'!E17</f>
        <v>1265722</v>
      </c>
      <c r="C2635" s="2" t="s">
        <v>594</v>
      </c>
      <c r="D2635" s="2" t="str">
        <f t="shared" si="40"/>
        <v>Error?</v>
      </c>
    </row>
    <row r="2636" spans="1:4" x14ac:dyDescent="0.2">
      <c r="A2636" s="5">
        <v>2575</v>
      </c>
      <c r="B2636" s="138">
        <f>'Acct Summary 7-8'!E20</f>
        <v>65573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6245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751761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202505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751761</v>
      </c>
      <c r="D2912" s="2" t="str">
        <f t="shared" si="44"/>
        <v>Error?</v>
      </c>
    </row>
    <row r="2913" spans="1:4" x14ac:dyDescent="0.2">
      <c r="A2913" s="5">
        <v>2852</v>
      </c>
      <c r="B2913" s="138">
        <f>'Assets-Liab 5-6'!I41</f>
        <v>751761</v>
      </c>
      <c r="C2913" s="2" t="s">
        <v>594</v>
      </c>
      <c r="D2913" s="2" t="str">
        <f t="shared" si="44"/>
        <v>Error?</v>
      </c>
    </row>
    <row r="2914" spans="1:4" x14ac:dyDescent="0.2">
      <c r="A2914" s="5">
        <v>2853</v>
      </c>
      <c r="B2914" s="138">
        <f>'Assets-Liab 5-6'!L33</f>
        <v>202505</v>
      </c>
      <c r="D2914" s="2" t="str">
        <f t="shared" si="44"/>
        <v>Error?</v>
      </c>
    </row>
    <row r="2915" spans="1:4" x14ac:dyDescent="0.2">
      <c r="A2915" s="10">
        <v>2854</v>
      </c>
      <c r="D2915" s="2" t="str">
        <f t="shared" si="44"/>
        <v>OK</v>
      </c>
    </row>
    <row r="2916" spans="1:4" x14ac:dyDescent="0.2">
      <c r="A2916" s="5">
        <v>2855</v>
      </c>
      <c r="B2916" s="138">
        <f>'Assets-Liab 5-6'!L34</f>
        <v>202505</v>
      </c>
      <c r="C2916" s="2" t="s">
        <v>594</v>
      </c>
      <c r="D2916" s="2" t="str">
        <f t="shared" si="44"/>
        <v>Error?</v>
      </c>
    </row>
    <row r="2917" spans="1:4" x14ac:dyDescent="0.2">
      <c r="A2917" s="5">
        <v>2856</v>
      </c>
      <c r="B2917" s="138">
        <f>'Assets-Liab 5-6'!L41</f>
        <v>202505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16541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16541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354403</v>
      </c>
      <c r="D3055" s="2" t="str">
        <f t="shared" si="46"/>
        <v>Error?</v>
      </c>
    </row>
    <row r="3056" spans="1:4" x14ac:dyDescent="0.2">
      <c r="A3056" s="5">
        <v>2995</v>
      </c>
      <c r="B3056" s="138">
        <f>'Expenditures 15-22'!D10</f>
        <v>15706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370109</v>
      </c>
      <c r="C3062" s="2" t="s">
        <v>594</v>
      </c>
      <c r="D3062" s="2" t="str">
        <f t="shared" si="46"/>
        <v>Error?</v>
      </c>
    </row>
    <row r="3063" spans="1:4" x14ac:dyDescent="0.2">
      <c r="A3063" s="10">
        <v>3002</v>
      </c>
      <c r="D3063" s="2" t="str">
        <f t="shared" si="46"/>
        <v>OK</v>
      </c>
    </row>
    <row r="3064" spans="1:4" x14ac:dyDescent="0.2">
      <c r="A3064" s="5">
        <v>3003</v>
      </c>
      <c r="B3064" s="138">
        <f>'Expenditures 15-22'!D219</f>
        <v>31850</v>
      </c>
      <c r="D3064" s="2" t="str">
        <f t="shared" si="46"/>
        <v>Error?</v>
      </c>
    </row>
    <row r="3065" spans="1:4" x14ac:dyDescent="0.2">
      <c r="A3065" s="5">
        <v>3004</v>
      </c>
      <c r="B3065" s="138">
        <f>'Expenditures 15-22'!K219</f>
        <v>31850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342</v>
      </c>
      <c r="C3225" s="2" t="s">
        <v>594</v>
      </c>
      <c r="D3225" s="2" t="str">
        <f t="shared" si="49"/>
        <v>Error?</v>
      </c>
    </row>
    <row r="3226" spans="1:4" x14ac:dyDescent="0.2">
      <c r="A3226" s="5">
        <v>3165</v>
      </c>
      <c r="B3226" s="138">
        <f>'Acct Summary 7-8'!I8</f>
        <v>342</v>
      </c>
      <c r="C3226" s="2" t="s">
        <v>594</v>
      </c>
      <c r="D3226" s="2" t="str">
        <f t="shared" si="49"/>
        <v>Error?</v>
      </c>
    </row>
    <row r="3227" spans="1:4" x14ac:dyDescent="0.2">
      <c r="A3227" s="5">
        <v>3166</v>
      </c>
      <c r="B3227" s="138">
        <f>'Acct Summary 7-8'!I20</f>
        <v>342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142992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-53624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-8482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65573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342</v>
      </c>
      <c r="C3320" s="2" t="s">
        <v>594</v>
      </c>
      <c r="D3320" s="2" t="str">
        <f t="shared" si="50"/>
        <v>Error?</v>
      </c>
    </row>
    <row r="3321" spans="1:4" x14ac:dyDescent="0.2">
      <c r="A3321" s="5">
        <v>3260</v>
      </c>
      <c r="B3321" s="138">
        <f>'Acct Summary 7-8'!I79</f>
        <v>751419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751761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1862663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151354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222490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18488</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2238093</v>
      </c>
      <c r="C3380" s="2" t="s">
        <v>594</v>
      </c>
      <c r="D3380" s="2" t="str">
        <f t="shared" si="51"/>
        <v>Error?</v>
      </c>
    </row>
    <row r="3381" spans="1:4" x14ac:dyDescent="0.2">
      <c r="A3381" s="5">
        <v>3320</v>
      </c>
      <c r="B3381" s="138">
        <f>'Expenditures 15-22'!K19</f>
        <v>18488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121994</v>
      </c>
      <c r="D3387" s="2" t="str">
        <f t="shared" si="51"/>
        <v>Error?</v>
      </c>
    </row>
    <row r="3388" spans="1:4" x14ac:dyDescent="0.2">
      <c r="A3388" s="5">
        <v>3327</v>
      </c>
      <c r="B3388" s="138">
        <f>'Expenditures 15-22'!D217</f>
        <v>122905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121994</v>
      </c>
      <c r="C3390" s="2" t="s">
        <v>594</v>
      </c>
      <c r="D3390" s="2" t="str">
        <f t="shared" si="51"/>
        <v>Error?</v>
      </c>
    </row>
    <row r="3391" spans="1:4" x14ac:dyDescent="0.2">
      <c r="A3391" s="5">
        <v>3330</v>
      </c>
      <c r="B3391" s="138">
        <f>'Expenditures 15-22'!K217</f>
        <v>122905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2393081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15492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63967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751761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202505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223062</v>
      </c>
      <c r="C3446" s="2" t="s">
        <v>594</v>
      </c>
      <c r="D3446" s="2" t="str">
        <f t="shared" si="52"/>
        <v>Error?</v>
      </c>
    </row>
    <row r="3447" spans="1:4" x14ac:dyDescent="0.2">
      <c r="A3447" s="5">
        <v>3386</v>
      </c>
      <c r="B3447" s="138">
        <f>'Tax Sched 23'!D16</f>
        <v>145673</v>
      </c>
      <c r="C3447" s="2" t="s">
        <v>594</v>
      </c>
      <c r="D3447" s="2" t="str">
        <f t="shared" si="52"/>
        <v>Error?</v>
      </c>
    </row>
    <row r="3448" spans="1:4" x14ac:dyDescent="0.2">
      <c r="A3448" s="5">
        <v>3387</v>
      </c>
      <c r="B3448" s="138">
        <f>'Tax Sched 23'!C16</f>
        <v>77389</v>
      </c>
      <c r="D3448" s="2" t="str">
        <f t="shared" si="52"/>
        <v>Error?</v>
      </c>
    </row>
    <row r="3449" spans="1:4" x14ac:dyDescent="0.2">
      <c r="A3449" s="5">
        <v>3388</v>
      </c>
      <c r="B3449" s="138">
        <f>'Tax Sched 23'!F16</f>
        <v>127802</v>
      </c>
      <c r="C3449" s="2" t="s">
        <v>594</v>
      </c>
      <c r="D3449" s="2" t="str">
        <f t="shared" si="52"/>
        <v>Error?</v>
      </c>
    </row>
    <row r="3450" spans="1:4" x14ac:dyDescent="0.2">
      <c r="A3450" s="5">
        <v>3389</v>
      </c>
      <c r="B3450" s="138">
        <f>'Tax Sched 23'!E16</f>
        <v>205191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6245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6245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6245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819145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819145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819145</v>
      </c>
      <c r="D3567" s="2" t="str">
        <f t="shared" si="54"/>
        <v>Error?</v>
      </c>
    </row>
    <row r="3568" spans="1:4" x14ac:dyDescent="0.2">
      <c r="A3568" s="5">
        <v>3507</v>
      </c>
      <c r="B3568" s="138">
        <f>'Assets-Liab 5-6'!K41</f>
        <v>819145</v>
      </c>
      <c r="C3568" s="2" t="s">
        <v>594</v>
      </c>
      <c r="D3568" s="2" t="str">
        <f t="shared" si="54"/>
        <v>Error?</v>
      </c>
    </row>
    <row r="3569" spans="1:4" x14ac:dyDescent="0.2">
      <c r="A3569" s="5">
        <v>3508</v>
      </c>
      <c r="B3569" s="138">
        <f>'Acct Summary 7-8'!K4</f>
        <v>124203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124203</v>
      </c>
      <c r="C3571" s="2" t="s">
        <v>594</v>
      </c>
      <c r="D3571" s="2" t="str">
        <f t="shared" si="54"/>
        <v>Error?</v>
      </c>
    </row>
    <row r="3572" spans="1:4" x14ac:dyDescent="0.2">
      <c r="A3572" s="5">
        <v>3511</v>
      </c>
      <c r="B3572" s="138">
        <f>'Acct Summary 7-8'!K13</f>
        <v>61302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61302</v>
      </c>
      <c r="C3575" s="2" t="s">
        <v>594</v>
      </c>
      <c r="D3575" s="2" t="str">
        <f t="shared" si="54"/>
        <v>Error?</v>
      </c>
    </row>
    <row r="3576" spans="1:4" x14ac:dyDescent="0.2">
      <c r="A3576" s="5">
        <v>3515</v>
      </c>
      <c r="B3576" s="138">
        <f>'Acct Summary 7-8'!K20</f>
        <v>62901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62901</v>
      </c>
      <c r="C3588" s="2" t="s">
        <v>594</v>
      </c>
      <c r="D3588" s="2" t="str">
        <f t="shared" si="55"/>
        <v>Error?</v>
      </c>
    </row>
    <row r="3589" spans="1:4" x14ac:dyDescent="0.2">
      <c r="A3589" s="5">
        <v>3528</v>
      </c>
      <c r="B3589" s="138">
        <f>'Acct Summary 7-8'!K79</f>
        <v>756244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819145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60852</v>
      </c>
      <c r="D3632" s="2" t="str">
        <f t="shared" si="55"/>
        <v>Error?</v>
      </c>
    </row>
    <row r="3633" spans="1:4" x14ac:dyDescent="0.2">
      <c r="A3633" s="5">
        <v>3572</v>
      </c>
      <c r="B3633" s="138">
        <f>'Expenditures 15-22'!E350</f>
        <v>60852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60852</v>
      </c>
      <c r="C3635" s="2" t="s">
        <v>594</v>
      </c>
      <c r="D3635" s="2" t="str">
        <f t="shared" si="55"/>
        <v>Error?</v>
      </c>
    </row>
    <row r="3636" spans="1:4" x14ac:dyDescent="0.2">
      <c r="A3636" s="5">
        <v>3575</v>
      </c>
      <c r="B3636" s="138">
        <f>'Expenditures 15-22'!E367</f>
        <v>60852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450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450</v>
      </c>
      <c r="C3649" s="2" t="s">
        <v>594</v>
      </c>
      <c r="D3649" s="2" t="str">
        <f t="shared" si="56"/>
        <v>Error?</v>
      </c>
    </row>
    <row r="3650" spans="1:4" x14ac:dyDescent="0.2">
      <c r="A3650" s="5">
        <v>3589</v>
      </c>
      <c r="B3650" s="138">
        <f>'Expenditures 15-22'!G367</f>
        <v>450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450</v>
      </c>
      <c r="C3668" s="2" t="s">
        <v>594</v>
      </c>
      <c r="D3668" s="2" t="str">
        <f t="shared" si="56"/>
        <v>Error?</v>
      </c>
    </row>
    <row r="3669" spans="1:4" x14ac:dyDescent="0.2">
      <c r="A3669" s="5">
        <v>3608</v>
      </c>
      <c r="B3669" s="138">
        <f>'Expenditures 15-22'!K349</f>
        <v>60852</v>
      </c>
      <c r="C3669" s="2" t="s">
        <v>594</v>
      </c>
      <c r="D3669" s="2" t="str">
        <f t="shared" si="56"/>
        <v>Error?</v>
      </c>
    </row>
    <row r="3670" spans="1:4" x14ac:dyDescent="0.2">
      <c r="A3670" s="5">
        <v>3609</v>
      </c>
      <c r="B3670" s="138">
        <f>'Expenditures 15-22'!K350</f>
        <v>61302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61302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61302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62901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308</v>
      </c>
      <c r="C3725" s="2" t="s">
        <v>594</v>
      </c>
      <c r="D3725" s="2" t="str">
        <f t="shared" si="57"/>
        <v>Error?</v>
      </c>
    </row>
    <row r="3726" spans="1:4" x14ac:dyDescent="0.2">
      <c r="A3726" s="5">
        <v>3665</v>
      </c>
      <c r="B3726" s="138">
        <f>'Tax Sched 23'!D13</f>
        <v>189</v>
      </c>
      <c r="C3726" s="2" t="s">
        <v>594</v>
      </c>
      <c r="D3726" s="2" t="str">
        <f t="shared" si="57"/>
        <v>Error?</v>
      </c>
    </row>
    <row r="3727" spans="1:4" x14ac:dyDescent="0.2">
      <c r="A3727" s="5">
        <v>3666</v>
      </c>
      <c r="B3727" s="138">
        <f>'Tax Sched 23'!C13</f>
        <v>119</v>
      </c>
      <c r="D3727" s="2" t="str">
        <f t="shared" si="57"/>
        <v>Error?</v>
      </c>
    </row>
    <row r="3728" spans="1:4" x14ac:dyDescent="0.2">
      <c r="A3728" s="5">
        <v>3667</v>
      </c>
      <c r="B3728" s="138">
        <f>'Tax Sched 23'!F13</f>
        <v>202</v>
      </c>
      <c r="C3728" s="2" t="s">
        <v>594</v>
      </c>
      <c r="D3728" s="2" t="str">
        <f t="shared" si="57"/>
        <v>Error?</v>
      </c>
    </row>
    <row r="3729" spans="1:4" x14ac:dyDescent="0.2">
      <c r="A3729" s="5">
        <v>3668</v>
      </c>
      <c r="B3729" s="138">
        <f>'Tax Sched 23'!E13</f>
        <v>321</v>
      </c>
      <c r="D3729" s="2" t="str">
        <f t="shared" si="57"/>
        <v>Error?</v>
      </c>
    </row>
    <row r="3730" spans="1:4" x14ac:dyDescent="0.2">
      <c r="A3730" s="5">
        <v>3669</v>
      </c>
      <c r="B3730" s="138">
        <f>'ICR Computation 30'!E10</f>
        <v>387104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56604</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-56604</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-46927</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-103531</v>
      </c>
      <c r="D4111" s="2" t="str">
        <f t="shared" si="63"/>
        <v>Error?</v>
      </c>
    </row>
    <row r="4112" spans="1:4" x14ac:dyDescent="0.2">
      <c r="A4112" s="10">
        <v>4051</v>
      </c>
      <c r="D4112" s="2" t="str">
        <f t="shared" si="63"/>
        <v>OK</v>
      </c>
    </row>
    <row r="4113" spans="1:4" x14ac:dyDescent="0.2">
      <c r="A4113" s="5">
        <v>4052</v>
      </c>
      <c r="B4113" s="138">
        <f>'Acct Summary 7-8'!C9</f>
        <v>1385466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22053413</v>
      </c>
      <c r="C4122" s="2" t="s">
        <v>594</v>
      </c>
      <c r="D4122" s="2" t="str">
        <f t="shared" si="63"/>
        <v>Error?</v>
      </c>
    </row>
    <row r="4123" spans="1:4" x14ac:dyDescent="0.2">
      <c r="A4123" s="5">
        <v>4062</v>
      </c>
      <c r="B4123" s="138">
        <f>'Acct Summary 7-8'!D10</f>
        <v>1747626</v>
      </c>
      <c r="C4123" s="2" t="s">
        <v>594</v>
      </c>
      <c r="D4123" s="2" t="str">
        <f t="shared" si="63"/>
        <v>Error?</v>
      </c>
    </row>
    <row r="4124" spans="1:4" x14ac:dyDescent="0.2">
      <c r="A4124" s="5">
        <v>4063</v>
      </c>
      <c r="B4124" s="138">
        <f>'Acct Summary 7-8'!E10</f>
        <v>1331295</v>
      </c>
      <c r="C4124" s="2" t="s">
        <v>594</v>
      </c>
      <c r="D4124" s="2" t="str">
        <f t="shared" si="63"/>
        <v>Error?</v>
      </c>
    </row>
    <row r="4125" spans="1:4" x14ac:dyDescent="0.2">
      <c r="A4125" s="5">
        <v>4064</v>
      </c>
      <c r="B4125" s="138">
        <f>'Acct Summary 7-8'!F10</f>
        <v>1028542</v>
      </c>
      <c r="C4125" s="2" t="s">
        <v>594</v>
      </c>
      <c r="D4125" s="2" t="str">
        <f t="shared" si="63"/>
        <v>Error?</v>
      </c>
    </row>
    <row r="4126" spans="1:4" x14ac:dyDescent="0.2">
      <c r="A4126" s="5">
        <v>4065</v>
      </c>
      <c r="B4126" s="138">
        <f>'Acct Summary 7-8'!G10</f>
        <v>730237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342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124203</v>
      </c>
      <c r="C4130" s="2" t="s">
        <v>594</v>
      </c>
      <c r="D4130" s="2" t="str">
        <f t="shared" si="63"/>
        <v>Error?</v>
      </c>
    </row>
    <row r="4131" spans="1:4" x14ac:dyDescent="0.2">
      <c r="A4131" s="5">
        <v>4070</v>
      </c>
      <c r="B4131" s="138">
        <f>'Acct Summary 7-8'!C18</f>
        <v>1385466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21910421</v>
      </c>
      <c r="C4136" s="2" t="s">
        <v>594</v>
      </c>
      <c r="D4136" s="2" t="str">
        <f t="shared" si="63"/>
        <v>Error?</v>
      </c>
    </row>
    <row r="4137" spans="1:4" x14ac:dyDescent="0.2">
      <c r="A4137" s="5">
        <v>4076</v>
      </c>
      <c r="B4137" s="138">
        <f>'Acct Summary 7-8'!D19</f>
        <v>1801250</v>
      </c>
      <c r="C4137" s="2" t="s">
        <v>594</v>
      </c>
      <c r="D4137" s="2" t="str">
        <f t="shared" si="63"/>
        <v>Error?</v>
      </c>
    </row>
    <row r="4138" spans="1:4" x14ac:dyDescent="0.2">
      <c r="A4138" s="5">
        <v>4077</v>
      </c>
      <c r="B4138" s="138">
        <f>'Acct Summary 7-8'!E19</f>
        <v>1265722</v>
      </c>
      <c r="C4138" s="2" t="s">
        <v>594</v>
      </c>
      <c r="D4138" s="2" t="str">
        <f t="shared" si="63"/>
        <v>Error?</v>
      </c>
    </row>
    <row r="4139" spans="1:4" x14ac:dyDescent="0.2">
      <c r="A4139" s="5">
        <v>4078</v>
      </c>
      <c r="B4139" s="138">
        <f>'Acct Summary 7-8'!F19</f>
        <v>1037024</v>
      </c>
      <c r="C4139" s="2" t="s">
        <v>594</v>
      </c>
      <c r="D4139" s="2" t="str">
        <f t="shared" si="63"/>
        <v>Error?</v>
      </c>
    </row>
    <row r="4140" spans="1:4" x14ac:dyDescent="0.2">
      <c r="A4140" s="5">
        <v>4079</v>
      </c>
      <c r="B4140" s="138">
        <f>'Acct Summary 7-8'!G19</f>
        <v>730238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61302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1496918</v>
      </c>
      <c r="C4171" s="2" t="s">
        <v>594</v>
      </c>
      <c r="D4171" s="2" t="str">
        <f t="shared" si="64"/>
        <v>Error?</v>
      </c>
    </row>
    <row r="4172" spans="1:4" x14ac:dyDescent="0.2">
      <c r="A4172" s="5">
        <v>4111</v>
      </c>
      <c r="B4172" s="138">
        <f>'Short-Term Long-Term Debt 24'!J49</f>
        <v>1496918</v>
      </c>
      <c r="C4172" s="2" t="s">
        <v>594</v>
      </c>
      <c r="D4172" s="2" t="str">
        <f t="shared" si="64"/>
        <v>Error?</v>
      </c>
    </row>
    <row r="4173" spans="1:4" x14ac:dyDescent="0.2">
      <c r="A4173" s="5">
        <v>4112</v>
      </c>
      <c r="B4173" s="138">
        <f>'Short-Term Long-Term Debt 24'!H49</f>
        <v>1142791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4055.0000000000005</v>
      </c>
      <c r="C4265" s="2" t="s">
        <v>594</v>
      </c>
      <c r="D4265" s="2" t="str">
        <f t="shared" si="65"/>
        <v>Error?</v>
      </c>
      <c r="E4265" s="128"/>
    </row>
    <row r="4266" spans="1:5" x14ac:dyDescent="0.2">
      <c r="A4266" s="12">
        <v>4205</v>
      </c>
      <c r="B4266" s="138">
        <f>('FP Info 3'!F10)*100000</f>
        <v>560</v>
      </c>
      <c r="C4266" s="2" t="s">
        <v>594</v>
      </c>
      <c r="D4266" s="2" t="str">
        <f t="shared" si="65"/>
        <v>Error?</v>
      </c>
      <c r="E4266" s="128"/>
    </row>
    <row r="4267" spans="1:5" x14ac:dyDescent="0.2">
      <c r="A4267" s="12">
        <v>4206</v>
      </c>
      <c r="B4267" s="138">
        <f>('FP Info 3'!H10)*100000</f>
        <v>50</v>
      </c>
      <c r="C4267" s="2" t="s">
        <v>594</v>
      </c>
      <c r="D4267" s="2" t="str">
        <f t="shared" si="65"/>
        <v>Error?</v>
      </c>
      <c r="E4267" s="128"/>
    </row>
    <row r="4268" spans="1:5" x14ac:dyDescent="0.2">
      <c r="A4268" s="12">
        <v>4207</v>
      </c>
      <c r="B4268" s="138">
        <f>('FP Info 3'!J10)*100000</f>
        <v>4665</v>
      </c>
      <c r="C4268" s="2" t="s">
        <v>594</v>
      </c>
      <c r="D4268" s="2" t="str">
        <f t="shared" si="65"/>
        <v>Error?</v>
      </c>
    </row>
    <row r="4269" spans="1:5" x14ac:dyDescent="0.2">
      <c r="A4269" s="12">
        <v>4208</v>
      </c>
      <c r="B4269" s="138">
        <f>'FP Info 3'!J16</f>
        <v>305251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44067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232669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6363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65198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2800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291471427</v>
      </c>
      <c r="D4995" s="2" t="str">
        <f t="shared" si="77"/>
        <v>Error?</v>
      </c>
    </row>
    <row r="4996" spans="1:4" x14ac:dyDescent="0.2">
      <c r="A4996" s="12">
        <v>4935</v>
      </c>
      <c r="B4996" s="138">
        <f>'FP Info 3'!H31</f>
        <v>40223056.926000006</v>
      </c>
      <c r="D4996" s="2" t="str">
        <f t="shared" si="77"/>
        <v>Error?</v>
      </c>
    </row>
    <row r="4997" spans="1:4" x14ac:dyDescent="0.2">
      <c r="A4997" s="12">
        <v>4936</v>
      </c>
      <c r="B4997" s="138">
        <f>'FP Info 3'!H37</f>
        <v>1496918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308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11380618</v>
      </c>
      <c r="D5061" s="2" t="str">
        <f t="shared" si="78"/>
        <v>Error?</v>
      </c>
    </row>
    <row r="5062" spans="1:4" x14ac:dyDescent="0.2">
      <c r="A5062" s="10">
        <v>5001</v>
      </c>
      <c r="D5062" s="2" t="str">
        <f t="shared" si="78"/>
        <v>OK</v>
      </c>
    </row>
    <row r="5063" spans="1:4" x14ac:dyDescent="0.2">
      <c r="A5063" s="5">
        <v>5002</v>
      </c>
      <c r="B5063" s="138">
        <f>'Revenues 9-14'!C7</f>
        <v>549283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11930209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307408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307408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7971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7971</v>
      </c>
      <c r="C5090" s="2" t="s">
        <v>594</v>
      </c>
      <c r="D5090" s="2" t="str">
        <f t="shared" si="78"/>
        <v>Error?</v>
      </c>
    </row>
    <row r="5091" spans="1:4" x14ac:dyDescent="0.2">
      <c r="A5091" s="5">
        <v>5030</v>
      </c>
      <c r="B5091" s="138">
        <f>'Revenues 9-14'!C70</f>
        <v>15326</v>
      </c>
      <c r="D5091" s="2" t="str">
        <f t="shared" si="78"/>
        <v>Error?</v>
      </c>
    </row>
    <row r="5092" spans="1:4" x14ac:dyDescent="0.2">
      <c r="A5092" s="5">
        <v>5031</v>
      </c>
      <c r="B5092" s="138">
        <f>'Revenues 9-14'!C71</f>
        <v>73322</v>
      </c>
      <c r="D5092" s="2" t="str">
        <f t="shared" si="78"/>
        <v>Error?</v>
      </c>
    </row>
    <row r="5093" spans="1:4" x14ac:dyDescent="0.2">
      <c r="A5093" s="5">
        <v>5032</v>
      </c>
      <c r="B5093" s="138">
        <f>'Revenues 9-14'!C72</f>
        <v>2661</v>
      </c>
      <c r="D5093" s="2" t="str">
        <f t="shared" si="78"/>
        <v>Error?</v>
      </c>
    </row>
    <row r="5094" spans="1:4" x14ac:dyDescent="0.2">
      <c r="A5094" s="5">
        <v>5033</v>
      </c>
      <c r="B5094" s="138">
        <f>'Revenues 9-14'!C73</f>
        <v>3988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278698</v>
      </c>
      <c r="C5096" s="2" t="s">
        <v>594</v>
      </c>
      <c r="D5096" s="2" t="str">
        <f t="shared" si="78"/>
        <v>Error?</v>
      </c>
    </row>
    <row r="5097" spans="1:4" x14ac:dyDescent="0.2">
      <c r="A5097" s="5">
        <v>5036</v>
      </c>
      <c r="B5097" s="138">
        <f>'Revenues 9-14'!C77</f>
        <v>18806</v>
      </c>
      <c r="D5097" s="2" t="str">
        <f t="shared" si="78"/>
        <v>Error?</v>
      </c>
    </row>
    <row r="5098" spans="1:4" x14ac:dyDescent="0.2">
      <c r="A5098" s="5">
        <v>5037</v>
      </c>
      <c r="B5098" s="138">
        <f>'Revenues 9-14'!C78</f>
        <v>6857</v>
      </c>
      <c r="D5098" s="2" t="str">
        <f t="shared" si="78"/>
        <v>Error?</v>
      </c>
    </row>
    <row r="5099" spans="1:4" x14ac:dyDescent="0.2">
      <c r="A5099" s="5">
        <v>5038</v>
      </c>
      <c r="B5099" s="138">
        <f>'Revenues 9-14'!C79</f>
        <v>80309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105972</v>
      </c>
      <c r="C5102" s="2" t="s">
        <v>594</v>
      </c>
      <c r="D5102" s="2" t="str">
        <f t="shared" si="78"/>
        <v>Error?</v>
      </c>
    </row>
    <row r="5103" spans="1:4" x14ac:dyDescent="0.2">
      <c r="A5103" s="5">
        <v>5042</v>
      </c>
      <c r="B5103" s="138">
        <f>'Revenues 9-14'!C84</f>
        <v>202778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202778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6654</v>
      </c>
      <c r="D5115" s="2" t="str">
        <f t="shared" si="78"/>
        <v>Error?</v>
      </c>
    </row>
    <row r="5116" spans="1:4" x14ac:dyDescent="0.2">
      <c r="A5116" s="5">
        <v>5055</v>
      </c>
      <c r="B5116" s="138">
        <f>'Revenues 9-14'!C99</f>
        <v>1003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41388</v>
      </c>
      <c r="D5119" s="2" t="str">
        <f t="shared" ref="D5119:D5182" si="79">IF(ISBLANK(B5119),"OK",IF(A5119-B5119=0,"OK","Error?"))</f>
        <v>Error?</v>
      </c>
    </row>
    <row r="5120" spans="1:4" x14ac:dyDescent="0.2">
      <c r="A5120" s="5">
        <v>5059</v>
      </c>
      <c r="B5120" s="138">
        <f>'Revenues 9-14'!C108</f>
        <v>75193</v>
      </c>
      <c r="C5120" s="2" t="s">
        <v>594</v>
      </c>
      <c r="D5120" s="2" t="str">
        <f t="shared" si="79"/>
        <v>Error?</v>
      </c>
    </row>
    <row r="5121" spans="1:4" x14ac:dyDescent="0.2">
      <c r="A5121" s="5">
        <v>5060</v>
      </c>
      <c r="B5121" s="138">
        <f>'Revenues 9-14'!C109</f>
        <v>12908229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4948750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4948750</v>
      </c>
      <c r="C5132" s="2" t="s">
        <v>594</v>
      </c>
      <c r="D5132" s="2" t="str">
        <f t="shared" si="79"/>
        <v>Error?</v>
      </c>
    </row>
    <row r="5133" spans="1:4" x14ac:dyDescent="0.2">
      <c r="A5133" s="5">
        <v>5072</v>
      </c>
      <c r="B5133" s="138">
        <f>'Revenues 9-14'!C124</f>
        <v>433510</v>
      </c>
      <c r="D5133" s="2" t="str">
        <f t="shared" si="79"/>
        <v>Error?</v>
      </c>
    </row>
    <row r="5134" spans="1:4" x14ac:dyDescent="0.2">
      <c r="A5134" s="5">
        <v>5073</v>
      </c>
      <c r="B5134" s="138">
        <f>'Revenues 9-14'!C125</f>
        <v>137752</v>
      </c>
      <c r="D5134" s="2" t="str">
        <f t="shared" si="79"/>
        <v>Error?</v>
      </c>
    </row>
    <row r="5135" spans="1:4" x14ac:dyDescent="0.2">
      <c r="A5135" s="5">
        <v>5074</v>
      </c>
      <c r="B5135" s="138">
        <f>'Revenues 9-14'!C126</f>
        <v>228127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785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800174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17470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17470</v>
      </c>
      <c r="C5161" s="2" t="s">
        <v>594</v>
      </c>
      <c r="D5161" s="2" t="str">
        <f t="shared" si="79"/>
        <v>Error?</v>
      </c>
    </row>
    <row r="5162" spans="1:4" x14ac:dyDescent="0.2">
      <c r="A5162" s="10">
        <v>5101</v>
      </c>
      <c r="D5162" s="2" t="str">
        <f t="shared" si="79"/>
        <v>OK</v>
      </c>
    </row>
    <row r="5163" spans="1:4" x14ac:dyDescent="0.2">
      <c r="A5163" s="5">
        <v>5102</v>
      </c>
      <c r="B5163" s="138">
        <f>'Revenues 9-14'!C142</f>
        <v>27096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27096</v>
      </c>
      <c r="C5165" s="2" t="s">
        <v>594</v>
      </c>
      <c r="D5165" s="2" t="str">
        <f t="shared" si="79"/>
        <v>Error?</v>
      </c>
    </row>
    <row r="5166" spans="1:4" x14ac:dyDescent="0.2">
      <c r="A5166" s="10">
        <v>5105</v>
      </c>
      <c r="D5166" s="2" t="str">
        <f t="shared" si="79"/>
        <v>OK</v>
      </c>
    </row>
    <row r="5167" spans="1:4" x14ac:dyDescent="0.2">
      <c r="A5167" s="5">
        <v>5106</v>
      </c>
      <c r="B5167" s="138">
        <f>'Revenues 9-14'!C145</f>
        <v>5305</v>
      </c>
      <c r="D5167" s="2" t="str">
        <f t="shared" si="79"/>
        <v>Error?</v>
      </c>
    </row>
    <row r="5168" spans="1:4" x14ac:dyDescent="0.2">
      <c r="A5168" s="5">
        <v>5107</v>
      </c>
      <c r="B5168" s="138">
        <f>'Revenues 9-14'!C147</f>
        <v>25465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336032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1214342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6163092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305153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81951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387104</v>
      </c>
      <c r="C5246" s="2" t="s">
        <v>594</v>
      </c>
      <c r="D5246" s="2" t="str">
        <f t="shared" si="80"/>
        <v>Error?</v>
      </c>
    </row>
    <row r="5247" spans="1:4" x14ac:dyDescent="0.2">
      <c r="A5247" s="5">
        <v>5186</v>
      </c>
      <c r="B5247" s="138">
        <f>'Revenues 9-14'!C203</f>
        <v>282188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6363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282188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9934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459152</v>
      </c>
      <c r="D5278" s="2" t="str">
        <f t="shared" si="81"/>
        <v>Error?</v>
      </c>
    </row>
    <row r="5279" spans="1:4" x14ac:dyDescent="0.2">
      <c r="A5279" s="5">
        <v>5218</v>
      </c>
      <c r="B5279" s="138">
        <f>'Revenues 9-14'!C221</f>
        <v>93916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563002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16035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16035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1596626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1596626</v>
      </c>
      <c r="C5326" s="2" t="s">
        <v>594</v>
      </c>
      <c r="D5326" s="2" t="str">
        <f t="shared" si="82"/>
        <v>Error?</v>
      </c>
    </row>
    <row r="5327" spans="1:4" x14ac:dyDescent="0.2">
      <c r="A5327" s="5">
        <v>5266</v>
      </c>
      <c r="B5327" s="138">
        <f>'Revenues 9-14'!C275</f>
        <v>20667947</v>
      </c>
      <c r="C5327" s="2" t="s">
        <v>594</v>
      </c>
      <c r="D5327" s="2" t="str">
        <f t="shared" si="82"/>
        <v>Error?</v>
      </c>
    </row>
    <row r="5328" spans="1:4" x14ac:dyDescent="0.2">
      <c r="A5328" s="5">
        <v>5267</v>
      </c>
      <c r="B5328" s="138">
        <f>'Revenues 9-14'!D5</f>
        <v>1696073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1696073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898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17278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14974</v>
      </c>
      <c r="D5354" s="2" t="str">
        <f t="shared" si="82"/>
        <v>Error?</v>
      </c>
    </row>
    <row r="5355" spans="1:4" x14ac:dyDescent="0.2">
      <c r="A5355" s="5">
        <v>5294</v>
      </c>
      <c r="B5355" s="138">
        <f>'Revenues 9-14'!D108</f>
        <v>32252</v>
      </c>
      <c r="C5355" s="2" t="s">
        <v>594</v>
      </c>
      <c r="D5355" s="2" t="str">
        <f t="shared" si="82"/>
        <v>Error?</v>
      </c>
    </row>
    <row r="5356" spans="1:4" x14ac:dyDescent="0.2">
      <c r="A5356" s="5">
        <v>5295</v>
      </c>
      <c r="B5356" s="138">
        <f>'Revenues 9-14'!D109</f>
        <v>1729223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18403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18403</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18403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1747626</v>
      </c>
      <c r="C5508" s="2" t="s">
        <v>594</v>
      </c>
      <c r="D5508" s="2" t="str">
        <f t="shared" si="85"/>
        <v>Error?</v>
      </c>
    </row>
    <row r="5509" spans="1:4" x14ac:dyDescent="0.2">
      <c r="A5509" s="5">
        <v>5448</v>
      </c>
      <c r="B5509" s="138">
        <f>'Revenues 9-14'!E5</f>
        <v>1002405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1002405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4356</v>
      </c>
      <c r="D5525" s="2" t="str">
        <f t="shared" si="85"/>
        <v>Error?</v>
      </c>
    </row>
    <row r="5526" spans="1:4" x14ac:dyDescent="0.2">
      <c r="A5526" s="5">
        <v>5465</v>
      </c>
      <c r="B5526" s="138">
        <f>'Revenues 9-14'!E108</f>
        <v>4356</v>
      </c>
      <c r="C5526" s="2" t="s">
        <v>594</v>
      </c>
      <c r="D5526" s="2" t="str">
        <f t="shared" si="85"/>
        <v>Error?</v>
      </c>
    </row>
    <row r="5527" spans="1:4" x14ac:dyDescent="0.2">
      <c r="A5527" s="5">
        <v>5466</v>
      </c>
      <c r="B5527" s="138">
        <f>'Revenues 9-14'!E109</f>
        <v>1007380</v>
      </c>
      <c r="C5527" s="2" t="s">
        <v>594</v>
      </c>
      <c r="D5527" s="2" t="str">
        <f t="shared" si="85"/>
        <v>Error?</v>
      </c>
    </row>
    <row r="5528" spans="1:4" x14ac:dyDescent="0.2">
      <c r="A5528" s="5">
        <v>5467</v>
      </c>
      <c r="B5528" s="138">
        <f>'Revenues 9-14'!E117</f>
        <v>323915</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323915</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323915</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1331295</v>
      </c>
      <c r="C5552" s="2" t="s">
        <v>594</v>
      </c>
      <c r="D5552" s="2" t="str">
        <f t="shared" si="85"/>
        <v>Error?</v>
      </c>
    </row>
    <row r="5553" spans="1:4" x14ac:dyDescent="0.2">
      <c r="A5553" s="5">
        <v>5492</v>
      </c>
      <c r="B5553" s="138">
        <f>'Revenues 9-14'!F5</f>
        <v>112202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112202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5894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5894</v>
      </c>
      <c r="C5579" s="2" t="s">
        <v>594</v>
      </c>
      <c r="D5579" s="2" t="str">
        <f t="shared" si="86"/>
        <v>Error?</v>
      </c>
    </row>
    <row r="5580" spans="1:4" x14ac:dyDescent="0.2">
      <c r="A5580" s="5">
        <v>5519</v>
      </c>
      <c r="B5580" s="138">
        <f>'Revenues 9-14'!F65</f>
        <v>195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12128</v>
      </c>
      <c r="D5586" s="2" t="str">
        <f t="shared" si="86"/>
        <v>Error?</v>
      </c>
    </row>
    <row r="5587" spans="1:4" x14ac:dyDescent="0.2">
      <c r="A5587" s="5">
        <v>5526</v>
      </c>
      <c r="B5587" s="138">
        <f>'Revenues 9-14'!F108</f>
        <v>12128</v>
      </c>
      <c r="C5587" s="2" t="s">
        <v>594</v>
      </c>
      <c r="D5587" s="2" t="str">
        <f t="shared" si="86"/>
        <v>Error?</v>
      </c>
    </row>
    <row r="5588" spans="1:4" x14ac:dyDescent="0.2">
      <c r="A5588" s="5">
        <v>5527</v>
      </c>
      <c r="B5588" s="138">
        <f>'Revenues 9-14'!F109</f>
        <v>130419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270938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270938</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155336</v>
      </c>
      <c r="D5615" s="2" t="str">
        <f t="shared" si="86"/>
        <v>Error?</v>
      </c>
    </row>
    <row r="5616" spans="1:4" x14ac:dyDescent="0.2">
      <c r="A5616" s="10">
        <v>5555</v>
      </c>
      <c r="D5616" s="2" t="str">
        <f t="shared" si="86"/>
        <v>OK</v>
      </c>
    </row>
    <row r="5617" spans="1:4" x14ac:dyDescent="0.2">
      <c r="A5617" s="5">
        <v>5556</v>
      </c>
      <c r="B5617" s="138">
        <f>'Revenues 9-14'!F152</f>
        <v>471849</v>
      </c>
      <c r="D5617" s="2" t="str">
        <f t="shared" si="86"/>
        <v>Error?</v>
      </c>
    </row>
    <row r="5618" spans="1:4" x14ac:dyDescent="0.2">
      <c r="A5618" s="5">
        <v>5557</v>
      </c>
      <c r="B5618" s="138">
        <f>'Revenues 9-14'!F154</f>
        <v>627185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627185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898123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1028542</v>
      </c>
      <c r="C5720" s="2" t="s">
        <v>594</v>
      </c>
      <c r="D5720" s="2" t="str">
        <f t="shared" si="88"/>
        <v>Error?</v>
      </c>
    </row>
    <row r="5721" spans="1:4" x14ac:dyDescent="0.2">
      <c r="A5721" s="5">
        <v>5660</v>
      </c>
      <c r="B5721" s="138">
        <f>'Revenues 9-14'!G5</f>
        <v>223062</v>
      </c>
      <c r="D5721" s="2" t="str">
        <f t="shared" si="88"/>
        <v>Error?</v>
      </c>
    </row>
    <row r="5722" spans="1:4" x14ac:dyDescent="0.2">
      <c r="A5722" s="5">
        <v>5661</v>
      </c>
      <c r="B5722" s="138">
        <f>'Revenues 9-14'!G7</f>
        <v>0</v>
      </c>
      <c r="D5722" s="2" t="str">
        <f t="shared" si="88"/>
        <v>Error?</v>
      </c>
    </row>
    <row r="5723" spans="1:4" x14ac:dyDescent="0.2">
      <c r="A5723" s="5">
        <v>5662</v>
      </c>
      <c r="B5723" s="138">
        <f>'Revenues 9-14'!G8</f>
        <v>223062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446124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202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283911</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283911</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283911</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730237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117772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117772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6431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6431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124203</v>
      </c>
      <c r="C6023" s="2" t="s">
        <v>594</v>
      </c>
      <c r="D6023" s="2" t="str">
        <f t="shared" si="93"/>
        <v>Error?</v>
      </c>
    </row>
    <row r="6024" spans="1:5" x14ac:dyDescent="0.2">
      <c r="A6024" s="5">
        <v>5963</v>
      </c>
      <c r="B6024" s="138">
        <f>'Revenues 9-14'!G109</f>
        <v>446326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342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124203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183401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52890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1910.78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2919050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915</v>
      </c>
      <c r="D6215" s="2" t="str">
        <f t="shared" si="96"/>
        <v>Error?</v>
      </c>
      <c r="E6215" s="2" t="s">
        <v>199</v>
      </c>
    </row>
    <row r="6216" spans="1:5" x14ac:dyDescent="0.2">
      <c r="A6216">
        <v>6155</v>
      </c>
      <c r="B6216" s="138">
        <f>'Assets-Liab 5-6'!J41</f>
        <v>915</v>
      </c>
      <c r="D6216" s="2" t="str">
        <f t="shared" si="96"/>
        <v>Error?</v>
      </c>
      <c r="E6216" s="2" t="s">
        <v>199</v>
      </c>
    </row>
    <row r="6217" spans="1:5" x14ac:dyDescent="0.2">
      <c r="A6217">
        <v>6156</v>
      </c>
      <c r="B6217" s="138">
        <f>'Assets-Liab 5-6'!J4</f>
        <v>915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308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308</v>
      </c>
      <c r="D6263" s="2" t="str">
        <f t="shared" si="96"/>
        <v>Error?</v>
      </c>
      <c r="E6263" s="2" t="s">
        <v>199</v>
      </c>
    </row>
    <row r="6264" spans="1:5" x14ac:dyDescent="0.2">
      <c r="A6264">
        <v>6203</v>
      </c>
      <c r="B6264" s="138">
        <f>'Acct Summary 7-8'!J79</f>
        <v>607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915</v>
      </c>
      <c r="D6266" s="2" t="str">
        <f t="shared" si="96"/>
        <v>Error?</v>
      </c>
      <c r="E6266" s="2" t="s">
        <v>199</v>
      </c>
    </row>
    <row r="6267" spans="1:5" x14ac:dyDescent="0.2">
      <c r="A6267">
        <v>6206</v>
      </c>
      <c r="B6267" s="138">
        <f>'Acct Summary 7-8'!C82</f>
        <v>142992</v>
      </c>
      <c r="D6267" s="2" t="str">
        <f t="shared" si="96"/>
        <v>Error?</v>
      </c>
      <c r="E6267" s="2" t="s">
        <v>199</v>
      </c>
    </row>
    <row r="6268" spans="1:5" x14ac:dyDescent="0.2">
      <c r="A6268">
        <v>6207</v>
      </c>
      <c r="B6268" s="138">
        <f>'Acct Summary 7-8'!D82</f>
        <v>-53624</v>
      </c>
      <c r="D6268" s="2" t="str">
        <f t="shared" si="96"/>
        <v>Error?</v>
      </c>
      <c r="E6268" s="2" t="s">
        <v>199</v>
      </c>
    </row>
    <row r="6269" spans="1:5" x14ac:dyDescent="0.2">
      <c r="A6269">
        <v>6208</v>
      </c>
      <c r="B6269" s="138">
        <f>'Acct Summary 7-8'!E82</f>
        <v>65573</v>
      </c>
      <c r="D6269" s="2" t="str">
        <f t="shared" si="96"/>
        <v>Error?</v>
      </c>
      <c r="E6269" s="2" t="s">
        <v>199</v>
      </c>
    </row>
    <row r="6270" spans="1:5" x14ac:dyDescent="0.2">
      <c r="A6270">
        <v>6209</v>
      </c>
      <c r="B6270" s="138">
        <f>'Acct Summary 7-8'!F82</f>
        <v>-8482</v>
      </c>
      <c r="D6270" s="2" t="str">
        <f t="shared" si="96"/>
        <v>Error?</v>
      </c>
      <c r="E6270" s="2" t="s">
        <v>199</v>
      </c>
    </row>
    <row r="6271" spans="1:5" x14ac:dyDescent="0.2">
      <c r="A6271">
        <v>6210</v>
      </c>
      <c r="B6271" s="138">
        <f>'Acct Summary 7-8'!G82</f>
        <v>-1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342</v>
      </c>
      <c r="D6273" s="2" t="str">
        <f t="shared" si="97"/>
        <v>Error?</v>
      </c>
      <c r="E6273" s="2" t="s">
        <v>199</v>
      </c>
    </row>
    <row r="6274" spans="1:5" x14ac:dyDescent="0.2">
      <c r="A6274">
        <v>6213</v>
      </c>
      <c r="B6274" s="138">
        <f>'Acct Summary 7-8'!J82</f>
        <v>308</v>
      </c>
      <c r="D6274" s="2" t="str">
        <f t="shared" si="97"/>
        <v>Error?</v>
      </c>
      <c r="E6274" s="2" t="s">
        <v>199</v>
      </c>
    </row>
    <row r="6275" spans="1:5" x14ac:dyDescent="0.2">
      <c r="A6275">
        <v>6214</v>
      </c>
      <c r="B6275" s="138">
        <f>'Acct Summary 7-8'!K82</f>
        <v>62901</v>
      </c>
      <c r="D6275" s="2" t="str">
        <f t="shared" si="97"/>
        <v>Error?</v>
      </c>
      <c r="E6275" s="2" t="s">
        <v>199</v>
      </c>
    </row>
    <row r="6276" spans="1:5" x14ac:dyDescent="0.2">
      <c r="A6276">
        <v>6215</v>
      </c>
      <c r="B6276" s="138">
        <f>'Acct Summary 7-8'!C83</f>
        <v>-0.27186393114423091</v>
      </c>
      <c r="D6276" s="2" t="str">
        <f t="shared" si="97"/>
        <v>Error?</v>
      </c>
      <c r="E6276" s="2" t="s">
        <v>199</v>
      </c>
    </row>
    <row r="6277" spans="1:5" x14ac:dyDescent="0.2">
      <c r="A6277">
        <v>6216</v>
      </c>
      <c r="B6277" s="138">
        <f>'Acct Summary 7-8'!D83</f>
        <v>-3.4613994319648853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-0.13259962167992873</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4.5493182008643707E-4</v>
      </c>
      <c r="D6282" s="2" t="str">
        <f t="shared" si="97"/>
        <v>Error?</v>
      </c>
      <c r="E6282" s="2" t="s">
        <v>199</v>
      </c>
    </row>
    <row r="6283" spans="1:5" x14ac:dyDescent="0.2">
      <c r="A6283">
        <v>6222</v>
      </c>
      <c r="B6283" s="138">
        <f>'Acct Summary 7-8'!J83</f>
        <v>0.33661202185792349</v>
      </c>
      <c r="D6283" s="2" t="str">
        <f t="shared" si="97"/>
        <v>Error?</v>
      </c>
      <c r="E6283" s="2" t="s">
        <v>199</v>
      </c>
    </row>
    <row r="6284" spans="1:5" x14ac:dyDescent="0.2">
      <c r="A6284">
        <v>6223</v>
      </c>
      <c r="B6284" s="138">
        <f>'Acct Summary 7-8'!K83</f>
        <v>7.67886027504288E-2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17599</v>
      </c>
      <c r="D6339" s="2" t="str">
        <f t="shared" si="98"/>
        <v>Error?</v>
      </c>
      <c r="E6339" s="2" t="s">
        <v>199</v>
      </c>
    </row>
    <row r="6340" spans="1:5" x14ac:dyDescent="0.2">
      <c r="A6340">
        <v>6279</v>
      </c>
      <c r="B6340" s="138">
        <f>'Revenues 9-14'!C102</f>
        <v>8549</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10301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164582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4420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1123045</v>
      </c>
      <c r="D6880" s="2" t="str">
        <f t="shared" si="106"/>
        <v>Error?</v>
      </c>
    </row>
    <row r="6881" spans="1:4" x14ac:dyDescent="0.2">
      <c r="A6881">
        <v>6820</v>
      </c>
      <c r="B6881" s="138">
        <f>'Expenditures 15-22'!K22</f>
        <v>1123045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109465</v>
      </c>
      <c r="D6983" s="2" t="str">
        <f t="shared" si="108"/>
        <v>Error?</v>
      </c>
    </row>
    <row r="6984" spans="1:4" x14ac:dyDescent="0.2">
      <c r="A6984">
        <v>6923</v>
      </c>
      <c r="B6984" s="138">
        <f>'Expenditures 15-22'!K86</f>
        <v>109465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367991</v>
      </c>
      <c r="D6987" s="2" t="str">
        <f t="shared" si="108"/>
        <v>Error?</v>
      </c>
    </row>
    <row r="6988" spans="1:4" x14ac:dyDescent="0.2">
      <c r="A6988">
        <v>6927</v>
      </c>
      <c r="B6988" s="138">
        <f>'Expenditures 15-22'!K88</f>
        <v>367991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477456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56782</v>
      </c>
      <c r="D7018" s="2" t="str">
        <f t="shared" si="108"/>
        <v>Error?</v>
      </c>
    </row>
    <row r="7019" spans="1:4" x14ac:dyDescent="0.2">
      <c r="A7019">
        <v>6958</v>
      </c>
      <c r="B7019" s="138">
        <f>'Expenditures 15-22'!K112</f>
        <v>56782</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9056</v>
      </c>
      <c r="D7075" s="2" t="str">
        <f t="shared" si="109"/>
        <v>Error?</v>
      </c>
    </row>
    <row r="7076" spans="1:4" x14ac:dyDescent="0.2">
      <c r="A7076">
        <v>7015</v>
      </c>
      <c r="B7076" s="138">
        <f>'Expenditures 15-22'!K218</f>
        <v>9056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25</v>
      </c>
      <c r="D7079" s="2" t="str">
        <f t="shared" si="109"/>
        <v>Error?</v>
      </c>
    </row>
    <row r="7080" spans="1:4" x14ac:dyDescent="0.2">
      <c r="A7080">
        <v>7019</v>
      </c>
      <c r="B7080" s="138">
        <f>'Expenditures 15-22'!K226</f>
        <v>25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308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3079</v>
      </c>
      <c r="D7247" s="2" t="str">
        <f t="shared" si="112"/>
        <v>Error?</v>
      </c>
    </row>
    <row r="7248" spans="1:4" x14ac:dyDescent="0.2">
      <c r="A7248">
        <f t="shared" si="113"/>
        <v>7187</v>
      </c>
      <c r="B7248" s="138">
        <f>'Expenditures 15-22'!F7</f>
        <v>7222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151804</v>
      </c>
      <c r="D7251" s="2" t="str">
        <f t="shared" si="112"/>
        <v>Error?</v>
      </c>
    </row>
    <row r="7252" spans="1:4" x14ac:dyDescent="0.2">
      <c r="A7252">
        <f t="shared" si="113"/>
        <v>7191</v>
      </c>
      <c r="B7252" s="138">
        <f>'Expenditures 15-22'!D9</f>
        <v>12778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1750</v>
      </c>
      <c r="D7263" s="2" t="str">
        <f t="shared" si="112"/>
        <v>Error?</v>
      </c>
    </row>
    <row r="7264" spans="1:4" x14ac:dyDescent="0.2">
      <c r="A7264">
        <f t="shared" si="113"/>
        <v>7203</v>
      </c>
      <c r="B7264" s="138">
        <f>'Expenditures 15-22'!D17</f>
        <v>201</v>
      </c>
      <c r="D7264" s="2" t="str">
        <f t="shared" si="112"/>
        <v>Error?</v>
      </c>
    </row>
    <row r="7265" spans="1:5" x14ac:dyDescent="0.2">
      <c r="A7265">
        <f t="shared" si="113"/>
        <v>7204</v>
      </c>
      <c r="B7265" s="138">
        <f>'Expenditures 15-22'!E17</f>
        <v>2369</v>
      </c>
      <c r="D7265" s="2" t="str">
        <f t="shared" si="112"/>
        <v>Error?</v>
      </c>
    </row>
    <row r="7266" spans="1:5" x14ac:dyDescent="0.2">
      <c r="A7266">
        <f t="shared" si="113"/>
        <v>7205</v>
      </c>
      <c r="B7266" s="138">
        <f>'Expenditures 15-22'!F17</f>
        <v>100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199500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199500</v>
      </c>
      <c r="D7609" s="2" t="str">
        <f t="shared" si="122"/>
        <v>Error?</v>
      </c>
      <c r="E7609" s="2" t="s">
        <v>19</v>
      </c>
    </row>
    <row r="7610" spans="1:5" x14ac:dyDescent="0.2">
      <c r="A7610">
        <f t="shared" si="123"/>
        <v>7549</v>
      </c>
      <c r="B7610" s="138">
        <f>'Cap Outlay Deprec 26'!H9</f>
        <v>104738</v>
      </c>
      <c r="D7610" s="2" t="str">
        <f t="shared" si="122"/>
        <v>Error?</v>
      </c>
      <c r="E7610" s="2" t="s">
        <v>19</v>
      </c>
    </row>
    <row r="7611" spans="1:5" x14ac:dyDescent="0.2">
      <c r="A7611">
        <f t="shared" si="123"/>
        <v>7550</v>
      </c>
      <c r="B7611" s="138">
        <f>'Cap Outlay Deprec 26'!I9</f>
        <v>9975</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114713</v>
      </c>
      <c r="D7613" s="2" t="str">
        <f t="shared" si="122"/>
        <v>Error?</v>
      </c>
      <c r="E7613" s="2" t="s">
        <v>19</v>
      </c>
    </row>
    <row r="7614" spans="1:5" x14ac:dyDescent="0.2">
      <c r="A7614">
        <f t="shared" si="123"/>
        <v>7553</v>
      </c>
      <c r="B7614" s="138">
        <f>'Cap Outlay Deprec 26'!L9</f>
        <v>84787</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614258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17599</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25465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43064</v>
      </c>
      <c r="D7719" s="2" t="str">
        <f t="shared" si="126"/>
        <v>Error?</v>
      </c>
      <c r="E7719" s="2" t="s">
        <v>881</v>
      </c>
    </row>
    <row r="7720" spans="1:6" x14ac:dyDescent="0.2">
      <c r="A7720">
        <v>7659</v>
      </c>
      <c r="B7720" s="138">
        <f>'Rest Tax Levies-Tort Im 25'!H14</f>
        <v>549283</v>
      </c>
      <c r="D7720" s="2" t="str">
        <f t="shared" si="126"/>
        <v>Error?</v>
      </c>
      <c r="E7720" s="2" t="s">
        <v>881</v>
      </c>
    </row>
    <row r="7721" spans="1:6" x14ac:dyDescent="0.2">
      <c r="A7721">
        <v>7660</v>
      </c>
      <c r="B7721" s="138">
        <f>'Rest Tax Levies-Tort Im 25'!K14</f>
        <v>43064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529797</v>
      </c>
      <c r="D7797" s="2" t="str">
        <f t="shared" si="127"/>
        <v>Error?</v>
      </c>
      <c r="E7797" s="4" t="s">
        <v>2017</v>
      </c>
    </row>
    <row r="7798" spans="1:5" x14ac:dyDescent="0.2">
      <c r="A7798">
        <v>7737</v>
      </c>
      <c r="B7798" s="138">
        <f>'Contracts Paid in CY 29'!F141</f>
        <v>25000</v>
      </c>
      <c r="D7798" s="2" t="str">
        <f t="shared" si="127"/>
        <v>Error?</v>
      </c>
      <c r="E7798" s="4" t="s">
        <v>2017</v>
      </c>
    </row>
    <row r="7799" spans="1:5" x14ac:dyDescent="0.2">
      <c r="A7799">
        <v>7738</v>
      </c>
      <c r="B7799" s="138">
        <f>'Contracts Paid in CY 29'!G141</f>
        <v>504797</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E45" sqref="E4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Sandwich CUSD 430</v>
      </c>
      <c r="B7" s="2424"/>
      <c r="C7" s="2424"/>
      <c r="D7" s="2425"/>
      <c r="E7" s="2426">
        <f>COVER!A13</f>
        <v>16019430026</v>
      </c>
      <c r="F7" s="2427"/>
      <c r="G7" s="2433" t="str">
        <f>COVER!T23</f>
        <v>066-005100</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Mack &amp; Assocaites, P.C.</v>
      </c>
      <c r="H9" s="2439"/>
      <c r="I9" s="2439"/>
      <c r="J9" s="2439"/>
      <c r="K9" s="2439"/>
      <c r="L9" s="2440"/>
    </row>
    <row r="10" spans="1:29" ht="13.5" customHeight="1" x14ac:dyDescent="0.2">
      <c r="A10" s="2413" t="str">
        <f>COVER!A38</f>
        <v>Rick Schmitt</v>
      </c>
      <c r="B10" s="2414"/>
      <c r="C10" s="2414"/>
      <c r="D10" s="2414"/>
      <c r="E10" s="2414"/>
      <c r="F10" s="2415"/>
      <c r="G10" s="2407" t="str">
        <f>COVER!T17</f>
        <v>116 E. Washington Street, Suite One</v>
      </c>
      <c r="H10" s="2408"/>
      <c r="I10" s="2408"/>
      <c r="J10" s="2408"/>
      <c r="K10" s="2408"/>
      <c r="L10" s="2409"/>
    </row>
    <row r="11" spans="1:29" ht="13.5" customHeight="1" x14ac:dyDescent="0.2">
      <c r="A11" s="1185" t="s">
        <v>1599</v>
      </c>
      <c r="B11" s="1186"/>
      <c r="C11" s="1187"/>
      <c r="D11" s="1192"/>
      <c r="E11" s="1187"/>
      <c r="F11" s="1191"/>
      <c r="G11" s="2407" t="str">
        <f>COVER!T19</f>
        <v>Morris</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tmack@mackcpas.com</v>
      </c>
      <c r="J13" s="2420"/>
      <c r="K13" s="2420"/>
      <c r="L13" s="2421"/>
    </row>
    <row r="14" spans="1:29" ht="13.5" customHeight="1" x14ac:dyDescent="0.2">
      <c r="A14" s="2407" t="str">
        <f>COVER!A19</f>
        <v>720 Wells Street</v>
      </c>
      <c r="B14" s="2408"/>
      <c r="C14" s="2408"/>
      <c r="D14" s="2408"/>
      <c r="E14" s="2408"/>
      <c r="F14" s="2409"/>
      <c r="G14" s="1196" t="s">
        <v>1247</v>
      </c>
      <c r="H14" s="1194"/>
      <c r="I14" s="1194"/>
      <c r="J14" s="1194"/>
      <c r="K14" s="1194"/>
      <c r="L14" s="1195"/>
    </row>
    <row r="15" spans="1:29" ht="13.5" customHeight="1" x14ac:dyDescent="0.2">
      <c r="A15" s="2407" t="str">
        <f>COVER!A21</f>
        <v xml:space="preserve">Sandwich  </v>
      </c>
      <c r="B15" s="2408"/>
      <c r="C15" s="2408"/>
      <c r="D15" s="2408"/>
      <c r="E15" s="2408"/>
      <c r="F15" s="2409"/>
      <c r="G15" s="2404" t="str">
        <f>COVER!T15</f>
        <v>Tawnya Mack, CPA</v>
      </c>
      <c r="H15" s="2405"/>
      <c r="I15" s="2405"/>
      <c r="J15" s="2405"/>
      <c r="K15" s="2405"/>
      <c r="L15" s="2406"/>
    </row>
    <row r="16" spans="1:29" ht="12.2" customHeight="1" x14ac:dyDescent="0.2">
      <c r="A16" s="2429">
        <f>COVER!A25</f>
        <v>60548</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(815) 942-3306</v>
      </c>
      <c r="H18" s="2424"/>
      <c r="I18" s="2424"/>
      <c r="J18" s="2424"/>
      <c r="K18" s="2423" t="str">
        <f>COVER!X21</f>
        <v>(815) 942-9430</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2097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2097</v>
      </c>
      <c r="C26" s="1203" t="s">
        <v>1801</v>
      </c>
    </row>
    <row r="27" spans="1:13" s="1199" customFormat="1" ht="9" customHeight="1" x14ac:dyDescent="0.2">
      <c r="B27" s="1204"/>
      <c r="C27" s="1203"/>
    </row>
    <row r="28" spans="1:13" s="1199" customFormat="1" ht="12.2" customHeight="1" x14ac:dyDescent="0.2">
      <c r="A28" s="1206"/>
      <c r="B28" s="1202" t="s">
        <v>2097</v>
      </c>
      <c r="C28" s="1203" t="s">
        <v>1802</v>
      </c>
    </row>
    <row r="29" spans="1:13" s="1199" customFormat="1" ht="9" customHeight="1" x14ac:dyDescent="0.2">
      <c r="A29" s="1206"/>
      <c r="B29" s="1204"/>
      <c r="C29" s="1203"/>
    </row>
    <row r="30" spans="1:13" s="1199" customFormat="1" ht="12.2" customHeight="1" x14ac:dyDescent="0.2">
      <c r="B30" s="1202" t="s">
        <v>2097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2097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2097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2097</v>
      </c>
      <c r="C38" s="1203" t="s">
        <v>1647</v>
      </c>
    </row>
    <row r="39" spans="1:8" ht="9" customHeight="1" x14ac:dyDescent="0.2">
      <c r="B39" s="1204"/>
      <c r="C39" s="1207"/>
    </row>
    <row r="40" spans="1:8" s="1199" customFormat="1" ht="13.5" customHeight="1" x14ac:dyDescent="0.2">
      <c r="B40" s="1202" t="s">
        <v>2097</v>
      </c>
      <c r="C40" s="1203" t="s">
        <v>1648</v>
      </c>
    </row>
    <row r="41" spans="1:8" ht="9" customHeight="1" x14ac:dyDescent="0.2">
      <c r="A41" s="1208"/>
      <c r="B41" s="1204"/>
      <c r="C41" s="1207"/>
    </row>
    <row r="42" spans="1:8" s="1199" customFormat="1" ht="13.5" customHeight="1" x14ac:dyDescent="0.2">
      <c r="B42" s="1202" t="s">
        <v>2097</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L55" sqref="L5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Sandwich CUSD 430</v>
      </c>
      <c r="B1" s="2422"/>
      <c r="C1" s="2422"/>
      <c r="D1" s="2422"/>
    </row>
    <row r="2" spans="1:11" s="1215" customFormat="1" ht="12.75" x14ac:dyDescent="0.2">
      <c r="A2" s="2446">
        <f>'Single Audit Cover'!E7</f>
        <v>16019430026</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Sandwich CUSD 430</v>
      </c>
      <c r="B1" s="2449"/>
      <c r="C1" s="2449"/>
      <c r="D1" s="2449"/>
      <c r="E1" s="2449"/>
    </row>
    <row r="2" spans="1:5" x14ac:dyDescent="0.2">
      <c r="A2" s="2450">
        <f>'Single Audit Cover'!E7</f>
        <v>16019430026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1596626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52890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-232669</v>
      </c>
    </row>
    <row r="19" spans="1:4" ht="13.5" thickBot="1" x14ac:dyDescent="0.25">
      <c r="A19" s="1265" t="s">
        <v>1297</v>
      </c>
      <c r="D19" s="1266">
        <f>SUM(D10:D17)</f>
        <v>1416847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1416847</v>
      </c>
    </row>
    <row r="33" spans="1:4" x14ac:dyDescent="0.2">
      <c r="D33" s="1269"/>
    </row>
    <row r="34" spans="1:4" x14ac:dyDescent="0.2">
      <c r="A34" s="317" t="s">
        <v>1294</v>
      </c>
    </row>
    <row r="35" spans="1:4" x14ac:dyDescent="0.2">
      <c r="A35" s="317" t="s">
        <v>1293</v>
      </c>
      <c r="B35" s="1258" t="s">
        <v>1292</v>
      </c>
      <c r="D35" s="1270">
        <v>1416847</v>
      </c>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1416847</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Sandwich CUSD 430</v>
      </c>
      <c r="B1" s="2462"/>
      <c r="C1" s="2462"/>
      <c r="D1" s="2462"/>
      <c r="E1" s="2462"/>
      <c r="F1" s="2462"/>
    </row>
    <row r="2" spans="1:7" ht="13.5" customHeight="1" x14ac:dyDescent="0.2">
      <c r="A2" s="2463">
        <f>'Single Audit Cover'!E7</f>
        <v>16019430026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2115</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2079</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1" t="s">
        <v>2116</v>
      </c>
      <c r="B13" s="2461"/>
      <c r="C13" s="2461"/>
      <c r="D13" s="2461"/>
      <c r="E13" s="2461"/>
      <c r="F13" s="2461"/>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t="s">
        <v>2117</v>
      </c>
      <c r="C17" s="1285" t="s">
        <v>2118</v>
      </c>
      <c r="D17" s="2454">
        <v>0</v>
      </c>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5" t="s">
        <v>1833</v>
      </c>
      <c r="B32" s="2455"/>
      <c r="C32" s="2455"/>
      <c r="D32" s="2455"/>
      <c r="E32" s="2455"/>
      <c r="F32" s="2455"/>
    </row>
    <row r="33" spans="1:6" ht="13.5" customHeight="1" x14ac:dyDescent="0.2">
      <c r="A33" s="328" t="s">
        <v>1509</v>
      </c>
      <c r="B33" s="328"/>
      <c r="C33" s="1288">
        <v>43615</v>
      </c>
      <c r="D33" s="1928"/>
      <c r="E33" s="1286"/>
    </row>
    <row r="34" spans="1:6" ht="13.5" customHeight="1" x14ac:dyDescent="0.2">
      <c r="A34" s="328" t="s">
        <v>1946</v>
      </c>
      <c r="B34" s="328"/>
      <c r="C34" s="1289">
        <v>9275</v>
      </c>
      <c r="D34" s="1928" t="s">
        <v>1671</v>
      </c>
      <c r="E34" s="2456">
        <f>+C33+C34</f>
        <v>52890</v>
      </c>
      <c r="F34" s="245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940</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70"/>
      <c r="C50" s="1870"/>
      <c r="D50" s="1870"/>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115" zoomScaleNormal="115" workbookViewId="0">
      <selection activeCell="G24" sqref="G2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Sandwich CUSD 430</v>
      </c>
      <c r="C1" s="2466"/>
      <c r="D1" s="2466"/>
      <c r="E1" s="2466"/>
      <c r="F1" s="2466"/>
      <c r="G1" s="2466"/>
      <c r="H1" s="2466"/>
      <c r="I1" s="2466"/>
      <c r="J1" s="2466"/>
      <c r="K1" s="2466"/>
      <c r="L1" s="2466"/>
      <c r="M1" s="2466"/>
    </row>
    <row r="2" spans="2:14" ht="15" x14ac:dyDescent="0.2">
      <c r="B2" s="2463">
        <f>'Single Audit Cover'!E7</f>
        <v>16019430026</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2119</v>
      </c>
      <c r="C11" s="1338"/>
      <c r="D11" s="1339"/>
      <c r="E11" s="1340"/>
      <c r="F11" s="1340"/>
      <c r="G11" s="1340"/>
      <c r="H11" s="1340"/>
      <c r="I11" s="1340"/>
      <c r="J11" s="1340"/>
      <c r="K11" s="1340"/>
      <c r="L11" s="1340">
        <f>+G11+I11+K11</f>
        <v>0</v>
      </c>
      <c r="M11" s="1340"/>
    </row>
    <row r="12" spans="2:14" ht="20.100000000000001" customHeight="1" x14ac:dyDescent="0.2">
      <c r="B12" s="1337" t="s">
        <v>2120</v>
      </c>
      <c r="C12" s="1341"/>
      <c r="D12" s="1342"/>
      <c r="E12" s="1343"/>
      <c r="F12" s="1343"/>
      <c r="G12" s="1343"/>
      <c r="H12" s="1343"/>
      <c r="I12" s="1343"/>
      <c r="J12" s="1343"/>
      <c r="K12" s="1343"/>
      <c r="L12" s="1340">
        <f t="shared" ref="L12:L27" si="0">+G12+I12+K12</f>
        <v>0</v>
      </c>
      <c r="M12" s="1343"/>
    </row>
    <row r="13" spans="2:14" ht="20.100000000000001" customHeight="1" x14ac:dyDescent="0.2">
      <c r="B13" s="1337" t="s">
        <v>2121</v>
      </c>
      <c r="C13" s="1341"/>
      <c r="D13" s="1342"/>
      <c r="E13" s="1343"/>
      <c r="F13" s="1343"/>
      <c r="G13" s="1343"/>
      <c r="H13" s="1343"/>
      <c r="I13" s="1343"/>
      <c r="J13" s="1343"/>
      <c r="K13" s="1343"/>
      <c r="L13" s="1340">
        <f t="shared" si="0"/>
        <v>0</v>
      </c>
      <c r="M13" s="1343"/>
    </row>
    <row r="14" spans="2:14" ht="20.100000000000001" customHeight="1" x14ac:dyDescent="0.2">
      <c r="B14" s="1337" t="s">
        <v>2122</v>
      </c>
      <c r="C14" s="1341">
        <v>10.555</v>
      </c>
      <c r="D14" s="1342" t="s">
        <v>2123</v>
      </c>
      <c r="E14" s="1343">
        <v>246239</v>
      </c>
      <c r="F14" s="1343">
        <v>51272</v>
      </c>
      <c r="G14" s="1343">
        <v>246239</v>
      </c>
      <c r="H14" s="1343"/>
      <c r="I14" s="1343">
        <v>51273</v>
      </c>
      <c r="J14" s="1343"/>
      <c r="K14" s="1343">
        <v>0</v>
      </c>
      <c r="L14" s="1340">
        <f t="shared" si="0"/>
        <v>297512</v>
      </c>
      <c r="M14" s="1343" t="s">
        <v>2118</v>
      </c>
    </row>
    <row r="15" spans="2:14" ht="20.100000000000001" customHeight="1" x14ac:dyDescent="0.2">
      <c r="B15" s="1337" t="s">
        <v>2124</v>
      </c>
      <c r="C15" s="1341">
        <v>10.555</v>
      </c>
      <c r="D15" s="1342" t="s">
        <v>2125</v>
      </c>
      <c r="E15" s="1343"/>
      <c r="F15" s="1343">
        <v>253881</v>
      </c>
      <c r="G15" s="1343"/>
      <c r="H15" s="1343"/>
      <c r="I15" s="1343">
        <v>253881</v>
      </c>
      <c r="J15" s="1343"/>
      <c r="K15" s="1343">
        <v>0</v>
      </c>
      <c r="L15" s="1340">
        <f t="shared" si="0"/>
        <v>253881</v>
      </c>
      <c r="M15" s="1343" t="s">
        <v>2118</v>
      </c>
    </row>
    <row r="16" spans="2:14" ht="20.100000000000001" customHeight="1" x14ac:dyDescent="0.2">
      <c r="B16" s="1337" t="s">
        <v>2126</v>
      </c>
      <c r="C16" s="1341">
        <v>10.555</v>
      </c>
      <c r="D16" s="1342">
        <v>2018</v>
      </c>
      <c r="E16" s="1343"/>
      <c r="F16" s="1343">
        <v>43615</v>
      </c>
      <c r="G16" s="1343"/>
      <c r="H16" s="1343"/>
      <c r="I16" s="1343">
        <v>43615</v>
      </c>
      <c r="J16" s="1343"/>
      <c r="K16" s="1343">
        <v>0</v>
      </c>
      <c r="L16" s="1340">
        <f t="shared" si="0"/>
        <v>43615</v>
      </c>
      <c r="M16" s="1343" t="s">
        <v>2118</v>
      </c>
    </row>
    <row r="17" spans="2:14" ht="20.100000000000001" customHeight="1" x14ac:dyDescent="0.2">
      <c r="B17" s="1337" t="s">
        <v>2127</v>
      </c>
      <c r="C17" s="1341">
        <v>10.553000000000001</v>
      </c>
      <c r="D17" s="1342" t="s">
        <v>2128</v>
      </c>
      <c r="E17" s="1343">
        <v>66381</v>
      </c>
      <c r="F17" s="1343">
        <v>11457</v>
      </c>
      <c r="G17" s="1343">
        <v>66381</v>
      </c>
      <c r="H17" s="1343"/>
      <c r="I17" s="1343">
        <v>11457</v>
      </c>
      <c r="J17" s="1343"/>
      <c r="K17" s="1343">
        <v>0</v>
      </c>
      <c r="L17" s="1340">
        <f t="shared" si="0"/>
        <v>77838</v>
      </c>
      <c r="M17" s="1343" t="s">
        <v>2118</v>
      </c>
    </row>
    <row r="18" spans="2:14" ht="20.100000000000001" customHeight="1" x14ac:dyDescent="0.2">
      <c r="B18" s="1337" t="s">
        <v>2129</v>
      </c>
      <c r="C18" s="1341">
        <v>10.553000000000001</v>
      </c>
      <c r="D18" s="1342" t="s">
        <v>2130</v>
      </c>
      <c r="E18" s="1343"/>
      <c r="F18" s="1343">
        <v>70494</v>
      </c>
      <c r="G18" s="1343"/>
      <c r="H18" s="1343"/>
      <c r="I18" s="1343">
        <v>70494</v>
      </c>
      <c r="J18" s="1343"/>
      <c r="K18" s="1343">
        <v>0</v>
      </c>
      <c r="L18" s="1340">
        <f t="shared" si="0"/>
        <v>70494</v>
      </c>
      <c r="M18" s="1343" t="s">
        <v>2118</v>
      </c>
    </row>
    <row r="19" spans="2:14" ht="20.100000000000001" customHeight="1" x14ac:dyDescent="0.2">
      <c r="B19" s="1337" t="s">
        <v>2131</v>
      </c>
      <c r="C19" s="1341"/>
      <c r="D19" s="1342"/>
      <c r="E19" s="1343"/>
      <c r="F19" s="1343"/>
      <c r="G19" s="1343"/>
      <c r="H19" s="1343"/>
      <c r="I19" s="1343"/>
      <c r="J19" s="1343"/>
      <c r="K19" s="1343"/>
      <c r="L19" s="1340">
        <f t="shared" si="0"/>
        <v>0</v>
      </c>
      <c r="M19" s="1343"/>
    </row>
    <row r="20" spans="2:14" ht="20.100000000000001" customHeight="1" x14ac:dyDescent="0.2">
      <c r="B20" s="1337" t="s">
        <v>2132</v>
      </c>
      <c r="C20" s="1341">
        <v>10.555</v>
      </c>
      <c r="D20" s="1342">
        <v>2018</v>
      </c>
      <c r="E20" s="1343"/>
      <c r="F20" s="1343">
        <v>9275</v>
      </c>
      <c r="G20" s="1343"/>
      <c r="H20" s="1343"/>
      <c r="I20" s="1343">
        <v>9275</v>
      </c>
      <c r="J20" s="1343"/>
      <c r="K20" s="1343">
        <v>0</v>
      </c>
      <c r="L20" s="1340">
        <f t="shared" si="0"/>
        <v>9275</v>
      </c>
      <c r="M20" s="1343" t="s">
        <v>2118</v>
      </c>
    </row>
    <row r="21" spans="2:14" ht="20.100000000000001" customHeight="1" x14ac:dyDescent="0.2">
      <c r="B21" s="1337" t="s">
        <v>2133</v>
      </c>
      <c r="C21" s="1341"/>
      <c r="D21" s="1342"/>
      <c r="E21" s="1343">
        <f>SUM(E14:E20)</f>
        <v>312620</v>
      </c>
      <c r="F21" s="1343">
        <f>SUM(F14:F20)</f>
        <v>439994</v>
      </c>
      <c r="G21" s="1343">
        <f>SUM(G14:G20)</f>
        <v>312620</v>
      </c>
      <c r="H21" s="1343"/>
      <c r="I21" s="1343">
        <f>SUM(I14:I20)</f>
        <v>439995</v>
      </c>
      <c r="J21" s="1343"/>
      <c r="K21" s="1343">
        <f>SUM(K14:K20)</f>
        <v>0</v>
      </c>
      <c r="L21" s="1340">
        <f t="shared" si="0"/>
        <v>752615</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2134</v>
      </c>
      <c r="C23" s="1341"/>
      <c r="D23" s="1342"/>
      <c r="E23" s="1343"/>
      <c r="F23" s="1343"/>
      <c r="G23" s="1343"/>
      <c r="H23" s="1343"/>
      <c r="I23" s="1343"/>
      <c r="J23" s="1343"/>
      <c r="K23" s="1343"/>
      <c r="L23" s="1340">
        <f t="shared" si="0"/>
        <v>0</v>
      </c>
      <c r="M23" s="1343"/>
    </row>
    <row r="24" spans="2:14" ht="20.100000000000001" customHeight="1" x14ac:dyDescent="0.2">
      <c r="B24" s="1337" t="s">
        <v>2135</v>
      </c>
      <c r="C24" s="1341"/>
      <c r="D24" s="1342"/>
      <c r="E24" s="1343"/>
      <c r="F24" s="1343"/>
      <c r="G24" s="1343"/>
      <c r="H24" s="1343"/>
      <c r="I24" s="1343"/>
      <c r="J24" s="1343"/>
      <c r="K24" s="1343"/>
      <c r="L24" s="1340">
        <f t="shared" si="0"/>
        <v>0</v>
      </c>
      <c r="M24" s="1343"/>
    </row>
    <row r="25" spans="2:14" ht="20.100000000000001" customHeight="1" x14ac:dyDescent="0.2">
      <c r="B25" s="1337" t="s">
        <v>2136</v>
      </c>
      <c r="C25" s="1341">
        <v>93.778000000000006</v>
      </c>
      <c r="D25" s="1342" t="s">
        <v>2137</v>
      </c>
      <c r="E25" s="1343">
        <v>23226</v>
      </c>
      <c r="F25" s="1343">
        <v>8768</v>
      </c>
      <c r="G25" s="1343">
        <v>33327</v>
      </c>
      <c r="H25" s="1343"/>
      <c r="I25" s="1343"/>
      <c r="J25" s="1343"/>
      <c r="K25" s="1343">
        <v>0</v>
      </c>
      <c r="L25" s="1340">
        <f t="shared" si="0"/>
        <v>33327</v>
      </c>
      <c r="M25" s="1343" t="s">
        <v>2118</v>
      </c>
    </row>
    <row r="26" spans="2:14" ht="20.100000000000001" customHeight="1" x14ac:dyDescent="0.2">
      <c r="B26" s="1337" t="s">
        <v>2138</v>
      </c>
      <c r="C26" s="1341">
        <v>93.778000000000006</v>
      </c>
      <c r="D26" s="1342">
        <v>4991.2017999999998</v>
      </c>
      <c r="E26" s="1343"/>
      <c r="F26" s="1343">
        <v>35299</v>
      </c>
      <c r="G26" s="1343"/>
      <c r="H26" s="1343"/>
      <c r="I26" s="1343">
        <v>37331</v>
      </c>
      <c r="J26" s="1343"/>
      <c r="K26" s="1343">
        <v>0</v>
      </c>
      <c r="L26" s="1340">
        <f t="shared" si="0"/>
        <v>37331</v>
      </c>
      <c r="M26" s="1343" t="s">
        <v>2118</v>
      </c>
    </row>
    <row r="27" spans="2:14" ht="20.100000000000001" customHeight="1" x14ac:dyDescent="0.2">
      <c r="B27" s="1337" t="s">
        <v>2139</v>
      </c>
      <c r="C27" s="1341"/>
      <c r="D27" s="1342"/>
      <c r="E27" s="1343">
        <f>SUM(E25:E26)</f>
        <v>23226</v>
      </c>
      <c r="F27" s="1343">
        <f>SUM(F25:F26)</f>
        <v>44067</v>
      </c>
      <c r="G27" s="1343">
        <f>SUM(G25:G26)</f>
        <v>33327</v>
      </c>
      <c r="H27" s="1343"/>
      <c r="I27" s="1343">
        <f>SUM(I25:I26)</f>
        <v>37331</v>
      </c>
      <c r="J27" s="1343"/>
      <c r="K27" s="1343">
        <f>SUM(K25:K26)</f>
        <v>0</v>
      </c>
      <c r="L27" s="1340">
        <f t="shared" si="0"/>
        <v>70658</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2079</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2079</v>
      </c>
      <c r="C53" s="179">
        <v>22</v>
      </c>
      <c r="D53" s="247" t="s">
        <v>1537</v>
      </c>
      <c r="E53" s="248"/>
      <c r="F53" s="249"/>
      <c r="G53" s="249" t="s">
        <v>1536</v>
      </c>
      <c r="H53" s="250">
        <v>36526</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2091</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t="s">
        <v>2114</v>
      </c>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115" zoomScaleNormal="115" workbookViewId="0">
      <selection activeCell="M28" sqref="M2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Sandwich CUSD 430</v>
      </c>
      <c r="C1" s="2466"/>
      <c r="D1" s="2466"/>
      <c r="E1" s="2466"/>
      <c r="F1" s="2466"/>
      <c r="G1" s="2466"/>
      <c r="H1" s="2466"/>
      <c r="I1" s="2466"/>
      <c r="J1" s="2466"/>
      <c r="K1" s="2466"/>
      <c r="L1" s="2466"/>
      <c r="M1" s="2466"/>
    </row>
    <row r="2" spans="2:14" ht="15" x14ac:dyDescent="0.2">
      <c r="B2" s="2463">
        <f>'Single Audit Cover'!E7</f>
        <v>16019430026</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2140</v>
      </c>
      <c r="C11" s="1338"/>
      <c r="D11" s="1339"/>
      <c r="E11" s="1340"/>
      <c r="F11" s="1340"/>
      <c r="G11" s="1340"/>
      <c r="H11" s="1340"/>
      <c r="I11" s="1340"/>
      <c r="J11" s="1340"/>
      <c r="K11" s="1340"/>
      <c r="L11" s="1340">
        <f>+G11+I11+K11</f>
        <v>0</v>
      </c>
      <c r="M11" s="1340"/>
    </row>
    <row r="12" spans="2:14" ht="20.100000000000001" customHeight="1" x14ac:dyDescent="0.2">
      <c r="B12" s="1337" t="s">
        <v>2141</v>
      </c>
      <c r="C12" s="1341"/>
      <c r="D12" s="1342"/>
      <c r="E12" s="1343"/>
      <c r="F12" s="1343"/>
      <c r="G12" s="1343"/>
      <c r="H12" s="1343"/>
      <c r="I12" s="1343"/>
      <c r="J12" s="1343"/>
      <c r="K12" s="1343"/>
      <c r="L12" s="1340">
        <f t="shared" ref="L12:L27" si="0">+G12+I12+K12</f>
        <v>0</v>
      </c>
      <c r="M12" s="1343"/>
    </row>
    <row r="13" spans="2:14" ht="20.100000000000001" customHeight="1" x14ac:dyDescent="0.2">
      <c r="B13" s="1337" t="s">
        <v>2121</v>
      </c>
      <c r="C13" s="1341"/>
      <c r="D13" s="1342"/>
      <c r="E13" s="1343"/>
      <c r="F13" s="1343"/>
      <c r="G13" s="1343"/>
      <c r="H13" s="1343"/>
      <c r="I13" s="1343"/>
      <c r="J13" s="1343"/>
      <c r="K13" s="1343"/>
      <c r="L13" s="1340">
        <f t="shared" si="0"/>
        <v>0</v>
      </c>
      <c r="M13" s="1343"/>
    </row>
    <row r="14" spans="2:14" ht="20.100000000000001" customHeight="1" x14ac:dyDescent="0.2">
      <c r="B14" s="1337" t="s">
        <v>2143</v>
      </c>
      <c r="C14" s="1341">
        <v>84.027000000000001</v>
      </c>
      <c r="D14" s="1342" t="s">
        <v>2144</v>
      </c>
      <c r="E14" s="1343">
        <v>433860</v>
      </c>
      <c r="F14" s="1343">
        <v>27324</v>
      </c>
      <c r="G14" s="1343">
        <v>461305</v>
      </c>
      <c r="H14" s="1343"/>
      <c r="I14" s="1343"/>
      <c r="J14" s="1343"/>
      <c r="K14" s="1343"/>
      <c r="L14" s="1340">
        <f t="shared" si="0"/>
        <v>461305</v>
      </c>
      <c r="M14" s="1343">
        <v>462782</v>
      </c>
    </row>
    <row r="15" spans="2:14" ht="20.100000000000001" customHeight="1" x14ac:dyDescent="0.2">
      <c r="B15" s="1337" t="s">
        <v>2142</v>
      </c>
      <c r="C15" s="1341">
        <v>84.027000000000001</v>
      </c>
      <c r="D15" s="1342" t="s">
        <v>2145</v>
      </c>
      <c r="E15" s="1343"/>
      <c r="F15" s="1343">
        <v>431828</v>
      </c>
      <c r="G15" s="1343"/>
      <c r="H15" s="1343"/>
      <c r="I15" s="1343">
        <v>441921</v>
      </c>
      <c r="J15" s="1343"/>
      <c r="K15" s="1343">
        <v>0</v>
      </c>
      <c r="L15" s="1340">
        <f t="shared" si="0"/>
        <v>441921</v>
      </c>
      <c r="M15" s="1343">
        <v>441921</v>
      </c>
    </row>
    <row r="16" spans="2:14" ht="20.100000000000001" customHeight="1" x14ac:dyDescent="0.2">
      <c r="B16" s="1337" t="s">
        <v>2147</v>
      </c>
      <c r="C16" s="1341">
        <v>84.027000000000001</v>
      </c>
      <c r="D16" s="1342" t="s">
        <v>2146</v>
      </c>
      <c r="E16" s="1343">
        <v>66425</v>
      </c>
      <c r="F16" s="1343">
        <v>32252</v>
      </c>
      <c r="G16" s="1343">
        <v>66425</v>
      </c>
      <c r="H16" s="1343"/>
      <c r="I16" s="1343">
        <v>32253</v>
      </c>
      <c r="J16" s="1343"/>
      <c r="K16" s="1343">
        <v>0</v>
      </c>
      <c r="L16" s="1340">
        <f t="shared" si="0"/>
        <v>98678</v>
      </c>
      <c r="M16" s="1343" t="s">
        <v>2118</v>
      </c>
    </row>
    <row r="17" spans="2:14" ht="20.100000000000001" customHeight="1" x14ac:dyDescent="0.2">
      <c r="B17" s="1337" t="s">
        <v>2149</v>
      </c>
      <c r="C17" s="1341">
        <v>84.027000000000001</v>
      </c>
      <c r="D17" s="1342" t="s">
        <v>2148</v>
      </c>
      <c r="E17" s="1343"/>
      <c r="F17" s="1343">
        <v>61664</v>
      </c>
      <c r="G17" s="1343"/>
      <c r="H17" s="1343"/>
      <c r="I17" s="1343">
        <v>69563</v>
      </c>
      <c r="J17" s="1343"/>
      <c r="K17" s="1343">
        <v>0</v>
      </c>
      <c r="L17" s="1340">
        <f t="shared" si="0"/>
        <v>69563</v>
      </c>
      <c r="M17" s="1343" t="s">
        <v>2118</v>
      </c>
    </row>
    <row r="18" spans="2:14" ht="20.100000000000001" customHeight="1" x14ac:dyDescent="0.2">
      <c r="B18" s="1337" t="s">
        <v>2150</v>
      </c>
      <c r="C18" s="1341">
        <v>84.173000000000002</v>
      </c>
      <c r="D18" s="1342" t="s">
        <v>2151</v>
      </c>
      <c r="E18" s="1343">
        <v>8740</v>
      </c>
      <c r="F18" s="1343">
        <v>1194</v>
      </c>
      <c r="G18" s="1343">
        <v>9934</v>
      </c>
      <c r="H18" s="1343"/>
      <c r="I18" s="1343"/>
      <c r="J18" s="1343"/>
      <c r="K18" s="1343">
        <v>0</v>
      </c>
      <c r="L18" s="1340">
        <f t="shared" si="0"/>
        <v>9934</v>
      </c>
      <c r="M18" s="1343">
        <v>9934</v>
      </c>
    </row>
    <row r="19" spans="2:14" ht="20.100000000000001" customHeight="1" x14ac:dyDescent="0.2">
      <c r="B19" s="1337" t="s">
        <v>2152</v>
      </c>
      <c r="C19" s="1341">
        <v>84.176299999999998</v>
      </c>
      <c r="D19" s="1342" t="s">
        <v>2153</v>
      </c>
      <c r="E19" s="1343"/>
      <c r="F19" s="1343">
        <v>8740</v>
      </c>
      <c r="G19" s="1343"/>
      <c r="H19" s="1343"/>
      <c r="I19" s="1343">
        <v>8740</v>
      </c>
      <c r="J19" s="1343"/>
      <c r="K19" s="1343">
        <v>0</v>
      </c>
      <c r="L19" s="1340">
        <f t="shared" si="0"/>
        <v>8740</v>
      </c>
      <c r="M19" s="1343">
        <v>8740</v>
      </c>
    </row>
    <row r="20" spans="2:14" ht="20.100000000000001" customHeight="1" x14ac:dyDescent="0.2">
      <c r="B20" s="1337" t="s">
        <v>2154</v>
      </c>
      <c r="C20" s="1341"/>
      <c r="D20" s="1342"/>
      <c r="E20" s="1343">
        <f>SUM(E14:E19)</f>
        <v>509025</v>
      </c>
      <c r="F20" s="1343">
        <f>SUM(F14:F19)</f>
        <v>563002</v>
      </c>
      <c r="G20" s="1343">
        <f>SUM(G14:G19)</f>
        <v>537664</v>
      </c>
      <c r="H20" s="1343"/>
      <c r="I20" s="1343">
        <f>SUM(I15:I19)</f>
        <v>552477</v>
      </c>
      <c r="J20" s="1343"/>
      <c r="K20" s="1343">
        <f>SUM(K15:K19)</f>
        <v>0</v>
      </c>
      <c r="L20" s="1340">
        <f t="shared" si="0"/>
        <v>1090141</v>
      </c>
      <c r="M20" s="1343">
        <f>SUM(M14:M19)</f>
        <v>923377</v>
      </c>
    </row>
    <row r="21" spans="2:14" ht="20.100000000000001" customHeight="1" x14ac:dyDescent="0.2">
      <c r="B21" s="1337" t="s">
        <v>2155</v>
      </c>
      <c r="C21" s="1341"/>
      <c r="D21" s="1342"/>
      <c r="E21" s="1343"/>
      <c r="F21" s="1343"/>
      <c r="G21" s="1343"/>
      <c r="H21" s="1343"/>
      <c r="I21" s="1343"/>
      <c r="J21" s="1343"/>
      <c r="K21" s="1343"/>
      <c r="L21" s="1340">
        <f t="shared" si="0"/>
        <v>0</v>
      </c>
      <c r="M21" s="1343"/>
    </row>
    <row r="22" spans="2:14" ht="20.100000000000001" customHeight="1" x14ac:dyDescent="0.2">
      <c r="B22" s="1337" t="s">
        <v>2156</v>
      </c>
      <c r="C22" s="1341"/>
      <c r="D22" s="1342"/>
      <c r="E22" s="1343"/>
      <c r="F22" s="1343"/>
      <c r="G22" s="1343"/>
      <c r="H22" s="1343"/>
      <c r="I22" s="1343"/>
      <c r="J22" s="1343"/>
      <c r="K22" s="1343"/>
      <c r="L22" s="1340">
        <f t="shared" si="0"/>
        <v>0</v>
      </c>
      <c r="M22" s="1343"/>
    </row>
    <row r="23" spans="2:14" ht="20.100000000000001" customHeight="1" x14ac:dyDescent="0.2">
      <c r="B23" s="1337" t="s">
        <v>2157</v>
      </c>
      <c r="C23" s="1341">
        <v>84.01</v>
      </c>
      <c r="D23" s="1342" t="s">
        <v>2158</v>
      </c>
      <c r="E23" s="1343">
        <v>218910</v>
      </c>
      <c r="F23" s="1343">
        <v>47207</v>
      </c>
      <c r="G23" s="1343">
        <v>266417</v>
      </c>
      <c r="H23" s="1343"/>
      <c r="I23" s="1343"/>
      <c r="J23" s="1343"/>
      <c r="K23" s="1343">
        <v>0</v>
      </c>
      <c r="L23" s="1340">
        <f t="shared" si="0"/>
        <v>266417</v>
      </c>
      <c r="M23" s="1343">
        <v>268007</v>
      </c>
    </row>
    <row r="24" spans="2:14" ht="20.100000000000001" customHeight="1" x14ac:dyDescent="0.2">
      <c r="B24" s="1337" t="s">
        <v>2159</v>
      </c>
      <c r="C24" s="1341">
        <v>84.01</v>
      </c>
      <c r="D24" s="1342" t="s">
        <v>2160</v>
      </c>
      <c r="E24" s="1343"/>
      <c r="F24" s="1343">
        <v>234981</v>
      </c>
      <c r="G24" s="1343"/>
      <c r="H24" s="1343"/>
      <c r="I24" s="1343">
        <v>265672</v>
      </c>
      <c r="J24" s="1343"/>
      <c r="K24" s="1343">
        <v>0</v>
      </c>
      <c r="L24" s="1340">
        <f t="shared" si="0"/>
        <v>265672</v>
      </c>
      <c r="M24" s="1343">
        <v>270211</v>
      </c>
    </row>
    <row r="25" spans="2:14" ht="20.100000000000001" customHeight="1" x14ac:dyDescent="0.2">
      <c r="B25" s="1337" t="s">
        <v>2161</v>
      </c>
      <c r="C25" s="1341">
        <v>84.367000000000004</v>
      </c>
      <c r="D25" s="1342" t="s">
        <v>2162</v>
      </c>
      <c r="E25" s="1343"/>
      <c r="F25" s="1343">
        <v>65198</v>
      </c>
      <c r="G25" s="1343"/>
      <c r="H25" s="1343"/>
      <c r="I25" s="1343">
        <v>65198</v>
      </c>
      <c r="J25" s="1343"/>
      <c r="K25" s="1343">
        <v>0</v>
      </c>
      <c r="L25" s="1340">
        <f t="shared" si="0"/>
        <v>65198</v>
      </c>
      <c r="M25" s="1343">
        <v>65198</v>
      </c>
    </row>
    <row r="26" spans="2:14" ht="20.100000000000001" customHeight="1" x14ac:dyDescent="0.2">
      <c r="B26" s="1337" t="s">
        <v>2163</v>
      </c>
      <c r="C26" s="1341">
        <v>84.424000000000007</v>
      </c>
      <c r="D26" s="1342" t="s">
        <v>2164</v>
      </c>
      <c r="E26" s="1343"/>
      <c r="F26" s="1343">
        <v>6363</v>
      </c>
      <c r="G26" s="1343"/>
      <c r="H26" s="1343"/>
      <c r="I26" s="1343">
        <v>9091</v>
      </c>
      <c r="J26" s="1343"/>
      <c r="K26" s="1343">
        <v>0</v>
      </c>
      <c r="L26" s="1340">
        <f t="shared" si="0"/>
        <v>9091</v>
      </c>
      <c r="M26" s="1343">
        <v>10000</v>
      </c>
    </row>
    <row r="27" spans="2:14" ht="20.100000000000001" customHeight="1" x14ac:dyDescent="0.2">
      <c r="B27" s="1337" t="s">
        <v>2166</v>
      </c>
      <c r="C27" s="1341"/>
      <c r="D27" s="1342"/>
      <c r="E27" s="1343">
        <f>SUM(E23:E26)</f>
        <v>218910</v>
      </c>
      <c r="F27" s="1343">
        <f>SUM(F23:F26)</f>
        <v>353749</v>
      </c>
      <c r="G27" s="1343">
        <f>SUM(G23:G26)</f>
        <v>266417</v>
      </c>
      <c r="H27" s="1343"/>
      <c r="I27" s="1343">
        <f>SUM(I24:I26)</f>
        <v>339961</v>
      </c>
      <c r="J27" s="1343"/>
      <c r="K27" s="1343">
        <f>SUM(K23:K26)</f>
        <v>0</v>
      </c>
      <c r="L27" s="1340">
        <f t="shared" si="0"/>
        <v>606378</v>
      </c>
      <c r="M27" s="1343">
        <f>SUM(M23:M26)</f>
        <v>613416</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115" zoomScaleNormal="115" workbookViewId="0">
      <selection activeCell="M16" sqref="M1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Sandwich CUSD 430</v>
      </c>
      <c r="C1" s="2466"/>
      <c r="D1" s="2466"/>
      <c r="E1" s="2466"/>
      <c r="F1" s="2466"/>
      <c r="G1" s="2466"/>
      <c r="H1" s="2466"/>
      <c r="I1" s="2466"/>
      <c r="J1" s="2466"/>
      <c r="K1" s="2466"/>
      <c r="L1" s="2466"/>
      <c r="M1" s="2466"/>
    </row>
    <row r="2" spans="2:14" ht="15" x14ac:dyDescent="0.2">
      <c r="B2" s="2463">
        <f>'Single Audit Cover'!E7</f>
        <v>16019430026</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2167</v>
      </c>
      <c r="C11" s="1338"/>
      <c r="D11" s="1339"/>
      <c r="E11" s="1340"/>
      <c r="F11" s="1340"/>
      <c r="G11" s="1340"/>
      <c r="H11" s="1340"/>
      <c r="I11" s="1340"/>
      <c r="J11" s="1340"/>
      <c r="K11" s="1340"/>
      <c r="L11" s="1340">
        <f>+G11+I11+K11</f>
        <v>0</v>
      </c>
      <c r="M11" s="1340"/>
    </row>
    <row r="12" spans="2:14" ht="20.100000000000001" customHeight="1" x14ac:dyDescent="0.2">
      <c r="B12" s="1337" t="s">
        <v>2168</v>
      </c>
      <c r="C12" s="1341"/>
      <c r="D12" s="1342"/>
      <c r="E12" s="1343"/>
      <c r="F12" s="1343"/>
      <c r="G12" s="1343"/>
      <c r="H12" s="1343"/>
      <c r="I12" s="1343"/>
      <c r="J12" s="1343"/>
      <c r="K12" s="1343"/>
      <c r="L12" s="1340">
        <f t="shared" ref="L12:L27" si="0">+G12+I12+K12</f>
        <v>0</v>
      </c>
      <c r="M12" s="1343"/>
    </row>
    <row r="13" spans="2:14" ht="20.100000000000001" customHeight="1" x14ac:dyDescent="0.2">
      <c r="B13" s="1337" t="s">
        <v>2169</v>
      </c>
      <c r="C13" s="1341">
        <v>84.048000000000002</v>
      </c>
      <c r="D13" s="1342" t="s">
        <v>2170</v>
      </c>
      <c r="E13" s="1343"/>
      <c r="F13" s="1343">
        <v>16035</v>
      </c>
      <c r="G13" s="1343"/>
      <c r="H13" s="1343"/>
      <c r="I13" s="1343">
        <v>15097</v>
      </c>
      <c r="J13" s="1343"/>
      <c r="K13" s="1343">
        <v>0</v>
      </c>
      <c r="L13" s="1340">
        <f t="shared" si="0"/>
        <v>15097</v>
      </c>
      <c r="M13" s="1343" t="s">
        <v>2118</v>
      </c>
    </row>
    <row r="14" spans="2:14" ht="20.100000000000001" customHeight="1" x14ac:dyDescent="0.2">
      <c r="B14" s="1337" t="s">
        <v>2165</v>
      </c>
      <c r="C14" s="1341"/>
      <c r="D14" s="1342"/>
      <c r="E14" s="1343">
        <f>+E13+' SEFA (2)'!E27</f>
        <v>218910</v>
      </c>
      <c r="F14" s="1343">
        <f>+F13+' SEFA (2)'!F27</f>
        <v>369784</v>
      </c>
      <c r="G14" s="1343">
        <f>+G13+' SEFA (2)'!G27</f>
        <v>266417</v>
      </c>
      <c r="H14" s="1343"/>
      <c r="I14" s="1343">
        <f>+I13+' SEFA (2)'!I27</f>
        <v>355058</v>
      </c>
      <c r="J14" s="1343"/>
      <c r="K14" s="1343">
        <f>+K13+' SEFA (2)'!K27</f>
        <v>0</v>
      </c>
      <c r="L14" s="1340">
        <f t="shared" si="0"/>
        <v>621475</v>
      </c>
      <c r="M14" s="1343">
        <f>+' SEFA (2)'!M27</f>
        <v>613416</v>
      </c>
    </row>
    <row r="15" spans="2:14" ht="20.100000000000001" customHeight="1" x14ac:dyDescent="0.2">
      <c r="B15" s="1337" t="s">
        <v>2171</v>
      </c>
      <c r="C15" s="1341"/>
      <c r="D15" s="1342"/>
      <c r="E15" s="1343">
        <f>+E14+' SEFA (2)'!E20+' SEFA'!E27+' SEFA'!E21</f>
        <v>1063781</v>
      </c>
      <c r="F15" s="1343">
        <f>+F14+' SEFA (2)'!F20+' SEFA'!F27+' SEFA'!F21</f>
        <v>1416847</v>
      </c>
      <c r="G15" s="1343">
        <f>+G14+' SEFA (2)'!G20+' SEFA'!G27+' SEFA'!G21</f>
        <v>1150028</v>
      </c>
      <c r="H15" s="1343"/>
      <c r="I15" s="1343">
        <f>+I14+' SEFA (2)'!I20+' SEFA'!I27+' SEFA'!I21</f>
        <v>1384861</v>
      </c>
      <c r="J15" s="1343"/>
      <c r="K15" s="1343">
        <f>+K14+' SEFA (2)'!K20+' SEFA'!K27+' SEFA'!K21</f>
        <v>0</v>
      </c>
      <c r="L15" s="1340">
        <f t="shared" si="0"/>
        <v>2534889</v>
      </c>
      <c r="M15" s="1343">
        <f>+M14+' SEFA (2)'!M20</f>
        <v>1536793</v>
      </c>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52" sqref="G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Sandwich CUSD 430</v>
      </c>
      <c r="C1" s="2481"/>
      <c r="D1" s="2481"/>
      <c r="E1" s="2481"/>
      <c r="F1" s="2481"/>
      <c r="G1" s="2481"/>
      <c r="H1" s="2481"/>
      <c r="I1" s="2481"/>
      <c r="J1" s="1422"/>
    </row>
    <row r="2" spans="2:10" s="317" customFormat="1" ht="12.75" customHeight="1" x14ac:dyDescent="0.2">
      <c r="B2" s="2482">
        <f>'Single Audit Cover'!E7</f>
        <v>16019430026</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t="s">
        <v>2172</v>
      </c>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2079</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2079</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2079</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t="s">
        <v>2172</v>
      </c>
      <c r="E29" s="2487"/>
      <c r="F29" s="2487"/>
      <c r="G29" s="2487"/>
      <c r="H29" s="2487"/>
      <c r="I29" s="2487"/>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2079</v>
      </c>
      <c r="F33" s="1300" t="s">
        <v>940</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8" t="s">
        <v>1852</v>
      </c>
      <c r="D37" s="2489"/>
      <c r="E37" s="2489"/>
      <c r="F37" s="2490"/>
      <c r="G37" s="2488" t="s">
        <v>1674</v>
      </c>
      <c r="H37" s="2489"/>
      <c r="I37" s="2490"/>
    </row>
    <row r="38" spans="2:9" ht="16.5" customHeight="1" x14ac:dyDescent="0.2">
      <c r="B38" s="1444" t="s">
        <v>2173</v>
      </c>
      <c r="C38" s="2476" t="s">
        <v>2174</v>
      </c>
      <c r="D38" s="2477"/>
      <c r="E38" s="2477"/>
      <c r="F38" s="2478"/>
      <c r="G38" s="2491">
        <v>552477</v>
      </c>
      <c r="H38" s="2492"/>
      <c r="I38" s="2493"/>
    </row>
    <row r="39" spans="2:9" ht="16.5" customHeight="1" x14ac:dyDescent="0.2">
      <c r="B39" s="1444">
        <v>84.424000000000007</v>
      </c>
      <c r="C39" s="2476" t="s">
        <v>2175</v>
      </c>
      <c r="D39" s="2477"/>
      <c r="E39" s="2477"/>
      <c r="F39" s="2478"/>
      <c r="G39" s="2479">
        <v>9091</v>
      </c>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561568</v>
      </c>
      <c r="H43" s="2472"/>
      <c r="I43" s="2472"/>
    </row>
    <row r="44" spans="2:9" ht="12.75" customHeight="1" x14ac:dyDescent="0.2"/>
    <row r="45" spans="2:9" ht="12.75" customHeight="1" x14ac:dyDescent="0.2">
      <c r="B45" s="1435" t="s">
        <v>1949</v>
      </c>
      <c r="D45" s="2473">
        <v>1384861</v>
      </c>
      <c r="E45" s="2474"/>
    </row>
    <row r="46" spans="2:9" ht="5.25" customHeight="1" x14ac:dyDescent="0.2">
      <c r="B46" s="1445"/>
      <c r="D46" s="1446"/>
      <c r="E46" s="1447"/>
    </row>
    <row r="47" spans="2:9" ht="12.75" customHeight="1" x14ac:dyDescent="0.2">
      <c r="B47" s="1300" t="s">
        <v>1676</v>
      </c>
      <c r="C47" s="1300"/>
      <c r="D47" s="1448">
        <f>+G43/D45</f>
        <v>0.40550495681516052</v>
      </c>
      <c r="E47" s="1449"/>
      <c r="F47" s="1450"/>
      <c r="I47" s="1451"/>
    </row>
    <row r="48" spans="2:9" ht="9.9499999999999993" customHeight="1" x14ac:dyDescent="0.2"/>
    <row r="49" spans="1:9" x14ac:dyDescent="0.2">
      <c r="B49" s="1368" t="s">
        <v>1335</v>
      </c>
      <c r="C49" s="1282"/>
      <c r="D49" s="1282"/>
      <c r="E49" s="2475">
        <v>750000</v>
      </c>
      <c r="F49" s="2475"/>
      <c r="G49" s="2475"/>
      <c r="H49" s="322"/>
    </row>
    <row r="51" spans="1:9" ht="13.5" customHeight="1" x14ac:dyDescent="0.2">
      <c r="B51" s="1368" t="s">
        <v>1334</v>
      </c>
      <c r="C51" s="1282"/>
      <c r="E51" s="1438"/>
      <c r="F51" s="1300" t="s">
        <v>940</v>
      </c>
      <c r="G51" s="1438" t="s">
        <v>2079</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Q32" sqref="Q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Sandwich CUSD 430</v>
      </c>
      <c r="C1" s="2480"/>
      <c r="D1" s="2480"/>
      <c r="E1" s="2480"/>
      <c r="F1" s="2480"/>
      <c r="G1" s="2480"/>
      <c r="H1" s="2480"/>
      <c r="I1" s="2480"/>
      <c r="J1" s="2480"/>
      <c r="K1" s="2480"/>
      <c r="L1" s="1374"/>
      <c r="M1" s="1374"/>
    </row>
    <row r="2" spans="1:13" ht="12" customHeight="1" x14ac:dyDescent="0.2">
      <c r="B2" s="2482">
        <f>'Single Audit Cover'!E7</f>
        <v>16019430026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1</v>
      </c>
      <c r="E10" s="322"/>
      <c r="F10" s="1387" t="s">
        <v>1362</v>
      </c>
      <c r="G10" s="1388"/>
      <c r="H10" s="1389" t="s">
        <v>1361</v>
      </c>
      <c r="I10" s="1388" t="s">
        <v>2079</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2177</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2176</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9" t="s">
        <v>2178</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2179</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2180</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2181</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4" t="s">
        <v>2182</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P25" sqref="P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Sandwich CUSD 430</v>
      </c>
      <c r="C1" s="2480"/>
      <c r="D1" s="2480"/>
      <c r="E1" s="2480"/>
      <c r="F1" s="2480"/>
      <c r="G1" s="2480"/>
      <c r="H1" s="2480"/>
      <c r="I1" s="2480"/>
      <c r="J1" s="2480"/>
      <c r="K1" s="2480"/>
      <c r="L1" s="1374"/>
      <c r="M1" s="1374"/>
    </row>
    <row r="2" spans="1:13" ht="12" customHeight="1" x14ac:dyDescent="0.2">
      <c r="B2" s="2482">
        <f>'Single Audit Cover'!E7</f>
        <v>16019430026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2</v>
      </c>
      <c r="E10" s="322"/>
      <c r="F10" s="1387" t="s">
        <v>1362</v>
      </c>
      <c r="G10" s="1388"/>
      <c r="H10" s="1389" t="s">
        <v>1361</v>
      </c>
      <c r="I10" s="1388" t="s">
        <v>2079</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2184</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2183</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9" t="s">
        <v>2185</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2186</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2187</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2188</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4" t="s">
        <v>2182</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B30" sqref="B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Sandwich CUSD 430</v>
      </c>
      <c r="C1" s="2480"/>
      <c r="D1" s="2480"/>
      <c r="E1" s="2480"/>
      <c r="F1" s="2480"/>
      <c r="G1" s="2480"/>
      <c r="H1" s="2480"/>
      <c r="I1" s="2480"/>
      <c r="J1" s="2480"/>
      <c r="K1" s="2480"/>
      <c r="L1" s="1374"/>
      <c r="M1" s="1374"/>
    </row>
    <row r="2" spans="1:13" ht="12" customHeight="1" x14ac:dyDescent="0.2">
      <c r="B2" s="2482">
        <f>'Single Audit Cover'!E7</f>
        <v>16019430026</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3</v>
      </c>
      <c r="E10" s="322"/>
      <c r="F10" s="1387" t="s">
        <v>1362</v>
      </c>
      <c r="G10" s="1388"/>
      <c r="H10" s="1389" t="s">
        <v>1361</v>
      </c>
      <c r="I10" s="1388" t="s">
        <v>2079</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2189</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2190</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9" t="s">
        <v>2191</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2192</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2193</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2194</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4" t="s">
        <v>2182</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H42" sqref="H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Sandwich CUSD 430</v>
      </c>
      <c r="C1" s="2503"/>
      <c r="D1" s="2503"/>
      <c r="E1" s="2503"/>
      <c r="F1" s="2503"/>
      <c r="G1" s="2503"/>
      <c r="H1" s="2503"/>
      <c r="I1" s="2503"/>
      <c r="J1" s="2503"/>
      <c r="K1" s="2503"/>
      <c r="L1" s="1465"/>
    </row>
    <row r="2" spans="1:12" ht="12.75" customHeight="1" x14ac:dyDescent="0.2">
      <c r="B2" s="2504">
        <f>'Single Audit Cover'!E7</f>
        <v>16019430026</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v>4</v>
      </c>
      <c r="E8" s="322"/>
      <c r="F8" s="1384" t="s">
        <v>1362</v>
      </c>
      <c r="G8" s="1469" t="s">
        <v>2079</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t="s">
        <v>2195</v>
      </c>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t="s">
        <v>2196</v>
      </c>
      <c r="E14" s="2500"/>
      <c r="F14" s="2500"/>
      <c r="H14" s="1475" t="s">
        <v>1370</v>
      </c>
      <c r="I14" s="2501" t="s">
        <v>2197</v>
      </c>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t="s">
        <v>425</v>
      </c>
      <c r="E16" s="2501"/>
      <c r="F16" s="2501"/>
      <c r="G16" s="2501"/>
      <c r="H16" s="2501"/>
      <c r="I16" s="2501"/>
      <c r="J16" s="2501"/>
      <c r="K16" s="2501"/>
      <c r="L16" s="322"/>
    </row>
    <row r="17" spans="2:12" ht="13.5" customHeight="1" x14ac:dyDescent="0.2">
      <c r="B17" s="1387" t="s">
        <v>1368</v>
      </c>
      <c r="C17" s="1387"/>
      <c r="D17" s="2502" t="s">
        <v>2198</v>
      </c>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t="s">
        <v>2199</v>
      </c>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5" t="s">
        <v>2200</v>
      </c>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5" t="s">
        <v>2117</v>
      </c>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5" t="s">
        <v>2201</v>
      </c>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t="s">
        <v>2202</v>
      </c>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t="s">
        <v>2203</v>
      </c>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t="s">
        <v>2204</v>
      </c>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5" t="s">
        <v>2205</v>
      </c>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7" sqref="C2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Sandwich CUSD 430</v>
      </c>
      <c r="C1" s="2480"/>
      <c r="D1" s="2480"/>
      <c r="E1" s="1491"/>
    </row>
    <row r="2" spans="2:5" s="1282" customFormat="1" ht="12.75" customHeight="1" x14ac:dyDescent="0.2">
      <c r="B2" s="2482">
        <f>'Single Audit Cover'!E7</f>
        <v>16019430026</v>
      </c>
      <c r="C2" s="2482"/>
      <c r="D2" s="2482"/>
      <c r="E2" s="1492"/>
    </row>
    <row r="3" spans="2:5" ht="12.75" customHeight="1" x14ac:dyDescent="0.2">
      <c r="B3" s="2496" t="s">
        <v>1867</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t="s">
        <v>2206</v>
      </c>
      <c r="C7" s="324" t="s">
        <v>2208</v>
      </c>
      <c r="D7" s="324" t="s">
        <v>2207</v>
      </c>
      <c r="E7" s="324"/>
    </row>
    <row r="8" spans="2:5" ht="13.5" customHeight="1" x14ac:dyDescent="0.2">
      <c r="B8" s="1496"/>
      <c r="C8" s="324" t="s">
        <v>2209</v>
      </c>
      <c r="D8" s="324"/>
      <c r="E8" s="324"/>
    </row>
    <row r="9" spans="2:5" ht="13.5" customHeight="1" x14ac:dyDescent="0.2">
      <c r="B9" s="1497"/>
      <c r="C9" s="323" t="s">
        <v>2210</v>
      </c>
      <c r="D9" s="323"/>
      <c r="E9" s="323"/>
    </row>
    <row r="10" spans="2:5" ht="13.5" customHeight="1" x14ac:dyDescent="0.2">
      <c r="B10" s="1496"/>
      <c r="C10" s="323" t="s">
        <v>2211</v>
      </c>
      <c r="D10" s="323"/>
      <c r="E10" s="323"/>
    </row>
    <row r="11" spans="2:5" ht="13.5" customHeight="1" x14ac:dyDescent="0.2">
      <c r="B11" s="1496"/>
      <c r="C11" s="323" t="s">
        <v>2212</v>
      </c>
      <c r="D11" s="323"/>
      <c r="E11" s="323"/>
    </row>
    <row r="12" spans="2:5" ht="13.5" customHeight="1" x14ac:dyDescent="0.2">
      <c r="B12" s="1496"/>
      <c r="C12" s="323" t="s">
        <v>2213</v>
      </c>
      <c r="D12" s="323"/>
      <c r="E12" s="323"/>
    </row>
    <row r="13" spans="2:5" ht="13.5" customHeight="1" x14ac:dyDescent="0.2">
      <c r="B13" s="1496"/>
      <c r="C13" s="323" t="s">
        <v>2214</v>
      </c>
      <c r="D13" s="323"/>
      <c r="E13" s="323"/>
    </row>
    <row r="14" spans="2:5" ht="13.5" customHeight="1" x14ac:dyDescent="0.2">
      <c r="B14" s="1496"/>
      <c r="C14" s="323"/>
      <c r="D14" s="323"/>
      <c r="E14" s="323"/>
    </row>
    <row r="15" spans="2:5" ht="13.5" customHeight="1" x14ac:dyDescent="0.2">
      <c r="B15" s="1496" t="s">
        <v>2215</v>
      </c>
      <c r="C15" s="323" t="s">
        <v>2217</v>
      </c>
      <c r="D15" s="323" t="s">
        <v>2216</v>
      </c>
      <c r="E15" s="323"/>
    </row>
    <row r="16" spans="2:5" ht="13.5" customHeight="1" x14ac:dyDescent="0.2">
      <c r="B16" s="1496"/>
      <c r="C16" s="323" t="s">
        <v>2218</v>
      </c>
      <c r="D16" s="323"/>
      <c r="E16" s="323"/>
    </row>
    <row r="17" spans="2:5" ht="13.5" customHeight="1" x14ac:dyDescent="0.2">
      <c r="B17" s="1496"/>
      <c r="C17" s="323" t="s">
        <v>2219</v>
      </c>
      <c r="D17" s="323"/>
      <c r="E17" s="323"/>
    </row>
    <row r="18" spans="2:5" ht="13.5" customHeight="1" x14ac:dyDescent="0.2">
      <c r="B18" s="1496"/>
      <c r="C18" s="323" t="s">
        <v>2220</v>
      </c>
      <c r="D18" s="323"/>
      <c r="E18" s="323"/>
    </row>
    <row r="19" spans="2:5" ht="13.5" customHeight="1" x14ac:dyDescent="0.2">
      <c r="B19" s="1496"/>
      <c r="C19" s="323" t="s">
        <v>2221</v>
      </c>
      <c r="D19" s="323"/>
      <c r="E19" s="323"/>
    </row>
    <row r="20" spans="2:5" ht="13.5" customHeight="1" x14ac:dyDescent="0.2">
      <c r="B20" s="1496"/>
      <c r="C20" s="323"/>
      <c r="D20" s="323"/>
      <c r="E20" s="323"/>
    </row>
    <row r="21" spans="2:5" ht="13.5" customHeight="1" x14ac:dyDescent="0.2">
      <c r="B21" s="1496" t="s">
        <v>2222</v>
      </c>
      <c r="C21" s="323" t="s">
        <v>2224</v>
      </c>
      <c r="D21" s="323" t="s">
        <v>2223</v>
      </c>
      <c r="E21" s="323"/>
    </row>
    <row r="22" spans="2:5" ht="13.5" customHeight="1" x14ac:dyDescent="0.2">
      <c r="B22" s="1496"/>
      <c r="C22" s="323" t="s">
        <v>2225</v>
      </c>
      <c r="D22" s="323"/>
      <c r="E22" s="323"/>
    </row>
    <row r="23" spans="2:5" ht="13.5" customHeight="1" x14ac:dyDescent="0.2">
      <c r="B23" s="1496"/>
      <c r="C23" s="323" t="s">
        <v>2226</v>
      </c>
      <c r="D23" s="323"/>
      <c r="E23" s="323"/>
    </row>
    <row r="24" spans="2:5" ht="13.5" customHeight="1" x14ac:dyDescent="0.2">
      <c r="B24" s="1496"/>
      <c r="C24" s="323" t="s">
        <v>2227</v>
      </c>
      <c r="D24" s="323"/>
      <c r="E24" s="323"/>
    </row>
    <row r="25" spans="2:5" ht="13.5" customHeight="1" x14ac:dyDescent="0.2">
      <c r="B25" s="1496"/>
      <c r="C25" s="323" t="s">
        <v>2228</v>
      </c>
      <c r="D25" s="323"/>
      <c r="E25" s="323"/>
    </row>
    <row r="26" spans="2:5" ht="13.5" customHeight="1" x14ac:dyDescent="0.2">
      <c r="B26" s="1496"/>
      <c r="C26" s="323" t="s">
        <v>2229</v>
      </c>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291471427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4.0550000000000003E-2</v>
      </c>
      <c r="E10" s="356" t="s">
        <v>1062</v>
      </c>
      <c r="F10" s="355">
        <v>5.5999999999999999E-3</v>
      </c>
      <c r="G10" s="356" t="s">
        <v>1062</v>
      </c>
      <c r="H10" s="355">
        <v>5.0000000000000001E-4</v>
      </c>
      <c r="I10" s="356" t="s">
        <v>1063</v>
      </c>
      <c r="J10" s="1754">
        <f>ROUND(D10+F10+H10,5)</f>
        <v>4.6649999999999997E-2</v>
      </c>
      <c r="K10" s="222"/>
      <c r="L10" s="355">
        <v>9.9999999999999995E-7</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23444457</v>
      </c>
      <c r="E16" s="356"/>
      <c r="F16" s="1755">
        <f>SUM('Acct Summary 7-8'!C17,'Acct Summary 7-8'!D17,'Acct Summary 7-8'!F17)</f>
        <v>23363229</v>
      </c>
      <c r="G16" s="356"/>
      <c r="H16" s="1755">
        <f>SUM(D16-F16)</f>
        <v>81228</v>
      </c>
      <c r="I16" s="222"/>
      <c r="J16" s="1755">
        <f>SUM('Acct Summary 7-8'!C81,'Acct Summary 7-8'!D81,'Acct Summary 7-8'!F81,'Acct Summary 7-8'!I81)</f>
        <v>305251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2919050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2919050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40223056.926000006</v>
      </c>
      <c r="I31" s="368"/>
      <c r="J31" s="222"/>
      <c r="K31" s="222"/>
      <c r="L31" s="222"/>
      <c r="M31" s="222"/>
    </row>
    <row r="32" spans="1:13" ht="13.35" customHeight="1" x14ac:dyDescent="0.2">
      <c r="B32" s="369" t="s">
        <v>2079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1496918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Sandwich CUSD 430</v>
      </c>
      <c r="E7" s="391"/>
      <c r="G7" s="252"/>
      <c r="H7" s="387"/>
      <c r="I7" s="387"/>
      <c r="J7" s="387"/>
      <c r="K7" s="387"/>
      <c r="L7" s="329"/>
      <c r="M7" s="329"/>
      <c r="N7" s="329"/>
      <c r="O7" s="329"/>
      <c r="P7" s="329"/>
    </row>
    <row r="8" spans="1:18" ht="12.75" x14ac:dyDescent="0.2">
      <c r="A8" s="329"/>
      <c r="B8" s="329"/>
      <c r="C8" s="389" t="s">
        <v>1187</v>
      </c>
      <c r="D8" s="392">
        <f>COVER!A13</f>
        <v>16019430026</v>
      </c>
      <c r="E8" s="393"/>
      <c r="G8" s="329"/>
      <c r="H8" s="329"/>
      <c r="I8" s="329"/>
      <c r="J8" s="329"/>
      <c r="K8" s="329"/>
      <c r="L8" s="329"/>
      <c r="M8" s="329"/>
      <c r="N8" s="329"/>
      <c r="O8" s="329"/>
      <c r="P8" s="329"/>
    </row>
    <row r="9" spans="1:18" ht="12.75" x14ac:dyDescent="0.2">
      <c r="A9" s="329"/>
      <c r="B9" s="329"/>
      <c r="C9" s="389" t="s">
        <v>737</v>
      </c>
      <c r="D9" s="394" t="str">
        <f>COVER!A15</f>
        <v>DeKalb / LaSalle / 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305251</v>
      </c>
      <c r="I12" s="404"/>
      <c r="J12" s="404"/>
      <c r="K12" s="405">
        <f>TRUNC((H12/H13*100000),5)/100000</f>
        <v>1.3020177799999999E-2</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23444457</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23363229</v>
      </c>
      <c r="I17" s="404"/>
      <c r="J17" s="416"/>
      <c r="K17" s="405">
        <f>TRUNC((H17/H18*100000),5)/100000</f>
        <v>0.99653530039999993</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23444457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3224301</v>
      </c>
      <c r="I24" s="422"/>
      <c r="J24" s="422"/>
      <c r="K24" s="423">
        <f>TRUNC(((H24/H25*100000)/100000),2)</f>
        <v>49.68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64897.858330000003</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11557570.759120001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1496918</v>
      </c>
      <c r="I32" s="420"/>
      <c r="J32" s="420"/>
      <c r="K32" s="423">
        <f>TRUNC(100-((((H32/H33*100))*100)/100),2)</f>
        <v>96.27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40223056.926000006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3.0999999999999996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2393081</v>
      </c>
      <c r="D4" s="466">
        <v>15492</v>
      </c>
      <c r="E4" s="466"/>
      <c r="F4" s="466">
        <v>63967</v>
      </c>
      <c r="G4" s="466"/>
      <c r="H4" s="466"/>
      <c r="I4" s="466">
        <v>751761</v>
      </c>
      <c r="J4" s="467">
        <v>915</v>
      </c>
      <c r="K4" s="466">
        <v>819145</v>
      </c>
      <c r="L4" s="466">
        <v>202505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2393081</v>
      </c>
      <c r="D13" s="1759">
        <f t="shared" ref="D13:L13" si="0">SUM(D4:D12)</f>
        <v>15492</v>
      </c>
      <c r="E13" s="1759">
        <f t="shared" si="0"/>
        <v>0</v>
      </c>
      <c r="F13" s="1759">
        <f t="shared" si="0"/>
        <v>63967</v>
      </c>
      <c r="G13" s="1759">
        <f t="shared" si="0"/>
        <v>0</v>
      </c>
      <c r="H13" s="1759">
        <f t="shared" si="0"/>
        <v>0</v>
      </c>
      <c r="I13" s="1759">
        <f t="shared" si="0"/>
        <v>751761</v>
      </c>
      <c r="J13" s="1759">
        <f t="shared" si="0"/>
        <v>915</v>
      </c>
      <c r="K13" s="1759">
        <f t="shared" si="0"/>
        <v>819145</v>
      </c>
      <c r="L13" s="1759">
        <f t="shared" si="0"/>
        <v>202505</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3754467</v>
      </c>
      <c r="N16" s="484"/>
    </row>
    <row r="17" spans="1:14" s="485" customFormat="1" ht="12.75" customHeight="1" x14ac:dyDescent="0.2">
      <c r="A17" s="482" t="s">
        <v>1470</v>
      </c>
      <c r="B17" s="483">
        <v>230</v>
      </c>
      <c r="C17" s="477"/>
      <c r="D17" s="477"/>
      <c r="E17" s="477"/>
      <c r="F17" s="477"/>
      <c r="G17" s="477"/>
      <c r="H17" s="477"/>
      <c r="I17" s="477"/>
      <c r="J17" s="477"/>
      <c r="K17" s="477"/>
      <c r="L17" s="477"/>
      <c r="M17" s="467">
        <f>20017535+199500-9814024-114713</f>
        <v>10288298</v>
      </c>
      <c r="N17" s="484"/>
    </row>
    <row r="18" spans="1:14" s="485" customFormat="1" ht="12.75" customHeight="1" x14ac:dyDescent="0.2">
      <c r="A18" s="482" t="s">
        <v>1471</v>
      </c>
      <c r="B18" s="483">
        <v>240</v>
      </c>
      <c r="C18" s="477"/>
      <c r="D18" s="477"/>
      <c r="E18" s="477"/>
      <c r="F18" s="477"/>
      <c r="G18" s="477"/>
      <c r="H18" s="477"/>
      <c r="I18" s="477"/>
      <c r="J18" s="477"/>
      <c r="K18" s="477"/>
      <c r="L18" s="477"/>
      <c r="M18" s="467">
        <v>201652</v>
      </c>
      <c r="N18" s="484"/>
    </row>
    <row r="19" spans="1:14" s="485" customFormat="1" ht="12.75" customHeight="1" x14ac:dyDescent="0.2">
      <c r="A19" s="482" t="s">
        <v>1472</v>
      </c>
      <c r="B19" s="483">
        <v>250</v>
      </c>
      <c r="C19" s="477"/>
      <c r="D19" s="477"/>
      <c r="E19" s="477"/>
      <c r="F19" s="477"/>
      <c r="G19" s="477"/>
      <c r="H19" s="477"/>
      <c r="I19" s="477"/>
      <c r="J19" s="477"/>
      <c r="K19" s="477"/>
      <c r="L19" s="477"/>
      <c r="M19" s="467">
        <f>5358230+2313821+10571-5066495-2259851-7439</f>
        <v>348837</v>
      </c>
      <c r="N19" s="484"/>
    </row>
    <row r="20" spans="1:14" s="485" customFormat="1" ht="12.75" customHeight="1" x14ac:dyDescent="0.2">
      <c r="A20" s="482" t="s">
        <v>1473</v>
      </c>
      <c r="B20" s="483">
        <v>260</v>
      </c>
      <c r="C20" s="477"/>
      <c r="D20" s="477"/>
      <c r="E20" s="477"/>
      <c r="F20" s="477"/>
      <c r="G20" s="477"/>
      <c r="H20" s="477"/>
      <c r="I20" s="477"/>
      <c r="J20" s="477"/>
      <c r="K20" s="477"/>
      <c r="L20" s="477"/>
      <c r="M20" s="467">
        <v>6245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1496918</v>
      </c>
    </row>
    <row r="23" spans="1:14" ht="13.5" customHeight="1" thickBot="1" x14ac:dyDescent="0.25">
      <c r="A23" s="1758" t="s">
        <v>664</v>
      </c>
      <c r="B23" s="1763"/>
      <c r="C23" s="468"/>
      <c r="D23" s="468"/>
      <c r="E23" s="468"/>
      <c r="F23" s="468"/>
      <c r="G23" s="468"/>
      <c r="H23" s="468"/>
      <c r="I23" s="468"/>
      <c r="J23" s="468"/>
      <c r="K23" s="468"/>
      <c r="L23" s="468"/>
      <c r="M23" s="1710">
        <f>SUM(M15:M22)</f>
        <v>14599499</v>
      </c>
      <c r="N23" s="1710">
        <f>SUM(N21:N22)</f>
        <v>1496918</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v>2919050</v>
      </c>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202505</v>
      </c>
      <c r="M33" s="468"/>
      <c r="N33" s="469"/>
    </row>
    <row r="34" spans="1:14" ht="13.5" customHeight="1" thickBot="1" x14ac:dyDescent="0.25">
      <c r="A34" s="1760" t="s">
        <v>675</v>
      </c>
      <c r="B34" s="1761"/>
      <c r="C34" s="1762">
        <f>SUM(C25:C33)</f>
        <v>2919050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202505</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1496918</v>
      </c>
    </row>
    <row r="37" spans="1:14" ht="13.5" thickBot="1" x14ac:dyDescent="0.25">
      <c r="A37" s="1758" t="s">
        <v>674</v>
      </c>
      <c r="B37" s="1763"/>
      <c r="C37" s="477"/>
      <c r="D37" s="477"/>
      <c r="E37" s="477"/>
      <c r="F37" s="477"/>
      <c r="G37" s="477"/>
      <c r="H37" s="477"/>
      <c r="I37" s="477"/>
      <c r="J37" s="477"/>
      <c r="K37" s="477"/>
      <c r="L37" s="480"/>
      <c r="M37" s="468"/>
      <c r="N37" s="1710">
        <f>SUM(N36:N36)</f>
        <v>1496918</v>
      </c>
    </row>
    <row r="38" spans="1:14" s="329" customFormat="1" ht="13.5" customHeight="1" thickTop="1" x14ac:dyDescent="0.2">
      <c r="A38" s="496" t="s">
        <v>440</v>
      </c>
      <c r="B38" s="483">
        <v>714</v>
      </c>
      <c r="C38" s="466">
        <v>899960</v>
      </c>
      <c r="D38" s="466"/>
      <c r="E38" s="466"/>
      <c r="F38" s="466"/>
      <c r="G38" s="466"/>
      <c r="H38" s="466"/>
      <c r="I38" s="466"/>
      <c r="J38" s="467"/>
      <c r="K38" s="466"/>
      <c r="L38" s="481"/>
      <c r="M38" s="497"/>
      <c r="N38" s="497"/>
    </row>
    <row r="39" spans="1:14" s="329" customFormat="1" ht="13.5" customHeight="1" x14ac:dyDescent="0.2">
      <c r="A39" s="496" t="s">
        <v>360</v>
      </c>
      <c r="B39" s="483">
        <v>730</v>
      </c>
      <c r="C39" s="466">
        <v>-1425929</v>
      </c>
      <c r="D39" s="466">
        <v>15492</v>
      </c>
      <c r="E39" s="466"/>
      <c r="F39" s="466">
        <v>63967</v>
      </c>
      <c r="G39" s="466"/>
      <c r="H39" s="466"/>
      <c r="I39" s="466">
        <v>751761</v>
      </c>
      <c r="J39" s="467">
        <v>915</v>
      </c>
      <c r="K39" s="466">
        <v>819145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14599499</v>
      </c>
      <c r="N40" s="497"/>
    </row>
    <row r="41" spans="1:14" ht="13.5" customHeight="1" thickBot="1" x14ac:dyDescent="0.25">
      <c r="A41" s="1758" t="s">
        <v>676</v>
      </c>
      <c r="B41" s="1728"/>
      <c r="C41" s="1710">
        <f>(SUM(C34,C37,C38,C39))</f>
        <v>2393081</v>
      </c>
      <c r="D41" s="1710">
        <f t="shared" ref="D41:L41" si="2">SUM(D34,D37,D38:D39)</f>
        <v>15492</v>
      </c>
      <c r="E41" s="1710">
        <f t="shared" si="2"/>
        <v>0</v>
      </c>
      <c r="F41" s="1710">
        <f t="shared" si="2"/>
        <v>63967</v>
      </c>
      <c r="G41" s="1710">
        <f t="shared" si="2"/>
        <v>0</v>
      </c>
      <c r="H41" s="1710">
        <f t="shared" si="2"/>
        <v>0</v>
      </c>
      <c r="I41" s="1710">
        <f t="shared" si="2"/>
        <v>751761</v>
      </c>
      <c r="J41" s="1710">
        <f t="shared" si="2"/>
        <v>915</v>
      </c>
      <c r="K41" s="1710">
        <f t="shared" si="2"/>
        <v>819145</v>
      </c>
      <c r="L41" s="1710">
        <f t="shared" si="2"/>
        <v>202505</v>
      </c>
      <c r="M41" s="1710">
        <f>SUM(M40)</f>
        <v>14599499</v>
      </c>
      <c r="N41" s="1710">
        <f>SUM(N37)</f>
        <v>1496918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C20" sqref="C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12908229</v>
      </c>
      <c r="D4" s="1764">
        <f>'Revenues 9-14'!D109</f>
        <v>1729223</v>
      </c>
      <c r="E4" s="1764">
        <f>'Revenues 9-14'!E109</f>
        <v>1007380</v>
      </c>
      <c r="F4" s="1764">
        <f>'Revenues 9-14'!F109</f>
        <v>130419</v>
      </c>
      <c r="G4" s="1764">
        <f>'Revenues 9-14'!G109</f>
        <v>446326</v>
      </c>
      <c r="H4" s="1764">
        <f>'Revenues 9-14'!H109</f>
        <v>0</v>
      </c>
      <c r="I4" s="1764">
        <f>'Revenues 9-14'!I109</f>
        <v>342</v>
      </c>
      <c r="J4" s="1764">
        <f>'Revenues 9-14'!J109</f>
        <v>308</v>
      </c>
      <c r="K4" s="1764">
        <f>'Revenues 9-14'!K109</f>
        <v>124203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6163092</v>
      </c>
      <c r="D6" s="1765">
        <f>'Revenues 9-14'!D173</f>
        <v>18403</v>
      </c>
      <c r="E6" s="1765">
        <f>'Revenues 9-14'!E173</f>
        <v>323915</v>
      </c>
      <c r="F6" s="1765">
        <f>'Revenues 9-14'!F173</f>
        <v>898123</v>
      </c>
      <c r="G6" s="1765">
        <f>'Revenues 9-14'!G173</f>
        <v>283911</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1596626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20667947</v>
      </c>
      <c r="D8" s="1710">
        <f t="shared" ref="D8:K8" si="0">SUM(D4:D7)</f>
        <v>1747626</v>
      </c>
      <c r="E8" s="1710">
        <f t="shared" si="0"/>
        <v>1331295</v>
      </c>
      <c r="F8" s="1710">
        <f t="shared" si="0"/>
        <v>1028542</v>
      </c>
      <c r="G8" s="1710">
        <f t="shared" si="0"/>
        <v>730237</v>
      </c>
      <c r="H8" s="1710">
        <f t="shared" si="0"/>
        <v>0</v>
      </c>
      <c r="I8" s="1710">
        <f t="shared" si="0"/>
        <v>342</v>
      </c>
      <c r="J8" s="1710">
        <f t="shared" si="0"/>
        <v>308</v>
      </c>
      <c r="K8" s="1710">
        <f t="shared" si="0"/>
        <v>124203</v>
      </c>
      <c r="L8" s="347"/>
    </row>
    <row r="9" spans="1:13" ht="15.75" thickTop="1" x14ac:dyDescent="0.2">
      <c r="A9" s="514" t="s">
        <v>1752</v>
      </c>
      <c r="B9" s="515">
        <v>3998</v>
      </c>
      <c r="C9" s="481">
        <v>1385466</v>
      </c>
      <c r="D9" s="516"/>
      <c r="E9" s="481"/>
      <c r="F9" s="481"/>
      <c r="G9" s="517"/>
      <c r="H9" s="481"/>
      <c r="I9" s="509" t="s">
        <v>1231</v>
      </c>
      <c r="J9" s="478"/>
      <c r="K9" s="481"/>
      <c r="L9" s="347"/>
    </row>
    <row r="10" spans="1:13" s="519" customFormat="1" ht="13.5" thickBot="1" x14ac:dyDescent="0.25">
      <c r="A10" s="1758" t="s">
        <v>1235</v>
      </c>
      <c r="B10" s="1731"/>
      <c r="C10" s="1710">
        <f>SUM(C8:C9)</f>
        <v>22053413</v>
      </c>
      <c r="D10" s="1710">
        <f t="shared" ref="D10:K10" si="1">SUM(D8:D9)</f>
        <v>1747626</v>
      </c>
      <c r="E10" s="1710">
        <f t="shared" si="1"/>
        <v>1331295</v>
      </c>
      <c r="F10" s="1710">
        <f t="shared" si="1"/>
        <v>1028542</v>
      </c>
      <c r="G10" s="1710">
        <f t="shared" si="1"/>
        <v>730237</v>
      </c>
      <c r="H10" s="1710">
        <f t="shared" si="1"/>
        <v>0</v>
      </c>
      <c r="I10" s="1710">
        <f t="shared" si="1"/>
        <v>342</v>
      </c>
      <c r="J10" s="1710">
        <f t="shared" si="1"/>
        <v>308</v>
      </c>
      <c r="K10" s="1710">
        <f t="shared" si="1"/>
        <v>124203</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15984379</v>
      </c>
      <c r="D12" s="520" t="s">
        <v>1231</v>
      </c>
      <c r="E12" s="468" t="s">
        <v>1231</v>
      </c>
      <c r="F12" s="468" t="s">
        <v>1231</v>
      </c>
      <c r="G12" s="1764">
        <f>'Expenditures 15-22'!K229</f>
        <v>317932</v>
      </c>
      <c r="H12" s="521"/>
      <c r="I12" s="468" t="s">
        <v>1231</v>
      </c>
      <c r="J12" s="468" t="s">
        <v>1231</v>
      </c>
      <c r="K12" s="521" t="s">
        <v>1231</v>
      </c>
      <c r="L12" s="347"/>
    </row>
    <row r="13" spans="1:13" ht="15.75" customHeight="1" x14ac:dyDescent="0.2">
      <c r="A13" s="1598" t="s">
        <v>477</v>
      </c>
      <c r="B13" s="1600">
        <v>2000</v>
      </c>
      <c r="C13" s="1765">
        <f>'Expenditures 15-22'!K74</f>
        <v>3987434</v>
      </c>
      <c r="D13" s="1765">
        <f>'Expenditures 15-22'!K129</f>
        <v>1801250</v>
      </c>
      <c r="E13" s="469" t="s">
        <v>1231</v>
      </c>
      <c r="F13" s="1765">
        <f>'Expenditures 15-22'!K184</f>
        <v>1037024</v>
      </c>
      <c r="G13" s="1765">
        <f>'Expenditures 15-22'!K279</f>
        <v>412136</v>
      </c>
      <c r="H13" s="1765">
        <f>'Expenditures 15-22'!K303</f>
        <v>0</v>
      </c>
      <c r="I13" s="468" t="s">
        <v>1231</v>
      </c>
      <c r="J13" s="1765">
        <f>'Expenditures 15-22'!K330</f>
        <v>0</v>
      </c>
      <c r="K13" s="1769">
        <f>'Expenditures 15-22'!K352</f>
        <v>61302</v>
      </c>
      <c r="L13" s="347"/>
    </row>
    <row r="14" spans="1:13" ht="15.75" customHeight="1" x14ac:dyDescent="0.2">
      <c r="A14" s="1598" t="s">
        <v>469</v>
      </c>
      <c r="B14" s="1600">
        <v>3000</v>
      </c>
      <c r="C14" s="1765">
        <f>'Expenditures 15-22'!K75</f>
        <v>2363</v>
      </c>
      <c r="D14" s="1765">
        <f>'Expenditures 15-22'!K130</f>
        <v>0</v>
      </c>
      <c r="E14" s="520" t="s">
        <v>1231</v>
      </c>
      <c r="F14" s="1765">
        <f>'Expenditures 15-22'!K185</f>
        <v>0</v>
      </c>
      <c r="G14" s="1765">
        <f>'Expenditures 15-22'!K280</f>
        <v>170</v>
      </c>
      <c r="H14" s="512"/>
      <c r="I14" s="468" t="s">
        <v>1231</v>
      </c>
      <c r="J14" s="468" t="s">
        <v>1231</v>
      </c>
      <c r="K14" s="512" t="s">
        <v>1231</v>
      </c>
      <c r="L14" s="347"/>
    </row>
    <row r="15" spans="1:13" ht="15.75" customHeight="1" x14ac:dyDescent="0.2">
      <c r="A15" s="1598" t="s">
        <v>109</v>
      </c>
      <c r="B15" s="1600">
        <v>4000</v>
      </c>
      <c r="C15" s="1765">
        <f>'Expenditures 15-22'!K102</f>
        <v>493997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56782</v>
      </c>
      <c r="D16" s="1765">
        <f>'Expenditures 15-22'!K149</f>
        <v>0</v>
      </c>
      <c r="E16" s="1765">
        <f>'Expenditures 15-22'!K172</f>
        <v>1265722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20524955</v>
      </c>
      <c r="D17" s="1710">
        <f t="shared" si="2"/>
        <v>1801250</v>
      </c>
      <c r="E17" s="1710">
        <f t="shared" si="2"/>
        <v>1265722</v>
      </c>
      <c r="F17" s="1710">
        <f t="shared" si="2"/>
        <v>1037024</v>
      </c>
      <c r="G17" s="1710">
        <f t="shared" si="2"/>
        <v>730238</v>
      </c>
      <c r="H17" s="1710">
        <f t="shared" si="2"/>
        <v>0</v>
      </c>
      <c r="I17" s="468"/>
      <c r="J17" s="1710">
        <f>SUM(J12:J16)</f>
        <v>0</v>
      </c>
      <c r="K17" s="1710">
        <f>SUM(K12:K16)</f>
        <v>61302</v>
      </c>
      <c r="L17" s="347"/>
    </row>
    <row r="18" spans="1:12" ht="15" customHeight="1" thickTop="1" x14ac:dyDescent="0.2">
      <c r="A18" s="1766" t="s">
        <v>1753</v>
      </c>
      <c r="B18" s="1767">
        <v>4180</v>
      </c>
      <c r="C18" s="1764">
        <f t="shared" ref="C18:H18" si="3">C9</f>
        <v>1385466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21910421</v>
      </c>
      <c r="D19" s="1710">
        <f t="shared" si="4"/>
        <v>1801250</v>
      </c>
      <c r="E19" s="1710">
        <f t="shared" si="4"/>
        <v>1265722</v>
      </c>
      <c r="F19" s="1710">
        <f t="shared" si="4"/>
        <v>1037024</v>
      </c>
      <c r="G19" s="1710">
        <f t="shared" si="4"/>
        <v>730238</v>
      </c>
      <c r="H19" s="1710">
        <f t="shared" si="4"/>
        <v>0</v>
      </c>
      <c r="I19" s="468"/>
      <c r="J19" s="1710">
        <f>SUM(J17:J18)</f>
        <v>0</v>
      </c>
      <c r="K19" s="1710">
        <f>SUM(K17:K18)</f>
        <v>61302</v>
      </c>
      <c r="L19" s="347"/>
    </row>
    <row r="20" spans="1:12" ht="16.5" thickTop="1" thickBot="1" x14ac:dyDescent="0.25">
      <c r="A20" s="2146" t="s">
        <v>1754</v>
      </c>
      <c r="B20" s="2147"/>
      <c r="C20" s="1768">
        <f>C8-C17</f>
        <v>142992</v>
      </c>
      <c r="D20" s="1768">
        <f t="shared" ref="D20:K20" si="5">D8-D17</f>
        <v>-53624</v>
      </c>
      <c r="E20" s="1768">
        <f t="shared" si="5"/>
        <v>65573</v>
      </c>
      <c r="F20" s="1768">
        <f t="shared" si="5"/>
        <v>-8482</v>
      </c>
      <c r="G20" s="1768">
        <f t="shared" si="5"/>
        <v>-1</v>
      </c>
      <c r="H20" s="1768">
        <f t="shared" si="5"/>
        <v>0</v>
      </c>
      <c r="I20" s="1768">
        <f t="shared" si="5"/>
        <v>342</v>
      </c>
      <c r="J20" s="1768">
        <f t="shared" si="5"/>
        <v>308</v>
      </c>
      <c r="K20" s="1768">
        <f t="shared" si="5"/>
        <v>62901</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142992</v>
      </c>
      <c r="D78" s="1724">
        <f t="shared" si="9"/>
        <v>-53624</v>
      </c>
      <c r="E78" s="1724">
        <f t="shared" si="9"/>
        <v>65573</v>
      </c>
      <c r="F78" s="1724">
        <f t="shared" si="9"/>
        <v>-8482</v>
      </c>
      <c r="G78" s="1724">
        <f t="shared" si="9"/>
        <v>-1</v>
      </c>
      <c r="H78" s="1724">
        <f t="shared" si="9"/>
        <v>0</v>
      </c>
      <c r="I78" s="1724">
        <f t="shared" si="9"/>
        <v>342</v>
      </c>
      <c r="J78" s="1724">
        <f t="shared" si="9"/>
        <v>308</v>
      </c>
      <c r="K78" s="1724">
        <f t="shared" si="9"/>
        <v>62901</v>
      </c>
      <c r="L78" s="533"/>
    </row>
    <row r="79" spans="1:12" ht="13.5" thickTop="1" x14ac:dyDescent="0.2">
      <c r="A79" s="1516" t="s">
        <v>2069</v>
      </c>
      <c r="B79" s="534"/>
      <c r="C79" s="478">
        <v>-668961</v>
      </c>
      <c r="D79" s="535">
        <v>69116</v>
      </c>
      <c r="E79" s="535">
        <v>-65573</v>
      </c>
      <c r="F79" s="535">
        <v>72449</v>
      </c>
      <c r="G79" s="535">
        <v>1</v>
      </c>
      <c r="H79" s="535"/>
      <c r="I79" s="535">
        <v>751419</v>
      </c>
      <c r="J79" s="535">
        <v>607</v>
      </c>
      <c r="K79" s="535">
        <v>756244</v>
      </c>
      <c r="L79" s="347"/>
    </row>
    <row r="80" spans="1:12" x14ac:dyDescent="0.2">
      <c r="A80" s="2148" t="s">
        <v>1896</v>
      </c>
      <c r="B80" s="2149"/>
      <c r="C80" s="467"/>
      <c r="D80" s="467"/>
      <c r="E80" s="467"/>
      <c r="F80" s="467"/>
      <c r="G80" s="467"/>
      <c r="H80" s="467"/>
      <c r="I80" s="467"/>
      <c r="J80" s="467"/>
      <c r="K80" s="467"/>
      <c r="L80" s="347"/>
    </row>
    <row r="81" spans="1:12" ht="13.5" thickBot="1" x14ac:dyDescent="0.25">
      <c r="A81" s="2140" t="s">
        <v>2070</v>
      </c>
      <c r="B81" s="2141"/>
      <c r="C81" s="1710">
        <f>(SUM(C78:C80))</f>
        <v>-525969</v>
      </c>
      <c r="D81" s="1710">
        <f>SUM(D78:D80)</f>
        <v>15492</v>
      </c>
      <c r="E81" s="1710">
        <f t="shared" ref="E81:K81" si="10">SUM(E78:E80)</f>
        <v>0</v>
      </c>
      <c r="F81" s="1710">
        <f t="shared" si="10"/>
        <v>63967</v>
      </c>
      <c r="G81" s="1710">
        <f t="shared" si="10"/>
        <v>0</v>
      </c>
      <c r="H81" s="1710">
        <f t="shared" si="10"/>
        <v>0</v>
      </c>
      <c r="I81" s="1710">
        <f t="shared" si="10"/>
        <v>751761</v>
      </c>
      <c r="J81" s="1710">
        <f t="shared" si="10"/>
        <v>915</v>
      </c>
      <c r="K81" s="1710">
        <f t="shared" si="10"/>
        <v>819145</v>
      </c>
      <c r="L81" s="347"/>
    </row>
    <row r="82" spans="1:12" ht="0.75" customHeight="1" thickTop="1" thickBot="1" x14ac:dyDescent="0.25">
      <c r="A82" s="536" t="s">
        <v>361</v>
      </c>
      <c r="B82" s="537"/>
      <c r="C82" s="538">
        <f>(C81-C79)</f>
        <v>142992</v>
      </c>
      <c r="D82" s="538">
        <f t="shared" ref="D82:K82" si="11">(D81-D79)</f>
        <v>-53624</v>
      </c>
      <c r="E82" s="538">
        <f t="shared" si="11"/>
        <v>65573</v>
      </c>
      <c r="F82" s="538">
        <f t="shared" si="11"/>
        <v>-8482</v>
      </c>
      <c r="G82" s="538">
        <f t="shared" si="11"/>
        <v>-1</v>
      </c>
      <c r="H82" s="538">
        <f t="shared" si="11"/>
        <v>0</v>
      </c>
      <c r="I82" s="538">
        <f t="shared" si="11"/>
        <v>342</v>
      </c>
      <c r="J82" s="538">
        <f t="shared" si="11"/>
        <v>308</v>
      </c>
      <c r="K82" s="538">
        <f t="shared" si="11"/>
        <v>62901</v>
      </c>
    </row>
    <row r="83" spans="1:12" ht="14.25" hidden="1" thickTop="1" thickBot="1" x14ac:dyDescent="0.25">
      <c r="A83" s="539" t="s">
        <v>362</v>
      </c>
      <c r="B83" s="464"/>
      <c r="C83" s="540">
        <f>C82/C81</f>
        <v>-0.27186393114423091</v>
      </c>
      <c r="D83" s="540">
        <f t="shared" ref="D83:K83" si="12">D82/D81</f>
        <v>-3.4613994319648853</v>
      </c>
      <c r="E83" s="540" t="e">
        <f t="shared" si="12"/>
        <v>#DIV/0!</v>
      </c>
      <c r="F83" s="540">
        <f t="shared" si="12"/>
        <v>-0.13259962167992873</v>
      </c>
      <c r="G83" s="540" t="e">
        <f t="shared" si="12"/>
        <v>#DIV/0!</v>
      </c>
      <c r="H83" s="540" t="e">
        <f t="shared" si="12"/>
        <v>#DIV/0!</v>
      </c>
      <c r="I83" s="540">
        <f t="shared" si="12"/>
        <v>4.5493182008643707E-4</v>
      </c>
      <c r="J83" s="540">
        <f t="shared" si="12"/>
        <v>0.33661202185792349</v>
      </c>
      <c r="K83" s="540">
        <f t="shared" si="12"/>
        <v>7.67886027504288E-2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13" activePane="bottomLeft" state="frozen"/>
      <selection activeCell="A47" sqref="A47"/>
      <selection pane="bottomLeft" activeCell="F152" sqref="F15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1903</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11380618</v>
      </c>
      <c r="D5" s="481">
        <v>1696073</v>
      </c>
      <c r="E5" s="466">
        <v>1002405</v>
      </c>
      <c r="F5" s="548">
        <v>112202</v>
      </c>
      <c r="G5" s="466">
        <v>223062</v>
      </c>
      <c r="H5" s="466"/>
      <c r="I5" s="466">
        <v>309</v>
      </c>
      <c r="J5" s="467">
        <v>308</v>
      </c>
      <c r="K5" s="466">
        <v>117772</v>
      </c>
    </row>
    <row r="6" spans="1:12" ht="15" x14ac:dyDescent="0.2">
      <c r="A6" s="463" t="s">
        <v>1761</v>
      </c>
      <c r="B6" s="470">
        <v>1130</v>
      </c>
      <c r="C6" s="466">
        <v>308</v>
      </c>
      <c r="D6" s="466"/>
      <c r="E6" s="475"/>
      <c r="F6" s="475"/>
      <c r="G6" s="468"/>
      <c r="H6" s="468"/>
      <c r="I6" s="468"/>
      <c r="J6" s="468"/>
      <c r="K6" s="468"/>
    </row>
    <row r="7" spans="1:12" x14ac:dyDescent="0.2">
      <c r="A7" s="463" t="s">
        <v>112</v>
      </c>
      <c r="B7" s="549">
        <v>1140</v>
      </c>
      <c r="C7" s="466">
        <v>549283</v>
      </c>
      <c r="D7" s="466"/>
      <c r="E7" s="468"/>
      <c r="F7" s="467"/>
      <c r="G7" s="467"/>
      <c r="H7" s="467"/>
      <c r="I7" s="468"/>
      <c r="J7" s="468"/>
      <c r="K7" s="468"/>
    </row>
    <row r="8" spans="1:12" x14ac:dyDescent="0.2">
      <c r="A8" s="463" t="s">
        <v>433</v>
      </c>
      <c r="B8" s="470">
        <v>1150</v>
      </c>
      <c r="C8" s="475"/>
      <c r="D8" s="475"/>
      <c r="E8" s="477"/>
      <c r="F8" s="477"/>
      <c r="G8" s="481">
        <v>223062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11930209</v>
      </c>
      <c r="D12" s="1729">
        <f t="shared" si="0"/>
        <v>1696073</v>
      </c>
      <c r="E12" s="1729">
        <f t="shared" si="0"/>
        <v>1002405</v>
      </c>
      <c r="F12" s="1729">
        <f t="shared" si="0"/>
        <v>112202</v>
      </c>
      <c r="G12" s="1729">
        <f t="shared" si="0"/>
        <v>446124</v>
      </c>
      <c r="H12" s="1729">
        <f t="shared" si="0"/>
        <v>0</v>
      </c>
      <c r="I12" s="1729">
        <f t="shared" si="0"/>
        <v>309</v>
      </c>
      <c r="J12" s="1729">
        <f t="shared" si="0"/>
        <v>308</v>
      </c>
      <c r="K12" s="1710">
        <f t="shared" si="0"/>
        <v>117772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307408</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307408</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5894</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5894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7971</v>
      </c>
      <c r="D65" s="466">
        <v>898</v>
      </c>
      <c r="E65" s="466">
        <v>619</v>
      </c>
      <c r="F65" s="467">
        <v>195</v>
      </c>
      <c r="G65" s="466">
        <v>202</v>
      </c>
      <c r="H65" s="466"/>
      <c r="I65" s="466">
        <v>33</v>
      </c>
      <c r="J65" s="467"/>
      <c r="K65" s="466">
        <v>6431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7971</v>
      </c>
      <c r="D67" s="1710">
        <f t="shared" ref="D67:K67" si="2">SUM(D65:D66)</f>
        <v>898</v>
      </c>
      <c r="E67" s="1710">
        <f t="shared" si="2"/>
        <v>619</v>
      </c>
      <c r="F67" s="1710">
        <f t="shared" si="2"/>
        <v>195</v>
      </c>
      <c r="G67" s="1710">
        <f t="shared" si="2"/>
        <v>202</v>
      </c>
      <c r="H67" s="1710">
        <f t="shared" si="2"/>
        <v>0</v>
      </c>
      <c r="I67" s="1710">
        <f t="shared" si="2"/>
        <v>33</v>
      </c>
      <c r="J67" s="1710">
        <f t="shared" si="2"/>
        <v>0</v>
      </c>
      <c r="K67" s="1710">
        <f t="shared" si="2"/>
        <v>6431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183401</v>
      </c>
      <c r="D69" s="468"/>
      <c r="E69" s="468"/>
      <c r="F69" s="468"/>
      <c r="G69" s="468"/>
      <c r="H69" s="468"/>
      <c r="I69" s="468"/>
      <c r="J69" s="468"/>
      <c r="K69" s="468"/>
    </row>
    <row r="70" spans="1:11" ht="12.75" customHeight="1" x14ac:dyDescent="0.2">
      <c r="A70" s="463" t="s">
        <v>1054</v>
      </c>
      <c r="B70" s="470">
        <v>1612</v>
      </c>
      <c r="C70" s="551">
        <v>15326</v>
      </c>
      <c r="D70" s="468"/>
      <c r="E70" s="468"/>
      <c r="F70" s="468"/>
      <c r="G70" s="468"/>
      <c r="H70" s="468"/>
      <c r="I70" s="468"/>
      <c r="J70" s="468"/>
      <c r="K70" s="468"/>
    </row>
    <row r="71" spans="1:11" ht="12.75" customHeight="1" x14ac:dyDescent="0.2">
      <c r="A71" s="463" t="s">
        <v>291</v>
      </c>
      <c r="B71" s="470">
        <v>1613</v>
      </c>
      <c r="C71" s="551">
        <v>73322</v>
      </c>
      <c r="D71" s="468"/>
      <c r="E71" s="468"/>
      <c r="F71" s="468"/>
      <c r="G71" s="468"/>
      <c r="H71" s="468"/>
      <c r="I71" s="468"/>
      <c r="J71" s="468"/>
      <c r="K71" s="468"/>
    </row>
    <row r="72" spans="1:11" ht="12.75" customHeight="1" x14ac:dyDescent="0.2">
      <c r="A72" s="463" t="s">
        <v>24</v>
      </c>
      <c r="B72" s="470">
        <v>1614</v>
      </c>
      <c r="C72" s="551">
        <v>2661</v>
      </c>
      <c r="D72" s="468"/>
      <c r="E72" s="468"/>
      <c r="F72" s="468"/>
      <c r="G72" s="468"/>
      <c r="H72" s="468"/>
      <c r="I72" s="468"/>
      <c r="J72" s="468"/>
      <c r="K72" s="468"/>
    </row>
    <row r="73" spans="1:11" ht="12.75" customHeight="1" x14ac:dyDescent="0.2">
      <c r="A73" s="463" t="s">
        <v>1055</v>
      </c>
      <c r="B73" s="470">
        <v>1620</v>
      </c>
      <c r="C73" s="551">
        <v>3988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278698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18806</v>
      </c>
      <c r="D77" s="466"/>
      <c r="E77" s="468"/>
      <c r="F77" s="468"/>
      <c r="G77" s="468"/>
      <c r="H77" s="468"/>
      <c r="I77" s="468"/>
      <c r="J77" s="468"/>
      <c r="K77" s="468"/>
    </row>
    <row r="78" spans="1:11" ht="12.75" customHeight="1" x14ac:dyDescent="0.2">
      <c r="A78" s="463" t="s">
        <v>78</v>
      </c>
      <c r="B78" s="470">
        <v>1719</v>
      </c>
      <c r="C78" s="551">
        <v>6857</v>
      </c>
      <c r="D78" s="466"/>
      <c r="E78" s="468"/>
      <c r="F78" s="468"/>
      <c r="G78" s="468"/>
      <c r="H78" s="468"/>
      <c r="I78" s="468"/>
      <c r="J78" s="468"/>
      <c r="K78" s="468"/>
    </row>
    <row r="79" spans="1:11" ht="12.75" customHeight="1" x14ac:dyDescent="0.2">
      <c r="A79" s="463" t="s">
        <v>571</v>
      </c>
      <c r="B79" s="470">
        <v>1720</v>
      </c>
      <c r="C79" s="551">
        <v>80309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105972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202778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202778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17278</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6654</v>
      </c>
      <c r="D98" s="466"/>
      <c r="E98" s="512"/>
      <c r="F98" s="466"/>
      <c r="G98" s="512"/>
      <c r="H98" s="512"/>
      <c r="I98" s="510"/>
      <c r="J98" s="512"/>
      <c r="K98" s="512"/>
    </row>
    <row r="99" spans="1:12" ht="12.75" customHeight="1" x14ac:dyDescent="0.2">
      <c r="A99" s="463" t="s">
        <v>875</v>
      </c>
      <c r="B99" s="470">
        <v>1950</v>
      </c>
      <c r="C99" s="489">
        <v>1003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17599</v>
      </c>
      <c r="D101" s="526"/>
      <c r="E101" s="480"/>
      <c r="F101" s="526"/>
      <c r="G101" s="475"/>
      <c r="H101" s="526"/>
      <c r="I101" s="468"/>
      <c r="J101" s="475"/>
      <c r="K101" s="475"/>
    </row>
    <row r="102" spans="1:12" ht="12.75" customHeight="1" x14ac:dyDescent="0.2">
      <c r="A102" s="463" t="s">
        <v>265</v>
      </c>
      <c r="B102" s="470">
        <v>1980</v>
      </c>
      <c r="C102" s="489">
        <v>8549</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41388</v>
      </c>
      <c r="D107" s="466">
        <v>14974</v>
      </c>
      <c r="E107" s="466">
        <v>4356</v>
      </c>
      <c r="F107" s="466">
        <v>12128</v>
      </c>
      <c r="G107" s="466"/>
      <c r="H107" s="466"/>
      <c r="I107" s="466"/>
      <c r="J107" s="467"/>
      <c r="K107" s="466"/>
    </row>
    <row r="108" spans="1:12" ht="12.75" customHeight="1" thickBot="1" x14ac:dyDescent="0.25">
      <c r="A108" s="1730" t="s">
        <v>508</v>
      </c>
      <c r="B108" s="1734"/>
      <c r="C108" s="1729">
        <f>SUM(C95:C107)</f>
        <v>75193</v>
      </c>
      <c r="D108" s="1729">
        <f t="shared" ref="D108:K108" si="3">SUM(D95:D107)</f>
        <v>32252</v>
      </c>
      <c r="E108" s="1729">
        <f t="shared" si="3"/>
        <v>4356</v>
      </c>
      <c r="F108" s="1729">
        <f t="shared" si="3"/>
        <v>12128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12908229</v>
      </c>
      <c r="D109" s="1737">
        <f t="shared" si="4"/>
        <v>1729223</v>
      </c>
      <c r="E109" s="1737">
        <f t="shared" si="4"/>
        <v>1007380</v>
      </c>
      <c r="F109" s="1737">
        <f t="shared" si="4"/>
        <v>130419</v>
      </c>
      <c r="G109" s="1737">
        <f t="shared" si="4"/>
        <v>446326</v>
      </c>
      <c r="H109" s="1737">
        <f t="shared" si="4"/>
        <v>0</v>
      </c>
      <c r="I109" s="1737">
        <f t="shared" si="4"/>
        <v>342</v>
      </c>
      <c r="J109" s="1737">
        <f t="shared" si="4"/>
        <v>308</v>
      </c>
      <c r="K109" s="1724">
        <f t="shared" si="4"/>
        <v>124203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4948750</v>
      </c>
      <c r="D117" s="481">
        <v>18403</v>
      </c>
      <c r="E117" s="466">
        <v>323915</v>
      </c>
      <c r="F117" s="481">
        <v>270938</v>
      </c>
      <c r="G117" s="481">
        <v>283911</v>
      </c>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4948750</v>
      </c>
      <c r="D121" s="1729">
        <f t="shared" si="5"/>
        <v>18403</v>
      </c>
      <c r="E121" s="1729">
        <f t="shared" si="5"/>
        <v>323915</v>
      </c>
      <c r="F121" s="1729">
        <f t="shared" si="5"/>
        <v>270938</v>
      </c>
      <c r="G121" s="1729">
        <f t="shared" si="5"/>
        <v>283911</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433510</v>
      </c>
      <c r="D124" s="561"/>
      <c r="E124" s="468"/>
      <c r="F124" s="548"/>
      <c r="G124" s="468"/>
      <c r="H124" s="468"/>
      <c r="I124" s="468"/>
      <c r="J124" s="468"/>
      <c r="K124" s="468"/>
    </row>
    <row r="125" spans="1:11" ht="12.75" customHeight="1" x14ac:dyDescent="0.2">
      <c r="A125" s="463" t="s">
        <v>1521</v>
      </c>
      <c r="B125" s="562">
        <v>3105</v>
      </c>
      <c r="C125" s="466">
        <v>137752</v>
      </c>
      <c r="D125" s="561"/>
      <c r="E125" s="468"/>
      <c r="F125" s="466"/>
      <c r="G125" s="468"/>
      <c r="H125" s="468"/>
      <c r="I125" s="468"/>
      <c r="J125" s="468"/>
      <c r="K125" s="468"/>
    </row>
    <row r="126" spans="1:11" ht="12.75" customHeight="1" x14ac:dyDescent="0.2">
      <c r="A126" s="463" t="s">
        <v>922</v>
      </c>
      <c r="B126" s="562">
        <v>3110</v>
      </c>
      <c r="C126" s="551">
        <v>228127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785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800174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17470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17470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27096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27096</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5305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25465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155336</v>
      </c>
      <c r="G151" s="467"/>
      <c r="H151" s="468"/>
      <c r="I151" s="468"/>
      <c r="J151" s="468"/>
      <c r="K151" s="468"/>
    </row>
    <row r="152" spans="1:11" ht="12.75" customHeight="1" x14ac:dyDescent="0.2">
      <c r="A152" s="463" t="s">
        <v>1117</v>
      </c>
      <c r="B152" s="562">
        <v>3510</v>
      </c>
      <c r="C152" s="551"/>
      <c r="D152" s="466"/>
      <c r="E152" s="561"/>
      <c r="F152" s="466">
        <v>471849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627185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336032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2800</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1214342</v>
      </c>
      <c r="D172" s="1744">
        <f t="shared" si="6"/>
        <v>0</v>
      </c>
      <c r="E172" s="1744">
        <f t="shared" si="6"/>
        <v>0</v>
      </c>
      <c r="F172" s="1744">
        <f t="shared" si="6"/>
        <v>627185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6163092</v>
      </c>
      <c r="D173" s="1737">
        <f>SUM(D121,D172)</f>
        <v>18403</v>
      </c>
      <c r="E173" s="1737">
        <f>SUM(E121,E172)</f>
        <v>323915</v>
      </c>
      <c r="F173" s="1737">
        <f t="shared" ref="F173:K173" si="7">SUM(F121,F172)</f>
        <v>898123</v>
      </c>
      <c r="G173" s="1737">
        <f t="shared" si="7"/>
        <v>283911</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1904</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305153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81951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387104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282188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282188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6363</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6363</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9934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459152</v>
      </c>
      <c r="D220" s="466"/>
      <c r="E220" s="468"/>
      <c r="F220" s="466"/>
      <c r="G220" s="466"/>
      <c r="H220" s="468"/>
      <c r="I220" s="468"/>
      <c r="J220" s="468"/>
      <c r="K220" s="468"/>
    </row>
    <row r="221" spans="1:11" ht="12.75" customHeight="1" x14ac:dyDescent="0.2">
      <c r="A221" s="463" t="s">
        <v>1114</v>
      </c>
      <c r="B221" s="470">
        <v>4625</v>
      </c>
      <c r="C221" s="551">
        <v>93916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563002</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16035</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16035</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65198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44067</v>
      </c>
      <c r="D270" s="576"/>
      <c r="E270" s="468"/>
      <c r="F270" s="576"/>
      <c r="G270" s="576"/>
      <c r="H270" s="468"/>
      <c r="I270" s="468"/>
      <c r="J270" s="468"/>
      <c r="K270" s="468"/>
    </row>
    <row r="271" spans="1:11" ht="12.75" customHeight="1" thickTop="1" thickBot="1" x14ac:dyDescent="0.25">
      <c r="A271" s="463" t="s">
        <v>395</v>
      </c>
      <c r="B271" s="470">
        <v>4992</v>
      </c>
      <c r="C271" s="575">
        <v>232669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1596626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1596626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20667947</v>
      </c>
      <c r="D275" s="1737">
        <f t="shared" si="12"/>
        <v>1747626</v>
      </c>
      <c r="E275" s="1737">
        <f t="shared" si="12"/>
        <v>1331295</v>
      </c>
      <c r="F275" s="1737">
        <f t="shared" si="12"/>
        <v>1028542</v>
      </c>
      <c r="G275" s="1737">
        <f t="shared" si="12"/>
        <v>730237</v>
      </c>
      <c r="H275" s="1737">
        <f t="shared" si="12"/>
        <v>0</v>
      </c>
      <c r="I275" s="1737">
        <f t="shared" si="12"/>
        <v>342</v>
      </c>
      <c r="J275" s="1737">
        <f t="shared" si="12"/>
        <v>308</v>
      </c>
      <c r="K275" s="1724">
        <f t="shared" si="12"/>
        <v>124203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0" activePane="bottomLeft" state="frozen"/>
      <selection activeCell="A47" sqref="A47"/>
      <selection pane="bottomLeft" activeCell="L281" sqref="L28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7165137</v>
      </c>
      <c r="D5" s="466">
        <v>3082270</v>
      </c>
      <c r="E5" s="466">
        <v>144758</v>
      </c>
      <c r="F5" s="466">
        <v>320222</v>
      </c>
      <c r="G5" s="466">
        <v>35488</v>
      </c>
      <c r="H5" s="466">
        <v>22581</v>
      </c>
      <c r="I5" s="467"/>
      <c r="J5" s="467"/>
      <c r="K5" s="1693">
        <f>SUM(C5:J5)</f>
        <v>10770456</v>
      </c>
      <c r="L5" s="466">
        <v>10845349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v>3079</v>
      </c>
      <c r="F7" s="467">
        <v>7222</v>
      </c>
      <c r="G7" s="467"/>
      <c r="H7" s="467"/>
      <c r="I7" s="467"/>
      <c r="J7" s="467"/>
      <c r="K7" s="1693">
        <f t="shared" ref="K7:K32" si="0">SUM(C7:J7)</f>
        <v>10301</v>
      </c>
      <c r="L7" s="466">
        <v>33625</v>
      </c>
    </row>
    <row r="8" spans="1:14" x14ac:dyDescent="0.2">
      <c r="A8" s="1526" t="s">
        <v>166</v>
      </c>
      <c r="B8" s="615">
        <v>1200</v>
      </c>
      <c r="C8" s="466">
        <v>1862663</v>
      </c>
      <c r="D8" s="466">
        <v>151354</v>
      </c>
      <c r="E8" s="466">
        <v>222490</v>
      </c>
      <c r="F8" s="466">
        <v>1586</v>
      </c>
      <c r="G8" s="466"/>
      <c r="H8" s="466"/>
      <c r="I8" s="467"/>
      <c r="J8" s="467"/>
      <c r="K8" s="1693">
        <f t="shared" si="0"/>
        <v>2238093</v>
      </c>
      <c r="L8" s="466">
        <v>2330353</v>
      </c>
    </row>
    <row r="9" spans="1:14" x14ac:dyDescent="0.2">
      <c r="A9" s="1526" t="s">
        <v>745</v>
      </c>
      <c r="B9" s="615" t="s">
        <v>1025</v>
      </c>
      <c r="C9" s="467">
        <v>151804</v>
      </c>
      <c r="D9" s="467">
        <v>12778</v>
      </c>
      <c r="E9" s="467"/>
      <c r="F9" s="467"/>
      <c r="G9" s="467"/>
      <c r="H9" s="467"/>
      <c r="I9" s="467"/>
      <c r="J9" s="467"/>
      <c r="K9" s="1693">
        <f t="shared" si="0"/>
        <v>164582</v>
      </c>
      <c r="L9" s="466">
        <v>193043</v>
      </c>
    </row>
    <row r="10" spans="1:14" x14ac:dyDescent="0.2">
      <c r="A10" s="1526" t="s">
        <v>746</v>
      </c>
      <c r="B10" s="615">
        <v>1250</v>
      </c>
      <c r="C10" s="466">
        <v>354403</v>
      </c>
      <c r="D10" s="466">
        <v>15706</v>
      </c>
      <c r="E10" s="466"/>
      <c r="F10" s="466"/>
      <c r="G10" s="466"/>
      <c r="H10" s="466"/>
      <c r="I10" s="467"/>
      <c r="J10" s="467"/>
      <c r="K10" s="1693">
        <f t="shared" si="0"/>
        <v>370109</v>
      </c>
      <c r="L10" s="466">
        <v>380227</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123469</v>
      </c>
      <c r="D13" s="466">
        <v>14169</v>
      </c>
      <c r="E13" s="466">
        <v>71576</v>
      </c>
      <c r="F13" s="466">
        <v>48846</v>
      </c>
      <c r="G13" s="466"/>
      <c r="H13" s="466"/>
      <c r="I13" s="467"/>
      <c r="J13" s="467"/>
      <c r="K13" s="1693">
        <f t="shared" si="0"/>
        <v>258060</v>
      </c>
      <c r="L13" s="466">
        <v>259638</v>
      </c>
    </row>
    <row r="14" spans="1:14" x14ac:dyDescent="0.2">
      <c r="A14" s="1526" t="s">
        <v>1020</v>
      </c>
      <c r="B14" s="615">
        <v>1500</v>
      </c>
      <c r="C14" s="466">
        <v>442079</v>
      </c>
      <c r="D14" s="466">
        <v>33715</v>
      </c>
      <c r="E14" s="466">
        <v>116203</v>
      </c>
      <c r="F14" s="466">
        <v>87289</v>
      </c>
      <c r="G14" s="466"/>
      <c r="H14" s="466">
        <v>2885</v>
      </c>
      <c r="I14" s="467"/>
      <c r="J14" s="467"/>
      <c r="K14" s="1693">
        <f t="shared" si="0"/>
        <v>682171</v>
      </c>
      <c r="L14" s="466">
        <v>687931</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74560</v>
      </c>
      <c r="D16" s="466">
        <v>8601</v>
      </c>
      <c r="E16" s="466"/>
      <c r="F16" s="466"/>
      <c r="G16" s="466"/>
      <c r="H16" s="466"/>
      <c r="I16" s="467"/>
      <c r="J16" s="467"/>
      <c r="K16" s="1693">
        <f t="shared" si="0"/>
        <v>83161</v>
      </c>
      <c r="L16" s="466">
        <v>84553</v>
      </c>
    </row>
    <row r="17" spans="1:12" x14ac:dyDescent="0.2">
      <c r="A17" s="1526" t="s">
        <v>748</v>
      </c>
      <c r="B17" s="615" t="s">
        <v>164</v>
      </c>
      <c r="C17" s="467">
        <v>1750</v>
      </c>
      <c r="D17" s="467">
        <v>201</v>
      </c>
      <c r="E17" s="467">
        <v>2369</v>
      </c>
      <c r="F17" s="467">
        <v>100</v>
      </c>
      <c r="G17" s="467"/>
      <c r="H17" s="467"/>
      <c r="I17" s="467"/>
      <c r="J17" s="467"/>
      <c r="K17" s="1693">
        <f t="shared" si="0"/>
        <v>4420</v>
      </c>
      <c r="L17" s="466">
        <v>7200</v>
      </c>
    </row>
    <row r="18" spans="1:12" x14ac:dyDescent="0.2">
      <c r="A18" s="1526" t="s">
        <v>1148</v>
      </c>
      <c r="B18" s="615">
        <v>1800</v>
      </c>
      <c r="C18" s="466">
        <v>236254</v>
      </c>
      <c r="D18" s="466">
        <v>25239</v>
      </c>
      <c r="E18" s="466"/>
      <c r="F18" s="466"/>
      <c r="G18" s="466"/>
      <c r="H18" s="466"/>
      <c r="I18" s="467"/>
      <c r="J18" s="467"/>
      <c r="K18" s="1693">
        <f t="shared" si="0"/>
        <v>261493</v>
      </c>
      <c r="L18" s="466">
        <v>265270</v>
      </c>
    </row>
    <row r="19" spans="1:12" x14ac:dyDescent="0.2">
      <c r="A19" s="1526" t="s">
        <v>136</v>
      </c>
      <c r="B19" s="615">
        <v>1900</v>
      </c>
      <c r="C19" s="466"/>
      <c r="D19" s="466"/>
      <c r="E19" s="466"/>
      <c r="F19" s="466"/>
      <c r="G19" s="466"/>
      <c r="H19" s="466">
        <v>18488</v>
      </c>
      <c r="I19" s="467"/>
      <c r="J19" s="467"/>
      <c r="K19" s="1693">
        <f t="shared" si="0"/>
        <v>18488</v>
      </c>
      <c r="L19" s="466">
        <v>33000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1123045</v>
      </c>
      <c r="I22" s="617"/>
      <c r="J22" s="477"/>
      <c r="K22" s="1693">
        <f t="shared" si="0"/>
        <v>1123045</v>
      </c>
      <c r="L22" s="471">
        <v>945000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10412119</v>
      </c>
      <c r="D33" s="1692">
        <f t="shared" ref="D33:L33" si="1">SUM(D5:D32)</f>
        <v>3344033</v>
      </c>
      <c r="E33" s="1692">
        <f t="shared" si="1"/>
        <v>560475</v>
      </c>
      <c r="F33" s="1692">
        <f t="shared" si="1"/>
        <v>465265</v>
      </c>
      <c r="G33" s="1692">
        <f t="shared" si="1"/>
        <v>35488</v>
      </c>
      <c r="H33" s="1692">
        <f t="shared" si="1"/>
        <v>1166999</v>
      </c>
      <c r="I33" s="1692">
        <f t="shared" si="1"/>
        <v>0</v>
      </c>
      <c r="J33" s="1692">
        <f t="shared" si="1"/>
        <v>0</v>
      </c>
      <c r="K33" s="1692">
        <f t="shared" si="1"/>
        <v>15984379</v>
      </c>
      <c r="L33" s="1692">
        <f t="shared" si="1"/>
        <v>16065189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240836</v>
      </c>
      <c r="D36" s="481">
        <v>27839</v>
      </c>
      <c r="E36" s="481"/>
      <c r="F36" s="481">
        <v>132</v>
      </c>
      <c r="G36" s="481"/>
      <c r="H36" s="481"/>
      <c r="I36" s="467"/>
      <c r="J36" s="467"/>
      <c r="K36" s="1693">
        <f t="shared" ref="K36:K41" si="2">SUM(C36:J36)</f>
        <v>268807</v>
      </c>
      <c r="L36" s="466">
        <v>264595</v>
      </c>
    </row>
    <row r="37" spans="1:14" x14ac:dyDescent="0.2">
      <c r="A37" s="1526" t="s">
        <v>1151</v>
      </c>
      <c r="B37" s="615">
        <v>2120</v>
      </c>
      <c r="C37" s="466">
        <v>179630</v>
      </c>
      <c r="D37" s="466">
        <v>20426</v>
      </c>
      <c r="E37" s="466"/>
      <c r="F37" s="466">
        <v>1417</v>
      </c>
      <c r="G37" s="466"/>
      <c r="H37" s="466"/>
      <c r="I37" s="467"/>
      <c r="J37" s="467"/>
      <c r="K37" s="1693">
        <f t="shared" si="2"/>
        <v>201473</v>
      </c>
      <c r="L37" s="466">
        <v>203260</v>
      </c>
    </row>
    <row r="38" spans="1:14" x14ac:dyDescent="0.2">
      <c r="A38" s="1526" t="s">
        <v>207</v>
      </c>
      <c r="B38" s="615">
        <v>2130</v>
      </c>
      <c r="C38" s="466">
        <v>134416</v>
      </c>
      <c r="D38" s="466">
        <v>6684</v>
      </c>
      <c r="E38" s="466">
        <v>31240</v>
      </c>
      <c r="F38" s="466">
        <v>9665</v>
      </c>
      <c r="G38" s="466"/>
      <c r="H38" s="466"/>
      <c r="I38" s="467"/>
      <c r="J38" s="467"/>
      <c r="K38" s="1693">
        <f t="shared" si="2"/>
        <v>182005</v>
      </c>
      <c r="L38" s="466">
        <v>183334</v>
      </c>
    </row>
    <row r="39" spans="1:14" x14ac:dyDescent="0.2">
      <c r="A39" s="1526" t="s">
        <v>208</v>
      </c>
      <c r="B39" s="615">
        <v>2140</v>
      </c>
      <c r="C39" s="466">
        <v>136150</v>
      </c>
      <c r="D39" s="466">
        <v>17555</v>
      </c>
      <c r="E39" s="466">
        <v>2616</v>
      </c>
      <c r="F39" s="466">
        <v>339</v>
      </c>
      <c r="G39" s="466"/>
      <c r="H39" s="466"/>
      <c r="I39" s="467"/>
      <c r="J39" s="467"/>
      <c r="K39" s="1693">
        <f t="shared" si="2"/>
        <v>156660</v>
      </c>
      <c r="L39" s="466">
        <v>156250</v>
      </c>
    </row>
    <row r="40" spans="1:14" x14ac:dyDescent="0.2">
      <c r="A40" s="1526" t="s">
        <v>209</v>
      </c>
      <c r="B40" s="615">
        <v>2150</v>
      </c>
      <c r="C40" s="466">
        <v>96015</v>
      </c>
      <c r="D40" s="466">
        <v>11075</v>
      </c>
      <c r="E40" s="466">
        <v>25718</v>
      </c>
      <c r="F40" s="466">
        <v>3806</v>
      </c>
      <c r="G40" s="466"/>
      <c r="H40" s="466"/>
      <c r="I40" s="467"/>
      <c r="J40" s="467"/>
      <c r="K40" s="1693">
        <f t="shared" si="2"/>
        <v>136614</v>
      </c>
      <c r="L40" s="466">
        <v>118500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787047</v>
      </c>
      <c r="D42" s="1692">
        <f t="shared" ref="D42:L42" si="3">SUM(D36:D41)</f>
        <v>83579</v>
      </c>
      <c r="E42" s="1692">
        <f t="shared" si="3"/>
        <v>59574</v>
      </c>
      <c r="F42" s="1692">
        <f t="shared" si="3"/>
        <v>15359</v>
      </c>
      <c r="G42" s="1692">
        <f t="shared" si="3"/>
        <v>0</v>
      </c>
      <c r="H42" s="1692">
        <f t="shared" si="3"/>
        <v>0</v>
      </c>
      <c r="I42" s="1692">
        <f t="shared" si="3"/>
        <v>0</v>
      </c>
      <c r="J42" s="1692">
        <f t="shared" si="3"/>
        <v>0</v>
      </c>
      <c r="K42" s="1692">
        <f t="shared" si="3"/>
        <v>945559</v>
      </c>
      <c r="L42" s="1692">
        <f t="shared" si="3"/>
        <v>925939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11179</v>
      </c>
      <c r="D44" s="481">
        <v>3194</v>
      </c>
      <c r="E44" s="481">
        <v>50672</v>
      </c>
      <c r="F44" s="481">
        <v>1096</v>
      </c>
      <c r="G44" s="481"/>
      <c r="H44" s="481"/>
      <c r="I44" s="467"/>
      <c r="J44" s="467"/>
      <c r="K44" s="1694">
        <f>SUM(C44:J44)</f>
        <v>66141</v>
      </c>
      <c r="L44" s="481">
        <v>71085</v>
      </c>
    </row>
    <row r="45" spans="1:14" x14ac:dyDescent="0.2">
      <c r="A45" s="1526" t="s">
        <v>869</v>
      </c>
      <c r="B45" s="615">
        <v>2220</v>
      </c>
      <c r="C45" s="466">
        <v>8800</v>
      </c>
      <c r="D45" s="466">
        <v>1024</v>
      </c>
      <c r="E45" s="466">
        <v>8829</v>
      </c>
      <c r="F45" s="466">
        <v>22937</v>
      </c>
      <c r="G45" s="466"/>
      <c r="H45" s="466"/>
      <c r="I45" s="467"/>
      <c r="J45" s="467"/>
      <c r="K45" s="1694">
        <f>SUM(C45:J45)</f>
        <v>41590</v>
      </c>
      <c r="L45" s="466">
        <v>58945</v>
      </c>
    </row>
    <row r="46" spans="1:14" x14ac:dyDescent="0.2">
      <c r="A46" s="1526" t="s">
        <v>870</v>
      </c>
      <c r="B46" s="615">
        <v>2230</v>
      </c>
      <c r="C46" s="466"/>
      <c r="D46" s="466"/>
      <c r="E46" s="466">
        <v>40145</v>
      </c>
      <c r="F46" s="466"/>
      <c r="G46" s="466"/>
      <c r="H46" s="466"/>
      <c r="I46" s="467"/>
      <c r="J46" s="467"/>
      <c r="K46" s="1694">
        <f>SUM(C46:J46)</f>
        <v>40145</v>
      </c>
      <c r="L46" s="466">
        <v>50400</v>
      </c>
    </row>
    <row r="47" spans="1:14" ht="12.75" customHeight="1" thickBot="1" x14ac:dyDescent="0.25">
      <c r="A47" s="1690" t="s">
        <v>582</v>
      </c>
      <c r="B47" s="1691" t="s">
        <v>32</v>
      </c>
      <c r="C47" s="1692">
        <f>SUM(C44:C46)</f>
        <v>19979</v>
      </c>
      <c r="D47" s="1692">
        <f t="shared" ref="D47:K47" si="4">SUM(D44:D46)</f>
        <v>4218</v>
      </c>
      <c r="E47" s="1692">
        <f t="shared" si="4"/>
        <v>99646</v>
      </c>
      <c r="F47" s="1692">
        <f t="shared" si="4"/>
        <v>24033</v>
      </c>
      <c r="G47" s="1692">
        <f t="shared" si="4"/>
        <v>0</v>
      </c>
      <c r="H47" s="1692">
        <f t="shared" si="4"/>
        <v>0</v>
      </c>
      <c r="I47" s="1692">
        <f t="shared" si="4"/>
        <v>0</v>
      </c>
      <c r="J47" s="1692">
        <f t="shared" si="4"/>
        <v>0</v>
      </c>
      <c r="K47" s="1692">
        <f t="shared" si="4"/>
        <v>147876</v>
      </c>
      <c r="L47" s="1692">
        <f>SUM(L44:L46)</f>
        <v>180430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27319</v>
      </c>
      <c r="D49" s="481"/>
      <c r="E49" s="481">
        <v>74384</v>
      </c>
      <c r="F49" s="481"/>
      <c r="G49" s="481"/>
      <c r="H49" s="481">
        <v>10846</v>
      </c>
      <c r="I49" s="467"/>
      <c r="J49" s="467"/>
      <c r="K49" s="1694">
        <f>SUM(C49:J49)</f>
        <v>112549</v>
      </c>
      <c r="L49" s="481">
        <v>79797</v>
      </c>
    </row>
    <row r="50" spans="1:14" x14ac:dyDescent="0.2">
      <c r="A50" s="1526" t="s">
        <v>872</v>
      </c>
      <c r="B50" s="615">
        <v>2320</v>
      </c>
      <c r="C50" s="466">
        <v>130620</v>
      </c>
      <c r="D50" s="466">
        <v>16736</v>
      </c>
      <c r="E50" s="466">
        <v>57298</v>
      </c>
      <c r="F50" s="466">
        <v>7841</v>
      </c>
      <c r="G50" s="466"/>
      <c r="H50" s="466">
        <v>167</v>
      </c>
      <c r="I50" s="467"/>
      <c r="J50" s="467"/>
      <c r="K50" s="1694">
        <f>SUM(C50:J50)</f>
        <v>212662</v>
      </c>
      <c r="L50" s="466">
        <v>212854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157939</v>
      </c>
      <c r="D53" s="1692">
        <f t="shared" ref="D53:L53" si="5">SUM(D49:D52)</f>
        <v>16736</v>
      </c>
      <c r="E53" s="1692">
        <f t="shared" si="5"/>
        <v>131682</v>
      </c>
      <c r="F53" s="1692">
        <f t="shared" si="5"/>
        <v>7841</v>
      </c>
      <c r="G53" s="1692">
        <f t="shared" si="5"/>
        <v>0</v>
      </c>
      <c r="H53" s="1692">
        <f t="shared" si="5"/>
        <v>11013</v>
      </c>
      <c r="I53" s="1692">
        <f t="shared" si="5"/>
        <v>0</v>
      </c>
      <c r="J53" s="1692">
        <f t="shared" si="5"/>
        <v>0</v>
      </c>
      <c r="K53" s="1692">
        <f t="shared" si="5"/>
        <v>325211</v>
      </c>
      <c r="L53" s="1692">
        <f t="shared" si="5"/>
        <v>292651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1366554</v>
      </c>
      <c r="D55" s="481">
        <v>116633</v>
      </c>
      <c r="E55" s="481">
        <v>2698</v>
      </c>
      <c r="F55" s="481">
        <v>16042</v>
      </c>
      <c r="G55" s="481"/>
      <c r="H55" s="481">
        <v>6300</v>
      </c>
      <c r="I55" s="467"/>
      <c r="J55" s="467"/>
      <c r="K55" s="1694">
        <f>SUM(C55:J55)</f>
        <v>1508227</v>
      </c>
      <c r="L55" s="481">
        <v>1564109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1366554</v>
      </c>
      <c r="D57" s="1696">
        <f t="shared" ref="D57:K57" si="6">SUM(D55:D56)</f>
        <v>116633</v>
      </c>
      <c r="E57" s="1696">
        <f t="shared" si="6"/>
        <v>2698</v>
      </c>
      <c r="F57" s="1696">
        <f t="shared" si="6"/>
        <v>16042</v>
      </c>
      <c r="G57" s="1696">
        <f t="shared" si="6"/>
        <v>0</v>
      </c>
      <c r="H57" s="1696">
        <f t="shared" si="6"/>
        <v>6300</v>
      </c>
      <c r="I57" s="1696">
        <f t="shared" si="6"/>
        <v>0</v>
      </c>
      <c r="J57" s="1696">
        <f t="shared" si="6"/>
        <v>0</v>
      </c>
      <c r="K57" s="1696">
        <f t="shared" si="6"/>
        <v>1508227</v>
      </c>
      <c r="L57" s="1692">
        <f>SUM(L55:L56)</f>
        <v>1564109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1364</v>
      </c>
      <c r="F59" s="481"/>
      <c r="G59" s="481"/>
      <c r="H59" s="481"/>
      <c r="I59" s="467"/>
      <c r="J59" s="467"/>
      <c r="K59" s="1694">
        <f t="shared" ref="K59:K64" si="7">SUM(C59:J59)</f>
        <v>1364</v>
      </c>
      <c r="L59" s="481">
        <v>3000</v>
      </c>
      <c r="M59" s="610"/>
      <c r="N59" s="610"/>
    </row>
    <row r="60" spans="1:14" s="343" customFormat="1" x14ac:dyDescent="0.2">
      <c r="A60" s="1526" t="s">
        <v>483</v>
      </c>
      <c r="B60" s="615">
        <v>2520</v>
      </c>
      <c r="C60" s="466">
        <v>130353</v>
      </c>
      <c r="D60" s="466">
        <v>4869</v>
      </c>
      <c r="E60" s="466">
        <v>31522</v>
      </c>
      <c r="F60" s="466">
        <v>3446</v>
      </c>
      <c r="G60" s="466"/>
      <c r="H60" s="466">
        <v>2625</v>
      </c>
      <c r="I60" s="467"/>
      <c r="J60" s="467"/>
      <c r="K60" s="1694">
        <f t="shared" si="7"/>
        <v>172815</v>
      </c>
      <c r="L60" s="466">
        <v>164382</v>
      </c>
      <c r="M60" s="610"/>
      <c r="N60" s="610"/>
    </row>
    <row r="61" spans="1:14" s="343" customFormat="1" x14ac:dyDescent="0.2">
      <c r="A61" s="1526" t="s">
        <v>206</v>
      </c>
      <c r="B61" s="615">
        <v>2540</v>
      </c>
      <c r="C61" s="466">
        <v>24704</v>
      </c>
      <c r="D61" s="466">
        <v>2434</v>
      </c>
      <c r="E61" s="466">
        <v>106676</v>
      </c>
      <c r="F61" s="466">
        <v>9966</v>
      </c>
      <c r="G61" s="466">
        <v>26115</v>
      </c>
      <c r="H61" s="466"/>
      <c r="I61" s="467"/>
      <c r="J61" s="467"/>
      <c r="K61" s="1694">
        <f t="shared" si="7"/>
        <v>169895</v>
      </c>
      <c r="L61" s="466">
        <v>154705</v>
      </c>
      <c r="M61" s="610"/>
      <c r="N61" s="610"/>
    </row>
    <row r="62" spans="1:14" s="343" customFormat="1" x14ac:dyDescent="0.2">
      <c r="A62" s="1526" t="s">
        <v>1010</v>
      </c>
      <c r="B62" s="615">
        <v>2550</v>
      </c>
      <c r="C62" s="466"/>
      <c r="D62" s="466"/>
      <c r="E62" s="466">
        <v>3927</v>
      </c>
      <c r="F62" s="466"/>
      <c r="G62" s="466"/>
      <c r="H62" s="466"/>
      <c r="I62" s="467"/>
      <c r="J62" s="467"/>
      <c r="K62" s="1694">
        <f t="shared" si="7"/>
        <v>3927</v>
      </c>
      <c r="L62" s="466">
        <v>4000</v>
      </c>
      <c r="M62" s="610"/>
      <c r="N62" s="610"/>
    </row>
    <row r="63" spans="1:14" s="610" customFormat="1" x14ac:dyDescent="0.2">
      <c r="A63" s="1526" t="s">
        <v>102</v>
      </c>
      <c r="B63" s="615">
        <v>2560</v>
      </c>
      <c r="C63" s="466"/>
      <c r="D63" s="466"/>
      <c r="E63" s="466">
        <f>586594-52890</f>
        <v>533704</v>
      </c>
      <c r="F63" s="466">
        <v>4967</v>
      </c>
      <c r="G63" s="466"/>
      <c r="H63" s="466"/>
      <c r="I63" s="467"/>
      <c r="J63" s="467"/>
      <c r="K63" s="1694">
        <f t="shared" si="7"/>
        <v>538671</v>
      </c>
      <c r="L63" s="466">
        <v>529825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155057</v>
      </c>
      <c r="D65" s="1692">
        <f t="shared" ref="D65:L65" si="8">SUM(D59:D64)</f>
        <v>7303</v>
      </c>
      <c r="E65" s="1692">
        <f t="shared" si="8"/>
        <v>677193</v>
      </c>
      <c r="F65" s="1692">
        <f t="shared" si="8"/>
        <v>18379</v>
      </c>
      <c r="G65" s="1692">
        <f t="shared" si="8"/>
        <v>26115</v>
      </c>
      <c r="H65" s="1692">
        <f t="shared" si="8"/>
        <v>2625</v>
      </c>
      <c r="I65" s="1692">
        <f t="shared" si="8"/>
        <v>0</v>
      </c>
      <c r="J65" s="1692">
        <f t="shared" si="8"/>
        <v>0</v>
      </c>
      <c r="K65" s="1692">
        <f t="shared" si="8"/>
        <v>886672</v>
      </c>
      <c r="L65" s="1692">
        <f t="shared" si="8"/>
        <v>855912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116257</v>
      </c>
      <c r="D69" s="466"/>
      <c r="E69" s="466">
        <v>3396</v>
      </c>
      <c r="F69" s="466"/>
      <c r="G69" s="466"/>
      <c r="H69" s="466"/>
      <c r="I69" s="467"/>
      <c r="J69" s="467"/>
      <c r="K69" s="1694">
        <f>SUM(C69:J69)</f>
        <v>119653</v>
      </c>
      <c r="L69" s="466">
        <v>119450</v>
      </c>
      <c r="M69" s="610"/>
      <c r="N69" s="610"/>
    </row>
    <row r="70" spans="1:14" s="343" customFormat="1" x14ac:dyDescent="0.2">
      <c r="A70" s="1526" t="s">
        <v>423</v>
      </c>
      <c r="B70" s="615">
        <v>2640</v>
      </c>
      <c r="C70" s="466"/>
      <c r="D70" s="466"/>
      <c r="E70" s="466">
        <v>2183</v>
      </c>
      <c r="F70" s="466"/>
      <c r="G70" s="466"/>
      <c r="H70" s="466"/>
      <c r="I70" s="467"/>
      <c r="J70" s="467"/>
      <c r="K70" s="1694">
        <f>SUM(C70:J70)</f>
        <v>2183</v>
      </c>
      <c r="L70" s="466">
        <v>2700</v>
      </c>
      <c r="M70" s="610"/>
      <c r="N70" s="610"/>
    </row>
    <row r="71" spans="1:14" s="343" customFormat="1" x14ac:dyDescent="0.2">
      <c r="A71" s="1526" t="s">
        <v>424</v>
      </c>
      <c r="B71" s="615">
        <v>2660</v>
      </c>
      <c r="C71" s="466"/>
      <c r="D71" s="466"/>
      <c r="E71" s="466">
        <v>52053</v>
      </c>
      <c r="F71" s="466"/>
      <c r="G71" s="466"/>
      <c r="H71" s="466"/>
      <c r="I71" s="467"/>
      <c r="J71" s="467"/>
      <c r="K71" s="1694">
        <f>SUM(C71:J71)</f>
        <v>52053</v>
      </c>
      <c r="L71" s="466">
        <v>41000</v>
      </c>
      <c r="M71" s="610"/>
      <c r="N71" s="610"/>
    </row>
    <row r="72" spans="1:14" s="343" customFormat="1" ht="12.75" customHeight="1" thickBot="1" x14ac:dyDescent="0.25">
      <c r="A72" s="1690" t="s">
        <v>37</v>
      </c>
      <c r="B72" s="1697" t="s">
        <v>36</v>
      </c>
      <c r="C72" s="1692">
        <f>SUM(C67:C71)</f>
        <v>116257</v>
      </c>
      <c r="D72" s="1692">
        <f t="shared" ref="D72:K72" si="9">SUM(D67:D71)</f>
        <v>0</v>
      </c>
      <c r="E72" s="1692">
        <f t="shared" si="9"/>
        <v>57632</v>
      </c>
      <c r="F72" s="1692">
        <f t="shared" si="9"/>
        <v>0</v>
      </c>
      <c r="G72" s="1692">
        <f t="shared" si="9"/>
        <v>0</v>
      </c>
      <c r="H72" s="1692">
        <f t="shared" si="9"/>
        <v>0</v>
      </c>
      <c r="I72" s="1692">
        <f t="shared" si="9"/>
        <v>0</v>
      </c>
      <c r="J72" s="1692">
        <f t="shared" si="9"/>
        <v>0</v>
      </c>
      <c r="K72" s="1692">
        <f t="shared" si="9"/>
        <v>173889</v>
      </c>
      <c r="L72" s="1692">
        <f>SUM(L67:L71)</f>
        <v>163150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2602833</v>
      </c>
      <c r="D74" s="1699">
        <f t="shared" ref="D74:K74" si="10">SUM(D42,D47,D53,D57,D65,D72,D73)</f>
        <v>228469</v>
      </c>
      <c r="E74" s="1699">
        <f t="shared" si="10"/>
        <v>1028425</v>
      </c>
      <c r="F74" s="1699">
        <f t="shared" si="10"/>
        <v>81654</v>
      </c>
      <c r="G74" s="1699">
        <f t="shared" si="10"/>
        <v>26115</v>
      </c>
      <c r="H74" s="1699">
        <f t="shared" si="10"/>
        <v>19938</v>
      </c>
      <c r="I74" s="1699">
        <f t="shared" si="10"/>
        <v>0</v>
      </c>
      <c r="J74" s="1699">
        <f t="shared" si="10"/>
        <v>0</v>
      </c>
      <c r="K74" s="1699">
        <f t="shared" si="10"/>
        <v>3987434</v>
      </c>
      <c r="L74" s="1699">
        <f>SUM(L42,L47,L53,L57,L65,L72,L73)</f>
        <v>3982191</v>
      </c>
    </row>
    <row r="75" spans="1:14" s="259" customFormat="1" ht="15.75" customHeight="1" thickTop="1" thickBot="1" x14ac:dyDescent="0.25">
      <c r="A75" s="1632" t="s">
        <v>49</v>
      </c>
      <c r="B75" s="1633" t="s">
        <v>596</v>
      </c>
      <c r="C75" s="573">
        <v>2220</v>
      </c>
      <c r="D75" s="573"/>
      <c r="E75" s="573"/>
      <c r="F75" s="573">
        <v>143</v>
      </c>
      <c r="G75" s="573"/>
      <c r="H75" s="573"/>
      <c r="I75" s="531"/>
      <c r="J75" s="531"/>
      <c r="K75" s="1692">
        <f>SUM(C75:J75)</f>
        <v>2363</v>
      </c>
      <c r="L75" s="576">
        <v>6000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16541</v>
      </c>
      <c r="I79" s="477"/>
      <c r="J79" s="477"/>
      <c r="K79" s="1693">
        <f t="shared" si="11"/>
        <v>16541</v>
      </c>
      <c r="L79" s="466">
        <v>10000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16541</v>
      </c>
      <c r="I84" s="477"/>
      <c r="J84" s="477"/>
      <c r="K84" s="1692">
        <f>SUM(K78:K83)</f>
        <v>16541</v>
      </c>
      <c r="L84" s="1692">
        <f>SUM(L78:L83)</f>
        <v>10000</v>
      </c>
    </row>
    <row r="85" spans="1:12" ht="12.75" customHeight="1" thickTop="1" thickBot="1" x14ac:dyDescent="0.25">
      <c r="A85" s="1533" t="s">
        <v>273</v>
      </c>
      <c r="B85" s="636">
        <v>4210</v>
      </c>
      <c r="C85" s="617"/>
      <c r="D85" s="617"/>
      <c r="E85" s="637"/>
      <c r="F85" s="617"/>
      <c r="G85" s="617"/>
      <c r="H85" s="535"/>
      <c r="I85" s="477"/>
      <c r="J85" s="477"/>
      <c r="K85" s="1699">
        <f>H85</f>
        <v>0</v>
      </c>
      <c r="L85" s="530">
        <v>27500</v>
      </c>
    </row>
    <row r="86" spans="1:12" ht="12.75" customHeight="1" thickTop="1" thickBot="1" x14ac:dyDescent="0.25">
      <c r="A86" s="1534" t="s">
        <v>723</v>
      </c>
      <c r="B86" s="638">
        <v>4220</v>
      </c>
      <c r="C86" s="617"/>
      <c r="D86" s="617"/>
      <c r="E86" s="639"/>
      <c r="F86" s="617"/>
      <c r="G86" s="617"/>
      <c r="H86" s="467">
        <v>109465</v>
      </c>
      <c r="I86" s="477"/>
      <c r="J86" s="477"/>
      <c r="K86" s="1699">
        <f t="shared" ref="K86:K98" si="12">H86</f>
        <v>109465</v>
      </c>
      <c r="L86" s="530">
        <v>2100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367991</v>
      </c>
      <c r="I88" s="477"/>
      <c r="J88" s="477"/>
      <c r="K88" s="1699">
        <f t="shared" si="12"/>
        <v>367991</v>
      </c>
      <c r="L88" s="530">
        <v>350100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477456</v>
      </c>
      <c r="I92" s="477"/>
      <c r="J92" s="477"/>
      <c r="K92" s="1699">
        <f t="shared" si="12"/>
        <v>477456</v>
      </c>
      <c r="L92" s="1692">
        <f>SUM(L85:L91)</f>
        <v>379700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493997</v>
      </c>
      <c r="I102" s="477"/>
      <c r="J102" s="477"/>
      <c r="K102" s="1699">
        <f>SUM(K84,K92,K100,K101)</f>
        <v>493997</v>
      </c>
      <c r="L102" s="1699">
        <f>SUM(L84,L92,L100,L101)</f>
        <v>389700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v>56782</v>
      </c>
      <c r="I106" s="468"/>
      <c r="J106" s="468"/>
      <c r="K106" s="1693">
        <f>H106</f>
        <v>56782</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56782</v>
      </c>
      <c r="I110" s="468"/>
      <c r="J110" s="468"/>
      <c r="K110" s="1692">
        <f>SUM(K105:K109)</f>
        <v>56782</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56782</v>
      </c>
      <c r="I112" s="468"/>
      <c r="J112" s="468"/>
      <c r="K112" s="1692">
        <f>SUM(K110:K111)</f>
        <v>56782</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13017172</v>
      </c>
      <c r="D114" s="1692">
        <f t="shared" ref="D114:K114" si="13">SUM(D33,D74,D75,D102,D112,D113)</f>
        <v>3572502</v>
      </c>
      <c r="E114" s="1692">
        <f t="shared" si="13"/>
        <v>1588900</v>
      </c>
      <c r="F114" s="1692">
        <f t="shared" si="13"/>
        <v>547062</v>
      </c>
      <c r="G114" s="1692">
        <f t="shared" si="13"/>
        <v>61603</v>
      </c>
      <c r="H114" s="1692">
        <f>SUM(H33,H74,H75,H102,H112,H113)</f>
        <v>1737716</v>
      </c>
      <c r="I114" s="1692">
        <f t="shared" si="13"/>
        <v>0</v>
      </c>
      <c r="J114" s="1692">
        <f t="shared" si="13"/>
        <v>0</v>
      </c>
      <c r="K114" s="1692">
        <f t="shared" si="13"/>
        <v>20524955</v>
      </c>
      <c r="L114" s="1692">
        <f>SUM(L33,L74,L75,L102,L112,L113)</f>
        <v>20443080</v>
      </c>
    </row>
    <row r="115" spans="1:14" ht="13.5" thickTop="1" x14ac:dyDescent="0.2">
      <c r="A115" s="2201" t="s">
        <v>1053</v>
      </c>
      <c r="B115" s="2202"/>
      <c r="C115" s="619"/>
      <c r="D115" s="619"/>
      <c r="E115" s="619"/>
      <c r="F115" s="619"/>
      <c r="G115" s="619"/>
      <c r="H115" s="619"/>
      <c r="I115" s="619"/>
      <c r="J115" s="619"/>
      <c r="K115" s="1706">
        <f>'Revenues 9-14'!C275-'Expenditures 15-22'!K114</f>
        <v>142992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1000</v>
      </c>
      <c r="H123" s="466"/>
      <c r="I123" s="467"/>
      <c r="J123" s="467"/>
      <c r="K123" s="1692">
        <f>SUM(C123:J123)</f>
        <v>1000</v>
      </c>
      <c r="L123" s="466">
        <v>17600</v>
      </c>
    </row>
    <row r="124" spans="1:14" ht="14.25" thickTop="1" thickBot="1" x14ac:dyDescent="0.25">
      <c r="A124" s="1526" t="s">
        <v>206</v>
      </c>
      <c r="B124" s="615">
        <v>2540</v>
      </c>
      <c r="C124" s="466">
        <v>727398</v>
      </c>
      <c r="D124" s="466">
        <v>105000</v>
      </c>
      <c r="E124" s="466">
        <v>448329</v>
      </c>
      <c r="F124" s="466">
        <v>519523</v>
      </c>
      <c r="G124" s="466"/>
      <c r="H124" s="466"/>
      <c r="I124" s="467"/>
      <c r="J124" s="467"/>
      <c r="K124" s="1692">
        <f>SUM(C124:J124)</f>
        <v>1800250</v>
      </c>
      <c r="L124" s="466">
        <v>1875746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727398</v>
      </c>
      <c r="D127" s="1692">
        <f t="shared" ref="D127:L127" si="14">SUM(D122:D126)</f>
        <v>105000</v>
      </c>
      <c r="E127" s="1692">
        <f t="shared" si="14"/>
        <v>448329</v>
      </c>
      <c r="F127" s="1692">
        <f t="shared" si="14"/>
        <v>519523</v>
      </c>
      <c r="G127" s="1692">
        <f t="shared" si="14"/>
        <v>1000</v>
      </c>
      <c r="H127" s="1692">
        <f t="shared" si="14"/>
        <v>0</v>
      </c>
      <c r="I127" s="1692">
        <f t="shared" si="14"/>
        <v>0</v>
      </c>
      <c r="J127" s="1692">
        <f t="shared" si="14"/>
        <v>0</v>
      </c>
      <c r="K127" s="1692">
        <f t="shared" si="14"/>
        <v>1801250</v>
      </c>
      <c r="L127" s="1692">
        <f t="shared" si="14"/>
        <v>1893346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727398</v>
      </c>
      <c r="D129" s="1699">
        <f t="shared" ref="D129:L129" si="15">SUM(D120,D127,D128)</f>
        <v>105000</v>
      </c>
      <c r="E129" s="1699">
        <f t="shared" si="15"/>
        <v>448329</v>
      </c>
      <c r="F129" s="1699">
        <f t="shared" si="15"/>
        <v>519523</v>
      </c>
      <c r="G129" s="1699">
        <f t="shared" si="15"/>
        <v>1000</v>
      </c>
      <c r="H129" s="1699">
        <f t="shared" si="15"/>
        <v>0</v>
      </c>
      <c r="I129" s="1699">
        <f t="shared" si="15"/>
        <v>0</v>
      </c>
      <c r="J129" s="1699">
        <f t="shared" si="15"/>
        <v>0</v>
      </c>
      <c r="K129" s="1699">
        <f t="shared" si="15"/>
        <v>1801250</v>
      </c>
      <c r="L129" s="1699">
        <f t="shared" si="15"/>
        <v>1893346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2">
        <f>SUM(C129,C130,C139,C149,C150)</f>
        <v>727398</v>
      </c>
      <c r="D151" s="1692">
        <f t="shared" ref="D151:K151" si="16">SUM(D129,D130,D139,D149,D150)</f>
        <v>105000</v>
      </c>
      <c r="E151" s="1692">
        <f t="shared" si="16"/>
        <v>448329</v>
      </c>
      <c r="F151" s="1692">
        <f t="shared" si="16"/>
        <v>519523</v>
      </c>
      <c r="G151" s="1692">
        <f t="shared" si="16"/>
        <v>1000</v>
      </c>
      <c r="H151" s="1692">
        <f t="shared" si="16"/>
        <v>0</v>
      </c>
      <c r="I151" s="1692">
        <f t="shared" si="16"/>
        <v>0</v>
      </c>
      <c r="J151" s="1692">
        <f t="shared" si="16"/>
        <v>0</v>
      </c>
      <c r="K151" s="1692">
        <f t="shared" si="16"/>
        <v>1801250</v>
      </c>
      <c r="L151" s="1692">
        <f>SUM(L129,L130,L139,L149,L150)</f>
        <v>1893346</v>
      </c>
    </row>
    <row r="152" spans="1:14" ht="12.75" customHeight="1" thickTop="1" x14ac:dyDescent="0.2">
      <c r="A152" s="2194" t="s">
        <v>1240</v>
      </c>
      <c r="B152" s="2195"/>
      <c r="C152" s="619"/>
      <c r="D152" s="619"/>
      <c r="E152" s="619"/>
      <c r="F152" s="619"/>
      <c r="G152" s="619"/>
      <c r="H152" s="619"/>
      <c r="I152" s="619"/>
      <c r="J152" s="617"/>
      <c r="K152" s="1706">
        <f>'Revenues 9-14'!D275-'Expenditures 15-22'!K151</f>
        <v>-53624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118331</v>
      </c>
      <c r="I169" s="617"/>
      <c r="J169" s="617"/>
      <c r="K169" s="1693">
        <f>SUM(C169:H169)</f>
        <v>118331</v>
      </c>
      <c r="L169" s="657">
        <v>1206608</v>
      </c>
    </row>
    <row r="170" spans="1:14" ht="33.75" customHeight="1" x14ac:dyDescent="0.2">
      <c r="A170" s="670" t="s">
        <v>1769</v>
      </c>
      <c r="B170" s="672" t="s">
        <v>31</v>
      </c>
      <c r="C170" s="617"/>
      <c r="D170" s="617"/>
      <c r="E170" s="617"/>
      <c r="F170" s="617"/>
      <c r="G170" s="617"/>
      <c r="H170" s="569">
        <v>1142791</v>
      </c>
      <c r="I170" s="617"/>
      <c r="J170" s="617"/>
      <c r="K170" s="1693">
        <f>SUM(C170:J170)</f>
        <v>1142791</v>
      </c>
      <c r="L170" s="569">
        <v>181593</v>
      </c>
    </row>
    <row r="171" spans="1:14" ht="15.75" customHeight="1" x14ac:dyDescent="0.2">
      <c r="A171" s="622" t="s">
        <v>790</v>
      </c>
      <c r="B171" s="673" t="s">
        <v>86</v>
      </c>
      <c r="C171" s="617"/>
      <c r="D171" s="617"/>
      <c r="E171" s="466"/>
      <c r="F171" s="617"/>
      <c r="G171" s="617"/>
      <c r="H171" s="569">
        <v>4600</v>
      </c>
      <c r="I171" s="477"/>
      <c r="J171" s="617"/>
      <c r="K171" s="1693">
        <f>SUM(C171:J171)</f>
        <v>4600</v>
      </c>
      <c r="L171" s="569"/>
    </row>
    <row r="172" spans="1:14" ht="12.75" customHeight="1" thickBot="1" x14ac:dyDescent="0.25">
      <c r="A172" s="1690" t="s">
        <v>659</v>
      </c>
      <c r="B172" s="1691" t="s">
        <v>513</v>
      </c>
      <c r="C172" s="617"/>
      <c r="D172" s="617"/>
      <c r="E172" s="1699">
        <f>SUM(E168,E169,E170,E171)</f>
        <v>0</v>
      </c>
      <c r="F172" s="617"/>
      <c r="G172" s="617"/>
      <c r="H172" s="1699">
        <f>SUM(H168,H169,H170,H171)</f>
        <v>1265722</v>
      </c>
      <c r="I172" s="639"/>
      <c r="J172" s="617"/>
      <c r="K172" s="1699">
        <f>SUM(K168,K169,K170,K171)</f>
        <v>1265722</v>
      </c>
      <c r="L172" s="1699">
        <f>SUM(L168,L169,L170,L171)</f>
        <v>1388201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1265722</v>
      </c>
      <c r="I174" s="639"/>
      <c r="J174" s="617"/>
      <c r="K174" s="1699">
        <f>SUM(K160,K172,K173)</f>
        <v>1265722</v>
      </c>
      <c r="L174" s="1699">
        <f>SUM(L160,L172,L173)</f>
        <v>1388201</v>
      </c>
    </row>
    <row r="175" spans="1:14" ht="13.5" thickTop="1" x14ac:dyDescent="0.2">
      <c r="A175" s="2201" t="s">
        <v>1053</v>
      </c>
      <c r="B175" s="2202"/>
      <c r="C175" s="617"/>
      <c r="D175" s="617"/>
      <c r="E175" s="617"/>
      <c r="F175" s="617"/>
      <c r="G175" s="617"/>
      <c r="H175" s="619"/>
      <c r="I175" s="617"/>
      <c r="J175" s="617"/>
      <c r="K175" s="1706">
        <f>'Revenues 9-14'!E275-'Expenditures 15-22'!K174</f>
        <v>65573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627204</v>
      </c>
      <c r="D182" s="466">
        <v>51849</v>
      </c>
      <c r="E182" s="466">
        <v>232895</v>
      </c>
      <c r="F182" s="466">
        <v>118831</v>
      </c>
      <c r="G182" s="466">
        <v>6245</v>
      </c>
      <c r="H182" s="466"/>
      <c r="I182" s="467"/>
      <c r="J182" s="467"/>
      <c r="K182" s="1693">
        <f>SUM(C182:J182)</f>
        <v>1037024</v>
      </c>
      <c r="L182" s="466">
        <v>1028542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627204</v>
      </c>
      <c r="D184" s="1699">
        <f t="shared" ref="D184:J184" si="17">SUM(D180,D182,D183)</f>
        <v>51849</v>
      </c>
      <c r="E184" s="1699">
        <f t="shared" si="17"/>
        <v>232895</v>
      </c>
      <c r="F184" s="1699">
        <f t="shared" si="17"/>
        <v>118831</v>
      </c>
      <c r="G184" s="1699">
        <f t="shared" si="17"/>
        <v>6245</v>
      </c>
      <c r="H184" s="1699">
        <f t="shared" si="17"/>
        <v>0</v>
      </c>
      <c r="I184" s="1699">
        <f t="shared" si="17"/>
        <v>0</v>
      </c>
      <c r="J184" s="1699">
        <f t="shared" si="17"/>
        <v>0</v>
      </c>
      <c r="K184" s="1699">
        <f>SUM(K180,K182,K183)</f>
        <v>1037024</v>
      </c>
      <c r="L184" s="1699">
        <f>SUM(L180, L182:L183)</f>
        <v>1028542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627204</v>
      </c>
      <c r="D210" s="1692">
        <f>SUM(D184,D185)</f>
        <v>51849</v>
      </c>
      <c r="E210" s="1692">
        <f>SUM(E184,E185,E196)</f>
        <v>232895</v>
      </c>
      <c r="F210" s="1692">
        <f>SUM(F184,F185)</f>
        <v>118831</v>
      </c>
      <c r="G210" s="1692">
        <f>SUM(G184,G185)</f>
        <v>6245</v>
      </c>
      <c r="H210" s="1692">
        <f>SUM(H184,H185,H196,H208,H209)</f>
        <v>0</v>
      </c>
      <c r="I210" s="1692">
        <f>SUM(I184,I185)</f>
        <v>0</v>
      </c>
      <c r="J210" s="1692">
        <f>SUM(J184,J185)</f>
        <v>0</v>
      </c>
      <c r="K210" s="1693">
        <f>SUM(K184,K185,K196,K208,K209)</f>
        <v>1037024</v>
      </c>
      <c r="L210" s="1692">
        <f>SUM(L184,L185,L196,L208,L209)</f>
        <v>1028542</v>
      </c>
    </row>
    <row r="211" spans="1:14" ht="13.5" thickTop="1" x14ac:dyDescent="0.2">
      <c r="A211" s="2201" t="s">
        <v>1053</v>
      </c>
      <c r="B211" s="2202"/>
      <c r="C211" s="619"/>
      <c r="D211" s="619"/>
      <c r="E211" s="619"/>
      <c r="F211" s="619"/>
      <c r="G211" s="619"/>
      <c r="H211" s="619"/>
      <c r="I211" s="617"/>
      <c r="J211" s="617"/>
      <c r="K211" s="1706">
        <f>'Revenues 9-14'!F275-'Expenditures 15-22'!K210</f>
        <v>-8482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121994</v>
      </c>
      <c r="E215" s="617"/>
      <c r="F215" s="617"/>
      <c r="G215" s="617"/>
      <c r="H215" s="617"/>
      <c r="I215" s="617"/>
      <c r="J215" s="617"/>
      <c r="K215" s="1693">
        <f>D215</f>
        <v>121994</v>
      </c>
      <c r="L215" s="466">
        <v>115070</v>
      </c>
    </row>
    <row r="216" spans="1:14" x14ac:dyDescent="0.2">
      <c r="A216" s="1526" t="s">
        <v>165</v>
      </c>
      <c r="B216" s="615" t="s">
        <v>1024</v>
      </c>
      <c r="C216" s="617"/>
      <c r="D216" s="467"/>
      <c r="E216" s="617"/>
      <c r="F216" s="617"/>
      <c r="G216" s="617"/>
      <c r="H216" s="617"/>
      <c r="I216" s="617"/>
      <c r="J216" s="617"/>
      <c r="K216" s="1693">
        <f t="shared" ref="K216:K228" si="19">D216</f>
        <v>0</v>
      </c>
      <c r="L216" s="466">
        <v>300</v>
      </c>
    </row>
    <row r="217" spans="1:14" x14ac:dyDescent="0.2">
      <c r="A217" s="1526" t="s">
        <v>166</v>
      </c>
      <c r="B217" s="615">
        <v>1200</v>
      </c>
      <c r="C217" s="617"/>
      <c r="D217" s="466">
        <v>122905</v>
      </c>
      <c r="E217" s="617"/>
      <c r="F217" s="617"/>
      <c r="G217" s="617"/>
      <c r="H217" s="617"/>
      <c r="I217" s="617"/>
      <c r="J217" s="617"/>
      <c r="K217" s="1693">
        <f t="shared" si="19"/>
        <v>122905</v>
      </c>
      <c r="L217" s="466">
        <v>131441</v>
      </c>
    </row>
    <row r="218" spans="1:14" x14ac:dyDescent="0.2">
      <c r="A218" s="1526" t="s">
        <v>296</v>
      </c>
      <c r="B218" s="615" t="s">
        <v>1025</v>
      </c>
      <c r="C218" s="617"/>
      <c r="D218" s="467">
        <v>9056</v>
      </c>
      <c r="E218" s="617"/>
      <c r="F218" s="617"/>
      <c r="G218" s="617"/>
      <c r="H218" s="617"/>
      <c r="I218" s="617"/>
      <c r="J218" s="617"/>
      <c r="K218" s="1693">
        <f t="shared" si="19"/>
        <v>9056</v>
      </c>
      <c r="L218" s="466">
        <v>12167</v>
      </c>
    </row>
    <row r="219" spans="1:14" x14ac:dyDescent="0.2">
      <c r="A219" s="1526" t="s">
        <v>297</v>
      </c>
      <c r="B219" s="615">
        <v>1250</v>
      </c>
      <c r="C219" s="617"/>
      <c r="D219" s="466">
        <v>31850</v>
      </c>
      <c r="E219" s="617"/>
      <c r="F219" s="617"/>
      <c r="G219" s="617"/>
      <c r="H219" s="617"/>
      <c r="I219" s="617"/>
      <c r="J219" s="617"/>
      <c r="K219" s="1693">
        <f t="shared" si="19"/>
        <v>31850</v>
      </c>
      <c r="L219" s="466">
        <v>28300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1788</v>
      </c>
      <c r="E222" s="617"/>
      <c r="F222" s="617"/>
      <c r="G222" s="617"/>
      <c r="H222" s="617"/>
      <c r="I222" s="617"/>
      <c r="J222" s="617"/>
      <c r="K222" s="1693">
        <f t="shared" si="19"/>
        <v>1788</v>
      </c>
      <c r="L222" s="466">
        <v>1895</v>
      </c>
    </row>
    <row r="223" spans="1:14" x14ac:dyDescent="0.2">
      <c r="A223" s="1526" t="s">
        <v>1020</v>
      </c>
      <c r="B223" s="615">
        <v>1500</v>
      </c>
      <c r="C223" s="617"/>
      <c r="D223" s="466">
        <v>22931</v>
      </c>
      <c r="E223" s="617"/>
      <c r="F223" s="617"/>
      <c r="G223" s="617"/>
      <c r="H223" s="617"/>
      <c r="I223" s="617"/>
      <c r="J223" s="617"/>
      <c r="K223" s="1693">
        <f t="shared" si="19"/>
        <v>22931</v>
      </c>
      <c r="L223" s="466">
        <v>22675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v>1080</v>
      </c>
      <c r="E225" s="617"/>
      <c r="F225" s="617"/>
      <c r="G225" s="617"/>
      <c r="H225" s="617"/>
      <c r="I225" s="617"/>
      <c r="J225" s="617"/>
      <c r="K225" s="1693">
        <f t="shared" si="19"/>
        <v>1080</v>
      </c>
      <c r="L225" s="466">
        <v>1200</v>
      </c>
    </row>
    <row r="226" spans="1:12" x14ac:dyDescent="0.2">
      <c r="A226" s="1526" t="s">
        <v>748</v>
      </c>
      <c r="B226" s="615" t="s">
        <v>164</v>
      </c>
      <c r="C226" s="617"/>
      <c r="D226" s="467">
        <v>25</v>
      </c>
      <c r="E226" s="617"/>
      <c r="F226" s="617"/>
      <c r="G226" s="617"/>
      <c r="H226" s="617"/>
      <c r="I226" s="617"/>
      <c r="J226" s="617"/>
      <c r="K226" s="1693">
        <f t="shared" si="19"/>
        <v>25</v>
      </c>
      <c r="L226" s="466"/>
    </row>
    <row r="227" spans="1:12" x14ac:dyDescent="0.2">
      <c r="A227" s="1526" t="s">
        <v>1148</v>
      </c>
      <c r="B227" s="615">
        <v>1800</v>
      </c>
      <c r="C227" s="617"/>
      <c r="D227" s="466">
        <v>6303</v>
      </c>
      <c r="E227" s="617"/>
      <c r="F227" s="617"/>
      <c r="G227" s="617"/>
      <c r="H227" s="617"/>
      <c r="I227" s="617"/>
      <c r="J227" s="617"/>
      <c r="K227" s="1693">
        <f t="shared" si="19"/>
        <v>6303</v>
      </c>
      <c r="L227" s="466">
        <v>6600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317932</v>
      </c>
      <c r="E229" s="617"/>
      <c r="F229" s="617"/>
      <c r="G229" s="617"/>
      <c r="H229" s="617"/>
      <c r="I229" s="617"/>
      <c r="J229" s="617"/>
      <c r="K229" s="1692">
        <f>SUM(K215:K228)</f>
        <v>317932</v>
      </c>
      <c r="L229" s="1692">
        <f>SUM(L215:L228)</f>
        <v>319648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3488</v>
      </c>
      <c r="E232" s="617"/>
      <c r="F232" s="617"/>
      <c r="G232" s="617"/>
      <c r="H232" s="617"/>
      <c r="I232" s="617"/>
      <c r="J232" s="617"/>
      <c r="K232" s="1693">
        <f t="shared" ref="K232:K237" si="20">D232</f>
        <v>3488</v>
      </c>
      <c r="L232" s="466">
        <v>3700</v>
      </c>
    </row>
    <row r="233" spans="1:12" x14ac:dyDescent="0.2">
      <c r="A233" s="1526" t="s">
        <v>1151</v>
      </c>
      <c r="B233" s="615">
        <v>2120</v>
      </c>
      <c r="C233" s="617"/>
      <c r="D233" s="466">
        <v>2586</v>
      </c>
      <c r="E233" s="617"/>
      <c r="F233" s="617"/>
      <c r="G233" s="617"/>
      <c r="H233" s="617"/>
      <c r="I233" s="617"/>
      <c r="J233" s="617"/>
      <c r="K233" s="1693">
        <f t="shared" si="20"/>
        <v>2586</v>
      </c>
      <c r="L233" s="466">
        <v>3050</v>
      </c>
    </row>
    <row r="234" spans="1:12" x14ac:dyDescent="0.2">
      <c r="A234" s="1526" t="s">
        <v>207</v>
      </c>
      <c r="B234" s="615">
        <v>2130</v>
      </c>
      <c r="C234" s="617"/>
      <c r="D234" s="466">
        <v>14999</v>
      </c>
      <c r="E234" s="617"/>
      <c r="F234" s="617"/>
      <c r="G234" s="617"/>
      <c r="H234" s="617"/>
      <c r="I234" s="617"/>
      <c r="J234" s="617"/>
      <c r="K234" s="1693">
        <f t="shared" si="20"/>
        <v>14999</v>
      </c>
      <c r="L234" s="466">
        <v>13300</v>
      </c>
    </row>
    <row r="235" spans="1:12" x14ac:dyDescent="0.2">
      <c r="A235" s="1526" t="s">
        <v>208</v>
      </c>
      <c r="B235" s="615">
        <v>2140</v>
      </c>
      <c r="C235" s="617"/>
      <c r="D235" s="466">
        <v>3322</v>
      </c>
      <c r="E235" s="617"/>
      <c r="F235" s="617"/>
      <c r="G235" s="617"/>
      <c r="H235" s="617"/>
      <c r="I235" s="617"/>
      <c r="J235" s="617"/>
      <c r="K235" s="1693">
        <f t="shared" si="20"/>
        <v>3322</v>
      </c>
      <c r="L235" s="466">
        <v>2700</v>
      </c>
    </row>
    <row r="236" spans="1:12" x14ac:dyDescent="0.2">
      <c r="A236" s="1526" t="s">
        <v>209</v>
      </c>
      <c r="B236" s="615">
        <v>2150</v>
      </c>
      <c r="C236" s="617"/>
      <c r="D236" s="466">
        <v>1383</v>
      </c>
      <c r="E236" s="617"/>
      <c r="F236" s="617"/>
      <c r="G236" s="617"/>
      <c r="H236" s="617"/>
      <c r="I236" s="617"/>
      <c r="J236" s="617"/>
      <c r="K236" s="1693">
        <f t="shared" si="20"/>
        <v>1383</v>
      </c>
      <c r="L236" s="466">
        <v>1450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25778</v>
      </c>
      <c r="E238" s="617"/>
      <c r="F238" s="617"/>
      <c r="G238" s="617"/>
      <c r="H238" s="617"/>
      <c r="I238" s="617"/>
      <c r="J238" s="617"/>
      <c r="K238" s="1692">
        <f>SUM(K232:K237)</f>
        <v>25778</v>
      </c>
      <c r="L238" s="1692">
        <f>SUM(L232:L237)</f>
        <v>24200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1553</v>
      </c>
      <c r="E240" s="617"/>
      <c r="F240" s="617"/>
      <c r="G240" s="617"/>
      <c r="H240" s="617"/>
      <c r="I240" s="617"/>
      <c r="J240" s="617"/>
      <c r="K240" s="1694">
        <f>D240</f>
        <v>1553</v>
      </c>
      <c r="L240" s="481">
        <v>1635</v>
      </c>
    </row>
    <row r="241" spans="1:12" x14ac:dyDescent="0.2">
      <c r="A241" s="1526" t="s">
        <v>869</v>
      </c>
      <c r="B241" s="615">
        <v>2220</v>
      </c>
      <c r="C241" s="617"/>
      <c r="D241" s="466">
        <v>143</v>
      </c>
      <c r="E241" s="617"/>
      <c r="F241" s="617"/>
      <c r="G241" s="617"/>
      <c r="H241" s="617"/>
      <c r="I241" s="617"/>
      <c r="J241" s="617"/>
      <c r="K241" s="1694">
        <f>D241</f>
        <v>143</v>
      </c>
      <c r="L241" s="466">
        <v>175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1696</v>
      </c>
      <c r="E243" s="617"/>
      <c r="F243" s="617"/>
      <c r="G243" s="617"/>
      <c r="H243" s="617"/>
      <c r="I243" s="617"/>
      <c r="J243" s="617"/>
      <c r="K243" s="1692">
        <f>SUM(K240:K242)</f>
        <v>1696</v>
      </c>
      <c r="L243" s="1692">
        <f>SUM(L240:L242)</f>
        <v>1810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5127</v>
      </c>
      <c r="E245" s="617"/>
      <c r="F245" s="617"/>
      <c r="G245" s="617"/>
      <c r="H245" s="617"/>
      <c r="I245" s="617"/>
      <c r="J245" s="617"/>
      <c r="K245" s="1694">
        <f>D245</f>
        <v>5127</v>
      </c>
      <c r="L245" s="481"/>
    </row>
    <row r="246" spans="1:12" x14ac:dyDescent="0.2">
      <c r="A246" s="1526" t="s">
        <v>872</v>
      </c>
      <c r="B246" s="615">
        <v>2320</v>
      </c>
      <c r="C246" s="617"/>
      <c r="D246" s="466">
        <v>12564</v>
      </c>
      <c r="E246" s="617"/>
      <c r="F246" s="617"/>
      <c r="G246" s="617"/>
      <c r="H246" s="617"/>
      <c r="I246" s="617"/>
      <c r="J246" s="617"/>
      <c r="K246" s="1694">
        <f t="shared" ref="K246:K256" si="21">D246</f>
        <v>12564</v>
      </c>
      <c r="L246" s="466">
        <v>12700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17691</v>
      </c>
      <c r="E257" s="617"/>
      <c r="F257" s="617"/>
      <c r="G257" s="617"/>
      <c r="H257" s="617"/>
      <c r="I257" s="617"/>
      <c r="J257" s="617"/>
      <c r="K257" s="1692">
        <f>SUM(K245:K256)</f>
        <v>17691</v>
      </c>
      <c r="L257" s="1692">
        <f>SUM(L245:L256)</f>
        <v>12700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90069</v>
      </c>
      <c r="E259" s="617"/>
      <c r="F259" s="617"/>
      <c r="G259" s="617"/>
      <c r="H259" s="617"/>
      <c r="I259" s="617"/>
      <c r="J259" s="617"/>
      <c r="K259" s="1694">
        <f>D259</f>
        <v>90069</v>
      </c>
      <c r="L259" s="481">
        <v>94550</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90069</v>
      </c>
      <c r="E261" s="617"/>
      <c r="F261" s="617"/>
      <c r="G261" s="617"/>
      <c r="H261" s="617"/>
      <c r="I261" s="617"/>
      <c r="J261" s="617"/>
      <c r="K261" s="1692">
        <f>SUM(K259:K260)</f>
        <v>90069</v>
      </c>
      <c r="L261" s="1692">
        <f>SUM(L259:L260)</f>
        <v>94550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16505</v>
      </c>
      <c r="E264" s="617"/>
      <c r="F264" s="617"/>
      <c r="G264" s="617"/>
      <c r="H264" s="617"/>
      <c r="I264" s="617"/>
      <c r="J264" s="617"/>
      <c r="K264" s="1694">
        <f t="shared" ref="K264:K269" si="22">D264</f>
        <v>16505</v>
      </c>
      <c r="L264" s="466">
        <v>21400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133217</v>
      </c>
      <c r="E266" s="617"/>
      <c r="F266" s="617"/>
      <c r="G266" s="617"/>
      <c r="H266" s="617"/>
      <c r="I266" s="617"/>
      <c r="J266" s="617"/>
      <c r="K266" s="1694">
        <f t="shared" si="22"/>
        <v>133217</v>
      </c>
      <c r="L266" s="466">
        <v>131300</v>
      </c>
    </row>
    <row r="267" spans="1:14" x14ac:dyDescent="0.2">
      <c r="A267" s="1526" t="s">
        <v>1010</v>
      </c>
      <c r="B267" s="615">
        <v>2550</v>
      </c>
      <c r="C267" s="617"/>
      <c r="D267" s="466">
        <v>100664</v>
      </c>
      <c r="E267" s="617"/>
      <c r="F267" s="617"/>
      <c r="G267" s="617"/>
      <c r="H267" s="617"/>
      <c r="I267" s="617"/>
      <c r="J267" s="617"/>
      <c r="K267" s="1694">
        <f t="shared" si="22"/>
        <v>100664</v>
      </c>
      <c r="L267" s="466">
        <v>96600</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250386</v>
      </c>
      <c r="E270" s="617"/>
      <c r="F270" s="617"/>
      <c r="G270" s="617"/>
      <c r="H270" s="617"/>
      <c r="I270" s="617"/>
      <c r="J270" s="617"/>
      <c r="K270" s="1692">
        <f>SUM(K263:K269)</f>
        <v>250386</v>
      </c>
      <c r="L270" s="1692">
        <f>SUM(L263:L269)</f>
        <v>249300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26516</v>
      </c>
      <c r="E274" s="617"/>
      <c r="F274" s="617"/>
      <c r="G274" s="617"/>
      <c r="H274" s="617"/>
      <c r="I274" s="617"/>
      <c r="J274" s="617"/>
      <c r="K274" s="1694">
        <f>D274</f>
        <v>26516</v>
      </c>
      <c r="L274" s="466">
        <v>26100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26516</v>
      </c>
      <c r="E277" s="617"/>
      <c r="F277" s="617"/>
      <c r="G277" s="617"/>
      <c r="H277" s="617"/>
      <c r="I277" s="617"/>
      <c r="J277" s="617"/>
      <c r="K277" s="1692">
        <f>SUM(K272:K276)</f>
        <v>26516</v>
      </c>
      <c r="L277" s="1692">
        <f>SUM(L272:L276)</f>
        <v>26100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412136</v>
      </c>
      <c r="E279" s="617"/>
      <c r="F279" s="617"/>
      <c r="G279" s="617"/>
      <c r="H279" s="617"/>
      <c r="I279" s="617"/>
      <c r="J279" s="617"/>
      <c r="K279" s="1699">
        <f>SUM(K238,K243,K257,K261,K270,K277,K278)</f>
        <v>412136</v>
      </c>
      <c r="L279" s="1699">
        <f>SUM(L238,L243,L257,L261,L270,L277,L278)</f>
        <v>408660</v>
      </c>
    </row>
    <row r="280" spans="1:12" ht="15.75" customHeight="1" thickTop="1" thickBot="1" x14ac:dyDescent="0.25">
      <c r="A280" s="1646" t="s">
        <v>930</v>
      </c>
      <c r="B280" s="1635">
        <v>3000</v>
      </c>
      <c r="C280" s="617"/>
      <c r="D280" s="576">
        <v>170</v>
      </c>
      <c r="E280" s="617"/>
      <c r="F280" s="617"/>
      <c r="G280" s="617"/>
      <c r="H280" s="617"/>
      <c r="I280" s="617"/>
      <c r="J280" s="617"/>
      <c r="K280" s="1701">
        <f>D280</f>
        <v>170</v>
      </c>
      <c r="L280" s="576">
        <v>375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730238</v>
      </c>
      <c r="E295" s="617"/>
      <c r="F295" s="617"/>
      <c r="G295" s="617"/>
      <c r="H295" s="1692">
        <f>H293</f>
        <v>0</v>
      </c>
      <c r="I295" s="617"/>
      <c r="J295" s="617"/>
      <c r="K295" s="1692">
        <f>SUM(K229,K279,K280,K285,K293,K294)</f>
        <v>730238</v>
      </c>
      <c r="L295" s="1692">
        <f>SUM(L229,L279,L280,L285,L293,L294)</f>
        <v>728683</v>
      </c>
    </row>
    <row r="296" spans="1:14" ht="13.5" thickTop="1" x14ac:dyDescent="0.2">
      <c r="A296" s="2201" t="s">
        <v>1053</v>
      </c>
      <c r="B296" s="2202"/>
      <c r="C296" s="617"/>
      <c r="D296" s="619"/>
      <c r="E296" s="617"/>
      <c r="F296" s="617"/>
      <c r="G296" s="617"/>
      <c r="H296" s="688"/>
      <c r="I296" s="617"/>
      <c r="J296" s="617"/>
      <c r="K296" s="1706">
        <f>'Revenues 9-14'!G275-'Expenditures 15-22'!K295</f>
        <v>-1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308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450</v>
      </c>
      <c r="H348" s="466"/>
      <c r="I348" s="467"/>
      <c r="J348" s="467"/>
      <c r="K348" s="1693">
        <f>SUM(C348:J348)</f>
        <v>450</v>
      </c>
      <c r="L348" s="466">
        <v>179919</v>
      </c>
    </row>
    <row r="349" spans="1:14" x14ac:dyDescent="0.2">
      <c r="A349" s="1526" t="s">
        <v>206</v>
      </c>
      <c r="B349" s="615">
        <v>2540</v>
      </c>
      <c r="C349" s="466"/>
      <c r="D349" s="466"/>
      <c r="E349" s="466">
        <v>60852</v>
      </c>
      <c r="F349" s="466"/>
      <c r="G349" s="466"/>
      <c r="H349" s="466"/>
      <c r="I349" s="467"/>
      <c r="J349" s="467"/>
      <c r="K349" s="1693">
        <f>SUM(C349:J349)</f>
        <v>60852</v>
      </c>
      <c r="L349" s="466"/>
    </row>
    <row r="350" spans="1:14" ht="12.75" customHeight="1" thickBot="1" x14ac:dyDescent="0.25">
      <c r="A350" s="1690" t="s">
        <v>743</v>
      </c>
      <c r="B350" s="1691" t="s">
        <v>35</v>
      </c>
      <c r="C350" s="1692">
        <f>SUM(C348:C349)</f>
        <v>0</v>
      </c>
      <c r="D350" s="1692">
        <f t="shared" ref="D350:L350" si="26">SUM(D348:D349)</f>
        <v>0</v>
      </c>
      <c r="E350" s="1692">
        <f t="shared" si="26"/>
        <v>60852</v>
      </c>
      <c r="F350" s="1692">
        <f t="shared" si="26"/>
        <v>0</v>
      </c>
      <c r="G350" s="1692">
        <f t="shared" si="26"/>
        <v>450</v>
      </c>
      <c r="H350" s="1692">
        <f t="shared" si="26"/>
        <v>0</v>
      </c>
      <c r="I350" s="1692">
        <f t="shared" si="26"/>
        <v>0</v>
      </c>
      <c r="J350" s="1692">
        <f t="shared" si="26"/>
        <v>0</v>
      </c>
      <c r="K350" s="1692">
        <f t="shared" si="26"/>
        <v>61302</v>
      </c>
      <c r="L350" s="1692">
        <f t="shared" si="26"/>
        <v>179919</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60852</v>
      </c>
      <c r="F352" s="1692">
        <f t="shared" si="27"/>
        <v>0</v>
      </c>
      <c r="G352" s="1692">
        <f t="shared" si="27"/>
        <v>450</v>
      </c>
      <c r="H352" s="1692">
        <f t="shared" si="27"/>
        <v>0</v>
      </c>
      <c r="I352" s="1692">
        <f t="shared" si="27"/>
        <v>0</v>
      </c>
      <c r="J352" s="1692">
        <f t="shared" si="27"/>
        <v>0</v>
      </c>
      <c r="K352" s="1692">
        <f t="shared" si="27"/>
        <v>61302</v>
      </c>
      <c r="L352" s="1692">
        <f t="shared" si="27"/>
        <v>179919</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60852</v>
      </c>
      <c r="F367" s="1692">
        <f t="shared" si="28"/>
        <v>0</v>
      </c>
      <c r="G367" s="1692">
        <f t="shared" si="28"/>
        <v>450</v>
      </c>
      <c r="H367" s="1692">
        <f t="shared" si="28"/>
        <v>0</v>
      </c>
      <c r="I367" s="1692">
        <f t="shared" si="28"/>
        <v>0</v>
      </c>
      <c r="J367" s="1692">
        <f t="shared" si="28"/>
        <v>0</v>
      </c>
      <c r="K367" s="1692">
        <f t="shared" si="28"/>
        <v>61302</v>
      </c>
      <c r="L367" s="1692">
        <f t="shared" si="28"/>
        <v>179919</v>
      </c>
    </row>
    <row r="368" spans="1:14" ht="13.5" thickTop="1" x14ac:dyDescent="0.2">
      <c r="A368" s="2201" t="s">
        <v>1053</v>
      </c>
      <c r="B368" s="2202"/>
      <c r="C368" s="655"/>
      <c r="D368" s="655"/>
      <c r="E368" s="627"/>
      <c r="F368" s="627"/>
      <c r="G368" s="627"/>
      <c r="H368" s="627"/>
      <c r="I368" s="627"/>
      <c r="J368" s="624"/>
      <c r="K368" s="1693">
        <f>'Revenues 9-14'!K275-'Expenditures 15-22'!K367</f>
        <v>62901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microsoft.com/office/infopath/2007/PartnerControls"/>
    <ds:schemaRef ds:uri="d21dc803-237d-4c68-8692-8d731fd29118"/>
    <ds:schemaRef ds:uri="http://schemas.microsoft.com/sharepoint/v3"/>
    <ds:schemaRef ds:uri="http://schemas.openxmlformats.org/package/2006/metadata/core-properties"/>
    <ds:schemaRef ds:uri="6ce3111e-7420-4802-b50a-75d4e9a0b980"/>
    <ds:schemaRef ds:uri="http://schemas.microsoft.com/office/2006/metadata/properties"/>
    <ds:schemaRef ds:uri="http://purl.org/dc/terms/"/>
    <ds:schemaRef ds:uri="4d435f69-8686-490b-bd6d-b153bf22ab50"/>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 (2)</vt:lpstr>
      <vt:lpstr>SF&amp;QC Sec-2 (3)</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2018-10-15T19:36:56Z</cp:lastPrinted>
  <dcterms:created xsi:type="dcterms:W3CDTF">2003-10-29T19:06:34Z</dcterms:created>
  <dcterms:modified xsi:type="dcterms:W3CDTF">2018-10-17T16:25:06Z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