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2" i="127" l="1"/>
  <c r="B51" i="127"/>
  <c r="J33" i="8" l="1"/>
  <c r="J32" i="8"/>
  <c r="J31"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6" i="181"/>
  <c r="G136" i="181" s="1"/>
  <c r="E136" i="181"/>
  <c r="F135" i="181"/>
  <c r="G135" i="181" s="1"/>
  <c r="E135" i="181"/>
  <c r="F134" i="181"/>
  <c r="G134" i="181" s="1"/>
  <c r="E134" i="181"/>
  <c r="F133" i="181"/>
  <c r="G133" i="181" s="1"/>
  <c r="E133" i="181"/>
  <c r="F132" i="181"/>
  <c r="G132" i="181" s="1"/>
  <c r="E132" i="181"/>
  <c r="F131" i="181"/>
  <c r="G131" i="181" s="1"/>
  <c r="E131" i="181"/>
  <c r="F130" i="181"/>
  <c r="G130" i="181" s="1"/>
  <c r="E130" i="181"/>
  <c r="E129" i="181"/>
  <c r="F129" i="181" s="1"/>
  <c r="G129" i="181" s="1"/>
  <c r="F128" i="181"/>
  <c r="G128" i="181" s="1"/>
  <c r="E128" i="181"/>
  <c r="F127" i="181"/>
  <c r="G127" i="181" s="1"/>
  <c r="E127" i="181"/>
  <c r="F126" i="181"/>
  <c r="G126" i="181" s="1"/>
  <c r="E126" i="181"/>
  <c r="F125" i="181"/>
  <c r="G125" i="181" s="1"/>
  <c r="E125" i="181"/>
  <c r="E124" i="181"/>
  <c r="F124" i="181" s="1"/>
  <c r="G124" i="181" s="1"/>
  <c r="F123" i="181"/>
  <c r="G123" i="181" s="1"/>
  <c r="E123" i="181"/>
  <c r="F122" i="181"/>
  <c r="G122" i="181" s="1"/>
  <c r="E122" i="181"/>
  <c r="F121" i="181"/>
  <c r="G121" i="181" s="1"/>
  <c r="E121" i="181"/>
  <c r="E120" i="181"/>
  <c r="F120" i="181" s="1"/>
  <c r="G120" i="181" s="1"/>
  <c r="F119" i="181"/>
  <c r="G119" i="181" s="1"/>
  <c r="E119" i="18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E111" i="181"/>
  <c r="F111" i="181" s="1"/>
  <c r="G111" i="181" s="1"/>
  <c r="F110" i="181"/>
  <c r="G110" i="181" s="1"/>
  <c r="E110" i="181"/>
  <c r="F109" i="181"/>
  <c r="G109" i="181" s="1"/>
  <c r="E109" i="181"/>
  <c r="F108" i="181"/>
  <c r="G108" i="181" s="1"/>
  <c r="E108" i="181"/>
  <c r="E107" i="181"/>
  <c r="F107" i="181" s="1"/>
  <c r="G107" i="181" s="1"/>
  <c r="F106" i="181"/>
  <c r="G106" i="181" s="1"/>
  <c r="E106" i="181"/>
  <c r="F105" i="181"/>
  <c r="G105" i="181" s="1"/>
  <c r="E105" i="181"/>
  <c r="F104" i="181"/>
  <c r="G104" i="181" s="1"/>
  <c r="E104" i="181"/>
  <c r="F103" i="181"/>
  <c r="G103" i="181" s="1"/>
  <c r="E103" i="181"/>
  <c r="F102" i="181"/>
  <c r="G102" i="181" s="1"/>
  <c r="E102" i="181"/>
  <c r="F101" i="181"/>
  <c r="G101" i="181" s="1"/>
  <c r="E101" i="181"/>
  <c r="F96" i="181"/>
  <c r="G96" i="181" s="1"/>
  <c r="E96" i="181"/>
  <c r="F100" i="181"/>
  <c r="G100" i="181" s="1"/>
  <c r="E100" i="181"/>
  <c r="E99" i="181"/>
  <c r="F99" i="181" s="1"/>
  <c r="G99" i="181" s="1"/>
  <c r="F98" i="181"/>
  <c r="G98" i="181" s="1"/>
  <c r="E98" i="181"/>
  <c r="E97" i="181"/>
  <c r="F97" i="181" s="1"/>
  <c r="G97" i="181" s="1"/>
  <c r="F95" i="181"/>
  <c r="G95" i="181" s="1"/>
  <c r="E95" i="181"/>
  <c r="E94" i="181"/>
  <c r="F94" i="181" s="1"/>
  <c r="G94" i="181" s="1"/>
  <c r="F93" i="181"/>
  <c r="G93" i="181" s="1"/>
  <c r="E93" i="181"/>
  <c r="E92" i="181"/>
  <c r="F92" i="181" s="1"/>
  <c r="G92" i="181" s="1"/>
  <c r="F90" i="181"/>
  <c r="G90" i="181" s="1"/>
  <c r="E90" i="181"/>
  <c r="F89" i="181"/>
  <c r="G89" i="181" s="1"/>
  <c r="E89" i="181"/>
  <c r="E88" i="181"/>
  <c r="F88" i="181" s="1"/>
  <c r="G88" i="181" s="1"/>
  <c r="F87" i="181"/>
  <c r="G87" i="181" s="1"/>
  <c r="E87" i="181"/>
  <c r="F86" i="181"/>
  <c r="G86" i="181" s="1"/>
  <c r="E86" i="181"/>
  <c r="E85" i="181"/>
  <c r="F85" i="181" s="1"/>
  <c r="G85" i="181" s="1"/>
  <c r="F84" i="181"/>
  <c r="G84" i="181" s="1"/>
  <c r="E84" i="181"/>
  <c r="E83" i="181"/>
  <c r="F83" i="181" s="1"/>
  <c r="G83" i="181" s="1"/>
  <c r="F81" i="181"/>
  <c r="G81" i="181" s="1"/>
  <c r="E81" i="181"/>
  <c r="F80" i="181"/>
  <c r="G80" i="181" s="1"/>
  <c r="E80" i="181"/>
  <c r="F79" i="181"/>
  <c r="G79" i="181" s="1"/>
  <c r="E79" i="181"/>
  <c r="F78" i="181"/>
  <c r="G78" i="181" s="1"/>
  <c r="E78" i="181"/>
  <c r="F77" i="181"/>
  <c r="G77" i="181" s="1"/>
  <c r="E77" i="181"/>
  <c r="F76" i="181"/>
  <c r="G76" i="181" s="1"/>
  <c r="E76" i="181"/>
  <c r="F75" i="181"/>
  <c r="G75" i="181" s="1"/>
  <c r="E75" i="181"/>
  <c r="F74" i="181"/>
  <c r="G74" i="181" s="1"/>
  <c r="E74" i="181"/>
  <c r="F73" i="181"/>
  <c r="G73" i="181" s="1"/>
  <c r="E73" i="181"/>
  <c r="E72" i="181"/>
  <c r="F72" i="181" s="1"/>
  <c r="G72" i="181" s="1"/>
  <c r="F71" i="181"/>
  <c r="G71" i="181" s="1"/>
  <c r="E71" i="181"/>
  <c r="F70" i="181"/>
  <c r="G70" i="181" s="1"/>
  <c r="E70" i="181"/>
  <c r="F137" i="181"/>
  <c r="G137" i="181" s="1"/>
  <c r="E137" i="181"/>
  <c r="F91" i="181"/>
  <c r="G91" i="181" s="1"/>
  <c r="E91" i="181"/>
  <c r="F82" i="181"/>
  <c r="G82" i="181" s="1"/>
  <c r="E82" i="181"/>
  <c r="E69" i="181"/>
  <c r="F69" i="181" s="1"/>
  <c r="G69" i="181" s="1"/>
  <c r="F68" i="181"/>
  <c r="G68" i="181" s="1"/>
  <c r="E68" i="181"/>
  <c r="F67" i="181"/>
  <c r="G67" i="181" s="1"/>
  <c r="E67" i="181"/>
  <c r="F66" i="181"/>
  <c r="G66" i="181" s="1"/>
  <c r="E66" i="181"/>
  <c r="F65" i="181"/>
  <c r="G65" i="181" s="1"/>
  <c r="E65" i="181"/>
  <c r="F64" i="181"/>
  <c r="G64" i="181" s="1"/>
  <c r="E64" i="181"/>
  <c r="F63" i="181"/>
  <c r="G63" i="181" s="1"/>
  <c r="E63" i="181"/>
  <c r="E62" i="181"/>
  <c r="F62" i="181" s="1"/>
  <c r="G62" i="181" s="1"/>
  <c r="E61" i="181"/>
  <c r="F61" i="181" s="1"/>
  <c r="G61" i="181" s="1"/>
  <c r="F60" i="181"/>
  <c r="G60" i="181" s="1"/>
  <c r="E60" i="181"/>
  <c r="F59" i="181"/>
  <c r="G59" i="181" s="1"/>
  <c r="E59" i="181"/>
  <c r="F58" i="181"/>
  <c r="G58" i="181" s="1"/>
  <c r="E58" i="181"/>
  <c r="E57" i="181"/>
  <c r="F57" i="181" s="1"/>
  <c r="G57" i="181" s="1"/>
  <c r="F56" i="181"/>
  <c r="G56" i="181" s="1"/>
  <c r="E56" i="181"/>
  <c r="E55" i="181"/>
  <c r="F55" i="181" s="1"/>
  <c r="G55" i="181" s="1"/>
  <c r="F54" i="181"/>
  <c r="G54" i="181" s="1"/>
  <c r="E54" i="181"/>
  <c r="E53" i="181"/>
  <c r="F53" i="181" s="1"/>
  <c r="G53" i="181" s="1"/>
  <c r="F52" i="181"/>
  <c r="G52" i="181" s="1"/>
  <c r="E52" i="181"/>
  <c r="E51" i="181"/>
  <c r="F51" i="181" s="1"/>
  <c r="G51" i="181" s="1"/>
  <c r="F50" i="181"/>
  <c r="G50" i="181" s="1"/>
  <c r="E50" i="181"/>
  <c r="F49" i="181"/>
  <c r="G49" i="181" s="1"/>
  <c r="E49" i="181"/>
  <c r="F48" i="181"/>
  <c r="G48" i="181" s="1"/>
  <c r="E48" i="181"/>
  <c r="F47" i="181"/>
  <c r="G47" i="181" s="1"/>
  <c r="E47" i="181"/>
  <c r="F46" i="181"/>
  <c r="G46" i="181" s="1"/>
  <c r="E46" i="181"/>
  <c r="E45" i="181"/>
  <c r="F45" i="181" s="1"/>
  <c r="G45" i="181" s="1"/>
  <c r="F44" i="181"/>
  <c r="G44" i="181" s="1"/>
  <c r="E44" i="181"/>
  <c r="F43" i="181"/>
  <c r="G43" i="181" s="1"/>
  <c r="E43" i="181"/>
  <c r="F42" i="181"/>
  <c r="G42" i="181" s="1"/>
  <c r="E42" i="181"/>
  <c r="F41" i="181"/>
  <c r="G41" i="181" s="1"/>
  <c r="E41" i="181"/>
  <c r="E40" i="181"/>
  <c r="F40" i="181" s="1"/>
  <c r="G40" i="181" s="1"/>
  <c r="E39" i="181"/>
  <c r="F39" i="181" s="1"/>
  <c r="G39" i="181" s="1"/>
  <c r="F38" i="181"/>
  <c r="G38" i="181" s="1"/>
  <c r="E38" i="181"/>
  <c r="F37" i="181"/>
  <c r="G37" i="181" s="1"/>
  <c r="E37" i="181"/>
  <c r="F36" i="181"/>
  <c r="G36" i="181" s="1"/>
  <c r="E36" i="181"/>
  <c r="F35" i="181"/>
  <c r="G35" i="181" s="1"/>
  <c r="E35" i="181"/>
  <c r="F34" i="181"/>
  <c r="G34" i="181" s="1"/>
  <c r="E34" i="181"/>
  <c r="F33" i="181"/>
  <c r="G33" i="181" s="1"/>
  <c r="E33" i="181"/>
  <c r="F32" i="181"/>
  <c r="G32" i="181" s="1"/>
  <c r="E32" i="181"/>
  <c r="F31" i="181"/>
  <c r="G31" i="181" s="1"/>
  <c r="E31" i="181"/>
  <c r="E30" i="181"/>
  <c r="F30" i="181" s="1"/>
  <c r="G30" i="181" s="1"/>
  <c r="F29" i="181"/>
  <c r="G29" i="181" s="1"/>
  <c r="E29" i="181"/>
  <c r="F28" i="181"/>
  <c r="G28" i="181" s="1"/>
  <c r="E28" i="181"/>
  <c r="F27" i="181"/>
  <c r="G27" i="181" s="1"/>
  <c r="E27" i="181"/>
  <c r="E26" i="181"/>
  <c r="F26" i="181" s="1"/>
  <c r="G26" i="181" s="1"/>
  <c r="F25" i="181"/>
  <c r="G25" i="181" s="1"/>
  <c r="E25" i="181"/>
  <c r="E24" i="181"/>
  <c r="F24" i="181" s="1"/>
  <c r="G24" i="181" s="1"/>
  <c r="F23" i="181"/>
  <c r="G23" i="181" s="1"/>
  <c r="E23" i="181"/>
  <c r="E22" i="181"/>
  <c r="F22" i="181" s="1"/>
  <c r="G22" i="181" s="1"/>
  <c r="F21" i="181"/>
  <c r="G21" i="181" s="1"/>
  <c r="E21" i="181"/>
  <c r="E20" i="181"/>
  <c r="F20" i="181" s="1"/>
  <c r="G20" i="181" s="1"/>
  <c r="E19" i="181"/>
  <c r="F19" i="181" s="1"/>
  <c r="G19" i="181" s="1"/>
  <c r="E18" i="181"/>
  <c r="F18" i="181" s="1"/>
  <c r="G18" i="181" s="1"/>
  <c r="E17" i="181"/>
  <c r="F17" i="181" s="1"/>
  <c r="G17" i="181" s="1"/>
  <c r="D138" i="181" l="1"/>
  <c r="D80" i="36" l="1"/>
  <c r="B7797" i="106"/>
  <c r="E138" i="181"/>
  <c r="E16" i="181"/>
  <c r="F16" i="181" s="1"/>
  <c r="G16" i="181" s="1"/>
  <c r="G138" i="181" l="1"/>
  <c r="G40" i="108" l="1"/>
  <c r="B7799" i="106"/>
  <c r="F1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D7764" i="106" s="1"/>
  <c r="J85" i="28"/>
  <c r="B7758" i="106" s="1"/>
  <c r="D7758" i="106" s="1"/>
  <c r="J88" i="28"/>
  <c r="K6" i="29"/>
  <c r="B7763" i="106" s="1"/>
  <c r="B7762" i="106"/>
  <c r="K12" i="12"/>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c r="B6720" i="106"/>
  <c r="D6720" i="106" s="1"/>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71" i="36"/>
  <c r="D79" i="36"/>
  <c r="E27" i="108"/>
  <c r="F27" i="108"/>
  <c r="G27" i="108"/>
  <c r="G28"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F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B7041" i="106"/>
  <c r="D7041" i="106" s="1"/>
  <c r="B2633" i="106"/>
  <c r="D2633" i="106" s="1"/>
  <c r="D7" i="118"/>
  <c r="D8" i="118"/>
  <c r="D9" i="118"/>
  <c r="H14" i="118"/>
  <c r="H19" i="118"/>
  <c r="H24" i="118"/>
  <c r="H29" i="118"/>
  <c r="D11" i="37"/>
  <c r="D22" i="37"/>
  <c r="B5599" i="106"/>
  <c r="D5599" i="106" s="1"/>
  <c r="H33" i="118" l="1"/>
  <c r="B7074" i="106"/>
  <c r="D7074" i="106" s="1"/>
  <c r="H112" i="29"/>
  <c r="B7018" i="106" s="1"/>
  <c r="D7018" i="106" s="1"/>
  <c r="F50" i="34"/>
  <c r="F37" i="34"/>
  <c r="G172" i="5"/>
  <c r="B7078" i="106"/>
  <c r="D7078" i="106" s="1"/>
  <c r="J22" i="37"/>
  <c r="K24" i="12"/>
  <c r="B7733" i="106" s="1"/>
  <c r="D7733" i="106" s="1"/>
  <c r="D24" i="37"/>
  <c r="B4270" i="106" s="1"/>
  <c r="D4270" i="106" s="1"/>
  <c r="F36" i="108"/>
  <c r="D5" i="4"/>
  <c r="B3406" i="106" s="1"/>
  <c r="D3406" i="106" s="1"/>
  <c r="F42" i="34"/>
  <c r="F64" i="34"/>
  <c r="F26" i="108"/>
  <c r="D26" i="108"/>
  <c r="D36" i="108"/>
  <c r="D13" i="7"/>
  <c r="B3726" i="106" s="1"/>
  <c r="D3726" i="106" s="1"/>
  <c r="N22" i="3"/>
  <c r="B283" i="106" s="1"/>
  <c r="D283" i="106" s="1"/>
  <c r="F49" i="34"/>
  <c r="F21" i="8"/>
  <c r="B1879" i="106" s="1"/>
  <c r="D1879" i="106" s="1"/>
  <c r="I210" i="29"/>
  <c r="B7071" i="106" s="1"/>
  <c r="D7071" i="106" s="1"/>
  <c r="B1746" i="106"/>
  <c r="D1746" i="106" s="1"/>
  <c r="F70" i="34"/>
  <c r="F45" i="34"/>
  <c r="F31" i="108"/>
  <c r="L15" i="11"/>
  <c r="B3459" i="106" s="1"/>
  <c r="D3459" i="106" s="1"/>
  <c r="I24" i="12"/>
  <c r="I26" i="12" s="1"/>
  <c r="B7741" i="106" s="1"/>
  <c r="D7741" i="106" s="1"/>
  <c r="H28" i="118"/>
  <c r="K28" i="118" s="1"/>
  <c r="O27" i="118" s="1"/>
  <c r="O29" i="118" s="1"/>
  <c r="L5" i="11"/>
  <c r="B2056" i="106" s="1"/>
  <c r="D2056" i="106" s="1"/>
  <c r="F68" i="34"/>
  <c r="J210" i="29"/>
  <c r="B7072" i="106" s="1"/>
  <c r="D7072" i="106" s="1"/>
  <c r="G35" i="108"/>
  <c r="E35" i="108"/>
  <c r="F46" i="34"/>
  <c r="C129" i="29"/>
  <c r="C151" i="29" s="1"/>
  <c r="B1226" i="106" s="1"/>
  <c r="D1226"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B5770" i="106"/>
  <c r="D577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K26" i="12" l="1"/>
  <c r="B7743" i="106" s="1"/>
  <c r="D7743" i="106" s="1"/>
  <c r="J24" i="12"/>
  <c r="D7256" i="106"/>
  <c r="H22" i="37"/>
  <c r="B1996" i="106"/>
  <c r="D1996" i="106" s="1"/>
  <c r="F66" i="34"/>
  <c r="I6" i="4"/>
  <c r="B5011" i="106" s="1"/>
  <c r="D5011" i="106" s="1"/>
  <c r="H77" i="4"/>
  <c r="B3299" i="106" s="1"/>
  <c r="D3299" i="106" s="1"/>
  <c r="B1225" i="106"/>
  <c r="D1225" i="106" s="1"/>
  <c r="D41" i="108"/>
  <c r="E43" i="108" s="1"/>
  <c r="D7251" i="106"/>
  <c r="D7250" i="106"/>
  <c r="D7253" i="106"/>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<sst xmlns="http://schemas.openxmlformats.org/spreadsheetml/2006/main" count="5088" uniqueCount="2142">
  <si>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</si>
  <si>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</si>
  <si>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</si>
  <si>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</si>
  <si>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</si>
  <si>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</si>
  <si>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</si>
  <si>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</si>
  <si>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</si>
  <si>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</si>
  <si>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</si>
  <si>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</si>
  <si>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</si>
  <si>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</si>
  <si>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</si>
  <si>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</si>
  <si>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</si>
  <si>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</si>
  <si>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</si>
  <si>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</si>
  <si>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</si>
  <si>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</si>
  <si>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</si>
  <si>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</si>
  <si>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</si>
  <si>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</si>
  <si>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</si>
  <si>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</si>
  <si>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</si>
  <si>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</si>
  <si>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</si>
  <si>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</si>
  <si>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</si>
  <si>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</si>
  <si>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</si>
  <si>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</si>
  <si>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</si>
  <si>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</si>
  <si>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</si>
  <si>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</si>
  <si>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</si>
  <si>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</si>
  <si>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</si>
  <si>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</si>
  <si>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</si>
  <si>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</si>
  <si>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</si>
  <si>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</si>
  <si>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</si>
  <si>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</si>
  <si>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</si>
  <si>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</si>
  <si>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</si>
  <si>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</si>
  <si>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</si>
  <si>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</si>
  <si>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</si>
  <si>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</si>
  <si>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</si>
  <si>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</si>
  <si>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</si>
  <si>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</si>
  <si>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</si>
  <si>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</si>
  <si>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</si>
  <si>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</si>
  <si>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</si>
  <si>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</si>
  <si>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</si>
  <si>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</si>
  <si>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</si>
  <si>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</si>
  <si>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</si>
  <si>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</si>
  <si>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</si>
  <si>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</si>
  <si>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</si>
  <si>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</si>
  <si>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</si>
  <si>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</si>
  <si>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</si>
  <si>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</si>
  <si>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</si>
  <si>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</si>
  <si>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</si>
  <si>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</si>
  <si>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</si>
  <si>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</si>
  <si>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</si>
  <si>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</si>
  <si>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</si>
  <si>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</si>
  <si>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</si>
  <si>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</si>
  <si>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</si>
  <si>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</si>
  <si>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</si>
  <si>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</si>
  <si>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</si>
  <si>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</si>
  <si>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</si>
  <si>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</si>
  <si>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</si>
  <si>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</si>
  <si>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</si>
  <si>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</si>
  <si>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</si>
  <si>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</si>
  <si>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</si>
  <si>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</si>
  <si>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</si>
  <si>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</si>
  <si>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</si>
  <si>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</si>
  <si>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</si>
  <si>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</si>
  <si>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</si>
  <si>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</si>
  <si>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</si>
  <si>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</si>
  <si>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</si>
  <si>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</si>
  <si>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</si>
  <si>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</si>
  <si>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</si>
  <si>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</si>
  <si>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</si>
  <si>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</si>
  <si>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</si>
  <si>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</si>
  <si>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</si>
  <si>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</si>
  <si>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</si>
  <si>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</si>
  <si>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</si>
  <si>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</si>
  <si>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</si>
  <si>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</si>
  <si>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</si>
  <si>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</si>
  <si>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</si>
  <si>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</si>
  <si>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</si>
  <si>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</si>
  <si>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</si>
  <si>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</si>
  <si>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</si>
  <si>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</si>
  <si>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</si>
  <si>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</si>
  <si>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</si>
  <si>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</si>
  <si>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</si>
  <si>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</si>
  <si>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</si>
  <si>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</si>
  <si>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</si>
  <si>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</si>
  <si>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</si>
  <si>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</si>
  <si>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</si>
  <si>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</si>
  <si>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</si>
  <si>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</si>
  <si>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</si>
  <si>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</si>
  <si>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</si>
  <si>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</si>
  <si>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</si>
  <si>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</si>
  <si>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</si>
  <si>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</si>
  <si>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</si>
  <si>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</si>
  <si>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</si>
  <si>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</si>
  <si>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</si>
  <si>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</si>
  <si>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</si>
  <si>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</si>
  <si>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</si>
  <si>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</si>
  <si>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</si>
  <si>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</si>
  <si>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</si>
  <si>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</si>
  <si>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</si>
  <si>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</si>
  <si>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</si>
  <si>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</si>
  <si>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</si>
  <si>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</si>
  <si>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</si>
  <si>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</si>
  <si>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</si>
  <si>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</si>
  <si>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</si>
  <si>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</si>
  <si>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</si>
  <si>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</si>
  <si>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</si>
  <si>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</si>
  <si>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</si>
  <si>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</si>
  <si>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</si>
  <si>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</si>
  <si>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</si>
  <si>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</si>
  <si>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</si>
  <si>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</si>
  <si>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</si>
  <si>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</si>
  <si>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</si>
  <si>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</si>
  <si>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</si>
  <si>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</si>
  <si>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</si>
  <si>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</si>
  <si>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</si>
  <si>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</si>
  <si>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</si>
  <si>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</si>
  <si>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</si>
  <si>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</si>
  <si>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</si>
  <si>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</si>
  <si>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</si>
  <si>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</si>
  <si>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</si>
  <si>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</si>
  <si>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</si>
  <si>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</si>
  <si>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</si>
  <si>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</si>
  <si>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</si>
  <si>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</si>
  <si>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</si>
  <si>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</si>
  <si>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</si>
  <si>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</si>
  <si>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</si>
  <si>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</si>
  <si>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</si>
  <si>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</si>
  <si>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</si>
  <si>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</si>
  <si>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</si>
  <si>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</si>
  <si>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</si>
  <si>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</si>
  <si>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</si>
  <si>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</si>
  <si>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</si>
  <si>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</si>
  <si>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</si>
  <si>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</si>
  <si>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</si>
  <si>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</si>
  <si>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</si>
  <si>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</si>
  <si>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</si>
  <si>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</si>
  <si>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</si>
  <si>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</si>
  <si>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</si>
  <si>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</si>
  <si>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</si>
  <si>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</si>
  <si>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</si>
  <si>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</si>
  <si>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</si>
  <si>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</si>
  <si>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</si>
  <si>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</si>
  <si>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</si>
  <si>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</si>
  <si>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</si>
  <si>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</si>
  <si>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</si>
  <si>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</si>
  <si>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</si>
  <si>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</si>
  <si>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</si>
  <si>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</si>
  <si>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</si>
  <si>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</si>
  <si>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</si>
  <si>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</si>
  <si>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</si>
  <si>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</si>
  <si>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</si>
  <si>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</si>
  <si>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</si>
  <si>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</si>
  <si>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</si>
  <si>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</si>
  <si>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</si>
  <si>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</si>
  <si>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</si>
  <si>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</si>
  <si>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</si>
  <si>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</si>
  <si>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</si>
  <si>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</si>
  <si>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</si>
  <si>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</si>
  <si>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</si>
  <si>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</si>
  <si>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</si>
  <si>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</si>
  <si>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</si>
  <si>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</si>
  <si>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</si>
  <si>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</si>
  <si>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</si>
  <si>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</si>
  <si>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</si>
  <si>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</si>
  <si>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</si>
  <si>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</si>
  <si>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</si>
  <si>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</si>
  <si>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</si>
  <si>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</si>
  <si>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</si>
  <si>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</si>
  <si>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</si>
  <si>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</si>
  <si>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</si>
  <si>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</si>
  <si>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</si>
  <si>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</si>
  <si>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</si>
  <si>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</si>
  <si>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</si>
  <si>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</si>
  <si>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</si>
  <si>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</si>
  <si>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</si>
  <si>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</si>
  <si>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</si>
  <si>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</si>
  <si>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</si>
  <si>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</si>
  <si>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</si>
  <si>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</si>
  <si>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</si>
  <si>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</si>
  <si>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</si>
  <si>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</si>
  <si>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</si>
  <si>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</si>
  <si>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</si>
  <si>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</si>
  <si>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</si>
  <si>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</si>
  <si>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</si>
  <si>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</si>
  <si>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</si>
  <si>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</si>
  <si>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</si>
  <si>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</si>
  <si>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</si>
  <si>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</si>
  <si>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</si>
  <si>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</si>
  <si>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</si>
  <si>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</si>
  <si>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</si>
  <si>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</si>
  <si>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</si>
  <si>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</si>
  <si>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</si>
  <si>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</si>
  <si>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</si>
  <si>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</si>
  <si>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</si>
  <si>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</si>
  <si>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</si>
  <si>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</si>
  <si>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</si>
  <si>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</si>
  <si>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</si>
  <si>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</si>
  <si>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</si>
  <si>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</si>
  <si>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</si>
  <si>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</si>
  <si>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</si>
  <si>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</si>
  <si>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</si>
  <si>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</si>
  <si>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</si>
  <si>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</si>
  <si>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</si>
  <si>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</si>
  <si>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</si>
  <si>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</si>
  <si>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</si>
  <si>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</si>
  <si>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</si>
  <si>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</si>
  <si>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</si>
  <si>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</si>
  <si>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</si>
  <si>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</si>
  <si>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</si>
  <si>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</si>
  <si>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</si>
  <si>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</si>
  <si>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</si>
  <si>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</si>
  <si>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</si>
  <si>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</si>
  <si>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</si>
  <si>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</si>
  <si>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</si>
  <si>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</si>
  <si>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</si>
  <si>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</si>
  <si>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</si>
  <si>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</si>
  <si>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</si>
  <si>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</si>
  <si>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</si>
  <si>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</si>
  <si>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</si>
  <si>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</si>
  <si>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</si>
  <si>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</si>
  <si>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</si>
  <si>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</si>
  <si>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</si>
  <si>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</si>
  <si>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</si>
  <si>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</si>
  <si>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</si>
  <si>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</si>
  <si>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</si>
  <si>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</si>
  <si>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</si>
  <si>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</si>
  <si>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</si>
  <si>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</si>
  <si>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</si>
  <si>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</si>
  <si>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</si>
  <si>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</si>
  <si>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</si>
  <si>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</si>
  <si>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</si>
  <si>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</si>
  <si>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</si>
  <si>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</si>
  <si>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</si>
  <si>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</si>
  <si>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</si>
  <si>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</si>
  <si>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</si>
  <si>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</si>
  <si>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</si>
  <si>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</si>
  <si>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</si>
  <si>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</si>
  <si>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</si>
  <si>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</si>
  <si>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</si>
  <si>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</si>
  <si>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</si>
  <si>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</si>
  <si>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</si>
  <si>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</si>
  <si>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</si>
  <si>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</si>
  <si>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</si>
  <si>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</si>
  <si>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</si>
  <si>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</si>
  <si>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</si>
  <si>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</si>
  <si>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</si>
  <si>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</si>
  <si>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</si>
  <si>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</si>
  <si>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</si>
  <si>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</si>
  <si>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</si>
  <si>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</si>
  <si>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</si>
  <si>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</si>
  <si>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</si>
  <si>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</si>
  <si>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</si>
  <si>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</si>
  <si>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</si>
  <si>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</si>
  <si>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</si>
  <si>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</si>
  <si>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</si>
  <si>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</si>
  <si>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</si>
  <si>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</si>
  <si>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</si>
  <si>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</si>
  <si>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</si>
  <si>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</si>
  <si>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</si>
  <si>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</si>
  <si>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</si>
  <si>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</si>
  <si>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</si>
  <si>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</si>
  <si>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</si>
  <si>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</si>
  <si>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</si>
  <si>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</si>
  <si>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</si>
  <si>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</si>
  <si>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</si>
  <si>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</si>
  <si>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</si>
  <si>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</si>
  <si>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</si>
  <si>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</si>
  <si>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</si>
  <si>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</si>
  <si>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</si>
  <si>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</si>
  <si>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</si>
  <si>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</si>
  <si>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</si>
  <si>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</si>
  <si>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</si>
  <si>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</si>
  <si>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</si>
  <si>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</si>
  <si>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</si>
  <si>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</si>
  <si>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</si>
  <si>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</si>
  <si>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</si>
  <si>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</si>
  <si>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</si>
  <si>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</si>
  <si>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</si>
  <si>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</si>
  <si>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</si>
  <si>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</si>
  <si>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</si>
  <si>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</si>
  <si>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</si>
  <si>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</si>
  <si>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</si>
  <si>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</si>
  <si>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</si>
  <si>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</si>
  <si>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</si>
  <si>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</si>
  <si>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</si>
  <si>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</si>
  <si>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</si>
  <si>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</si>
  <si>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</si>
  <si>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</si>
  <si>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</si>
  <si>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</si>
  <si>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</si>
  <si>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</si>
  <si>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</si>
  <si>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</si>
  <si>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</si>
  <si>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</si>
  <si>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</si>
  <si>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</si>
  <si>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</si>
  <si>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</si>
  <si>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</si>
  <si>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</si>
  <si>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</si>
  <si>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</si>
  <si>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</si>
  <si>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</si>
  <si>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</si>
  <si>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</si>
  <si>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</si>
  <si>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</si>
  <si>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</si>
  <si>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</si>
  <si>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</si>
  <si>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</si>
  <si>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</si>
  <si>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</si>
  <si>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</si>
  <si>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</si>
  <si>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</si>
  <si>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</si>
  <si>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</si>
  <si>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</si>
  <si>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</si>
  <si>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</si>
  <si>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</si>
  <si>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</si>
  <si>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</si>
  <si>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</si>
  <si>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</si>
  <si>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</si>
  <si>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</si>
  <si>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</si>
  <si>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</si>
  <si>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</si>
  <si>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</si>
  <si>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</si>
  <si>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</si>
  <si>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</si>
  <si>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</si>
  <si>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</si>
  <si>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</si>
  <si>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</si>
  <si>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</si>
  <si>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</si>
  <si>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</si>
  <si>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</si>
  <si>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</si>
  <si>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</si>
  <si>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</si>
  <si>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</si>
  <si>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</si>
  <si>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</si>
  <si>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</si>
  <si>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</si>
  <si>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</si>
  <si>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</si>
  <si>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</si>
  <si>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</si>
  <si>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</si>
  <si>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</si>
  <si>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</si>
  <si>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</si>
  <si>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</si>
  <si>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</si>
  <si>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</si>
  <si>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</si>
  <si>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</si>
  <si>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</si>
  <si>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</si>
  <si>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</si>
  <si>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</si>
  <si>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</si>
  <si>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</si>
  <si>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</si>
  <si>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</si>
  <si>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</si>
  <si>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</si>
  <si>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</si>
  <si>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</si>
  <si>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</si>
  <si>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</si>
  <si>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</si>
  <si>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</si>
  <si>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</si>
  <si>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</si>
  <si>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</si>
  <si>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</si>
  <si>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</si>
  <si>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</si>
  <si>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</si>
  <si>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</si>
  <si>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</si>
  <si>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</si>
  <si>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</si>
  <si>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</si>
  <si>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</si>
  <si>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</si>
  <si>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</si>
  <si>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</si>
  <si>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</si>
  <si>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</si>
  <si>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</si>
  <si>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</si>
  <si>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</si>
  <si>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</si>
  <si>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</si>
  <si>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</si>
  <si>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</si>
  <si>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</si>
  <si>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</si>
  <si>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</si>
  <si>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</si>
  <si>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</si>
  <si>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</si>
  <si>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</si>
  <si>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</si>
  <si>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</si>
  <si>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</si>
  <si>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</si>
  <si>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</si>
  <si>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</si>
  <si>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</si>
  <si>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</si>
  <si>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</si>
  <si>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</si>
  <si>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</si>
  <si>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</si>
  <si>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</si>
  <si>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</si>
  <si>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</si>
  <si>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</si>
  <si>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</si>
  <si>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</si>
  <si>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</si>
  <si>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</si>
  <si>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</si>
  <si>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</si>
  <si>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</si>
  <si>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</si>
  <si>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</si>
  <si>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</si>
  <si>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</si>
  <si>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</si>
  <si>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</si>
  <si>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</si>
  <si>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</si>
  <si>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</si>
  <si>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</si>
  <si>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</si>
  <si>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</si>
  <si>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</si>
  <si>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</si>
  <si>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</si>
  <si>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</si>
  <si>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</si>
  <si>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</si>
  <si>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</si>
  <si>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</si>
  <si>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</si>
  <si>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</si>
  <si>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</si>
  <si>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</si>
  <si>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</si>
  <si>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</si>
  <si>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</si>
  <si>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</si>
  <si>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</si>
  <si>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</si>
  <si>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</si>
  <si>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</si>
  <si>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</si>
  <si>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</si>
  <si>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</si>
  <si>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</si>
  <si>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</si>
  <si>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</si>
  <si>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</si>
  <si>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</si>
  <si>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</si>
  <si>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</si>
  <si>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</si>
  <si>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</si>
  <si>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</si>
  <si>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</si>
  <si>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</si>
  <si>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</si>
  <si>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</si>
  <si>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</si>
  <si>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</si>
  <si>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</si>
  <si>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</si>
  <si>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</si>
  <si>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</si>
  <si>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</si>
  <si>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</si>
  <si>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</si>
  <si>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</si>
  <si>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</si>
  <si>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</si>
  <si>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</si>
  <si>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</si>
  <si>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</si>
  <si>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</si>
  <si>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</si>
  <si>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</si>
  <si>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</si>
  <si>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</si>
  <si>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</si>
  <si>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</si>
  <si>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</si>
  <si>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</si>
  <si>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</si>
  <si>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</si>
  <si>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</si>
  <si>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</si>
  <si>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</si>
  <si>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</si>
  <si>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</si>
  <si>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</si>
  <si>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</si>
  <si>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</si>
  <si>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</si>
  <si>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</si>
  <si>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</si>
  <si>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</si>
  <si>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</si>
  <si>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</si>
  <si>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</si>
  <si>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</si>
  <si>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</si>
  <si>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</si>
  <si>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</si>
  <si>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</si>
  <si>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</si>
  <si>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</si>
  <si>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</si>
  <si>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</si>
  <si>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</si>
  <si>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</si>
  <si>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</si>
  <si>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</si>
  <si>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</si>
  <si>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</si>
  <si>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</si>
  <si>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</si>
  <si>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</si>
  <si>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</si>
  <si>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</si>
  <si>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</si>
  <si>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</si>
  <si>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</si>
  <si>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</si>
  <si>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</si>
  <si>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</si>
  <si>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</si>
  <si>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</si>
  <si>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</si>
  <si>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</si>
  <si>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</si>
  <si>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</si>
  <si>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</si>
  <si>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</si>
  <si>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</si>
  <si>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</si>
  <si>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</si>
  <si>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</si>
  <si>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</si>
  <si>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</si>
  <si>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</si>
  <si>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</si>
  <si>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</si>
  <si>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</si>
  <si>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</si>
  <si>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</si>
  <si>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</si>
  <si>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</si>
  <si>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</si>
  <si>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</si>
  <si>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</si>
  <si>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</si>
  <si>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</si>
  <si>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</si>
  <si>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</si>
  <si>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</si>
  <si>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</si>
  <si>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</si>
  <si>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</si>
  <si>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</si>
  <si>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</si>
  <si>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</si>
  <si>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</si>
  <si>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</si>
  <si>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</si>
  <si>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</si>
  <si>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</si>
  <si>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</si>
  <si>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</si>
  <si>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</si>
  <si>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</si>
  <si>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</si>
  <si>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</si>
  <si>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</si>
  <si>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</si>
  <si>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</si>
  <si>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</si>
  <si>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</si>
  <si>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</si>
  <si>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</si>
  <si>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</si>
  <si>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</si>
  <si>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</si>
  <si>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</si>
  <si>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</si>
  <si>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</si>
  <si>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</si>
  <si>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</si>
  <si>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</si>
  <si>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</si>
  <si>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</si>
  <si>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</si>
  <si>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</si>
  <si>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</si>
  <si>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</si>
  <si>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</si>
  <si>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</si>
  <si>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</si>
  <si>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</si>
  <si>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</si>
  <si>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</si>
  <si>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</si>
  <si>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</si>
  <si>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</si>
  <si>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</si>
  <si>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</si>
  <si>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</si>
  <si>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</si>
  <si>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</si>
  <si>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</si>
  <si>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</si>
  <si>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</si>
  <si>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</si>
  <si>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</si>
  <si>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</si>
  <si>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</si>
  <si>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</si>
  <si>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</si>
  <si>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</si>
  <si>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</si>
  <si>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</si>
  <si>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</si>
  <si>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</si>
  <si>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</si>
  <si>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</si>
  <si>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</si>
  <si>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</si>
  <si>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</si>
  <si>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</si>
  <si>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</si>
  <si>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</si>
  <si>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</si>
  <si>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</si>
  <si>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</si>
  <si>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</si>
  <si>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</si>
  <si>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</si>
  <si>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</si>
  <si>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</si>
  <si>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</si>
  <si>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</si>
  <si>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</si>
  <si>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</si>
  <si>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</si>
  <si>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</si>
  <si>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</si>
  <si>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</si>
  <si>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</si>
  <si>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</si>
  <si>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</si>
  <si>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</si>
  <si>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</si>
  <si>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</si>
  <si>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</si>
  <si>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</si>
  <si>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</si>
  <si>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</si>
  <si>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</si>
  <si>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</si>
  <si>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</si>
  <si>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</si>
  <si>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</si>
  <si>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</si>
  <si>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</si>
  <si>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</si>
  <si>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</si>
  <si>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</si>
  <si>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</si>
  <si>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</si>
  <si>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</si>
  <si>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</si>
  <si>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</si>
  <si>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</si>
  <si>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</si>
  <si>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</si>
  <si>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</si>
  <si>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</si>
  <si>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</si>
  <si>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</si>
  <si>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</si>
  <si>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</si>
  <si>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</si>
  <si>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</si>
  <si>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</si>
  <si>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</si>
  <si>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</si>
  <si>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</si>
  <si>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</si>
  <si>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</si>
  <si>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</si>
  <si>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</si>
  <si>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</si>
  <si>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</si>
  <si>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</si>
  <si>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</si>
  <si>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</si>
  <si>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</si>
  <si>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</si>
  <si>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</si>
  <si>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</si>
  <si>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</si>
  <si>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</si>
  <si>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</si>
  <si>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</si>
  <si>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</si>
  <si>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</si>
  <si>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</si>
  <si>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</si>
  <si>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</si>
  <si>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</si>
  <si>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</si>
  <si>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</si>
  <si>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</si>
  <si>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</si>
  <si>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</si>
  <si>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</si>
  <si>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</si>
  <si>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</si>
  <si>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</si>
  <si>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</si>
  <si>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</si>
  <si>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</si>
  <si>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</si>
  <si>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</si>
  <si>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</si>
  <si>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</si>
  <si>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</si>
  <si>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</si>
  <si>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</si>
  <si>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</si>
  <si>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</si>
  <si>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</si>
  <si>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</si>
  <si>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</si>
  <si>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</si>
  <si>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</si>
  <si>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</si>
  <si>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</si>
  <si>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</si>
  <si>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</si>
  <si>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</si>
  <si>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</si>
  <si>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</si>
  <si>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</si>
  <si>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</si>
  <si>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</si>
  <si>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</si>
  <si>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</si>
  <si>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</si>
  <si>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</si>
  <si>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</si>
  <si>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</si>
  <si>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</si>
  <si>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</si>
  <si>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</si>
  <si>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</si>
  <si>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</si>
  <si>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</si>
  <si>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</si>
  <si>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</si>
  <si>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</si>
  <si>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</si>
  <si>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</si>
  <si>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</si>
  <si>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</si>
  <si>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</si>
  <si>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</si>
  <si>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</si>
  <si>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</si>
  <si>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</si>
  <si>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</si>
  <si>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</si>
  <si>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</si>
  <si>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</si>
  <si>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</si>
  <si>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</si>
  <si>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</si>
  <si>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</si>
  <si>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</si>
  <si>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</si>
  <si>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</si>
  <si>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</si>
  <si>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</si>
  <si>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</si>
  <si>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</si>
  <si>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</si>
  <si>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</si>
  <si>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</si>
  <si>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</si>
  <si>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</si>
  <si>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</si>
  <si>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</si>
  <si>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</si>
  <si>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</si>
  <si>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</si>
  <si>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</si>
  <si>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</si>
  <si>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</si>
  <si>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</si>
  <si>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</si>
  <si>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</si>
  <si>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</si>
  <si>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</si>
  <si>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</si>
  <si>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</si>
  <si>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</si>
  <si>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</si>
  <si>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</si>
  <si>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</si>
  <si>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</si>
  <si>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</si>
  <si>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</si>
  <si>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</si>
  <si>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</si>
  <si>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</si>
  <si>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</si>
  <si>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</si>
  <si>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</si>
  <si>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</si>
  <si>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</si>
  <si>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</si>
  <si>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</si>
  <si>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</si>
  <si>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</si>
  <si>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</si>
  <si>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</si>
  <si>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</si>
  <si>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</si>
  <si>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</si>
  <si>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</si>
  <si>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</si>
  <si>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</si>
  <si>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</si>
  <si>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</si>
  <si>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</si>
  <si>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</si>
  <si>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</si>
  <si>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</si>
  <si>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</si>
  <si>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</si>
  <si>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</si>
  <si>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</si>
  <si>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</si>
  <si>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</si>
  <si>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</si>
  <si>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</si>
  <si>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</si>
  <si>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</si>
  <si>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</si>
  <si>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</si>
  <si>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</si>
  <si>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</si>
  <si>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</si>
  <si>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</si>
  <si>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</si>
  <si>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</si>
  <si>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</si>
  <si>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</si>
  <si>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</si>
  <si>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</si>
  <si>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</si>
  <si>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</si>
  <si>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</si>
  <si>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</si>
  <si>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</si>
  <si>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</si>
  <si>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</si>
  <si>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</si>
  <si>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</si>
  <si>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</si>
  <si>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</si>
  <si>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</si>
  <si>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</si>
  <si>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</si>
  <si>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</si>
  <si>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</si>
  <si>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</si>
  <si>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</si>
  <si>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</si>
  <si>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</si>
  <si>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</si>
  <si>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</si>
  <si>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</si>
  <si>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</si>
  <si>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</si>
  <si>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</si>
  <si>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</si>
  <si>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</si>
  <si>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</si>
  <si>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</si>
  <si>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</si>
  <si>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</si>
  <si>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</si>
  <si>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</si>
  <si>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</si>
  <si>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</si>
  <si>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</si>
  <si>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</si>
  <si>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</si>
  <si>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</si>
  <si>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</si>
  <si>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</si>
  <si>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</si>
  <si>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</si>
  <si>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</si>
  <si>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</si>
  <si>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</si>
  <si>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</si>
  <si>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</si>
  <si>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</si>
  <si>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</si>
  <si>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</si>
  <si>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</si>
  <si>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</si>
  <si>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</si>
  <si>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</si>
  <si>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</si>
  <si>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</si>
  <si>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</si>
  <si>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</si>
  <si>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</si>
  <si>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</si>
  <si>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</si>
  <si>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</si>
  <si>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</si>
  <si>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</si>
  <si>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</si>
  <si>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</si>
  <si>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</si>
  <si>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</si>
  <si>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</si>
  <si>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</si>
  <si>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</si>
  <si>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</si>
  <si>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</si>
  <si>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</si>
  <si>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</si>
  <si>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</si>
  <si>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</si>
  <si>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</si>
  <si>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</si>
  <si>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</si>
  <si>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</si>
  <si>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</si>
  <si>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</si>
  <si>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</si>
  <si>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</si>
  <si>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</si>
  <si>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</si>
  <si>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</si>
  <si>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</si>
  <si>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</si>
  <si>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</si>
  <si>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</si>
  <si>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</si>
  <si>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</si>
  <si>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</si>
  <si>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</si>
  <si>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</si>
  <si>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</si>
  <si>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</si>
  <si>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</si>
  <si>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</si>
  <si>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</si>
  <si>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</si>
  <si>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</si>
  <si>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</si>
  <si>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</si>
  <si>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</si>
  <si>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</si>
  <si>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</si>
  <si>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</si>
  <si>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</si>
  <si>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</si>
  <si>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</si>
  <si>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</si>
  <si>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</si>
  <si>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</si>
  <si>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</si>
  <si>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</si>
  <si>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</si>
  <si>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</si>
  <si>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</si>
  <si>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</si>
  <si>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</si>
  <si>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</si>
  <si>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</si>
  <si>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</si>
  <si>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</si>
  <si>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</si>
  <si>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</si>
  <si>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</si>
  <si>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</si>
  <si>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</si>
  <si>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</si>
  <si>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</si>
  <si>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</si>
  <si>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</si>
  <si>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</si>
  <si>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</si>
  <si>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</si>
  <si>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</si>
  <si>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</si>
  <si>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</si>
  <si>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</si>
  <si>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</si>
  <si>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</si>
  <si>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</si>
  <si>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</si>
  <si>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</si>
  <si>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</si>
  <si>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</si>
  <si>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</si>
  <si>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</si>
  <si>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</si>
  <si>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</si>
  <si>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</si>
  <si>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</si>
  <si>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</si>
  <si>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</si>
  <si>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</si>
  <si>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</si>
  <si>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</si>
  <si>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</si>
  <si>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</si>
  <si>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</si>
  <si>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</si>
  <si>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</si>
  <si>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</si>
  <si>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</si>
  <si>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</si>
  <si>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</si>
  <si>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</si>
  <si>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</si>
  <si>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</si>
  <si>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</si>
  <si>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</si>
  <si>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</si>
  <si>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</si>
  <si>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</si>
  <si>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</si>
  <si>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</si>
  <si>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</si>
  <si>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</si>
  <si>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</si>
  <si>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</si>
  <si>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</si>
  <si>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</si>
  <si>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</si>
  <si>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</si>
  <si>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</si>
  <si>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</si>
  <si>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</si>
  <si>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</si>
  <si>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</si>
  <si>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</si>
  <si>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</si>
  <si>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</si>
  <si>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</si>
  <si>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</si>
  <si>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</si>
  <si>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</si>
  <si>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</si>
  <si>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</si>
  <si>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</si>
  <si>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</si>
  <si>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</si>
  <si>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</si>
  <si>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</si>
  <si>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</si>
  <si>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</si>
  <si>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</si>
  <si>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</si>
  <si>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</si>
  <si>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</si>
  <si>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</si>
  <si>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</si>
  <si>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</si>
  <si>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</si>
  <si>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</si>
  <si>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</si>
  <si>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</si>
  <si>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</si>
  <si>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</si>
  <si>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</si>
  <si>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</si>
  <si>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</si>
  <si>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</si>
  <si>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</si>
  <si>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</si>
  <si>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</si>
  <si>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</si>
  <si>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</si>
  <si>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</si>
  <si>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</si>
  <si>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</si>
  <si>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</si>
  <si>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</si>
  <si>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</si>
  <si>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</si>
  <si>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</si>
  <si>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</si>
  <si>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</si>
  <si>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</si>
  <si>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</si>
  <si>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</si>
  <si>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</si>
  <si>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</si>
  <si>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</si>
  <si>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</si>
  <si>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</si>
  <si>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</si>
  <si>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</si>
  <si>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</si>
  <si>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</si>
  <si>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</si>
  <si>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</si>
  <si>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</si>
  <si>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</si>
  <si>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</si>
  <si>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</si>
  <si>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</si>
  <si>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</si>
  <si>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</si>
  <si>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</si>
  <si>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</si>
  <si>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</si>
  <si>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</si>
  <si>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</si>
  <si>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</si>
  <si>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</si>
  <si>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</si>
  <si>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</si>
  <si>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</si>
  <si>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</si>
  <si>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</si>
  <si>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</si>
  <si>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</si>
  <si>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</si>
  <si>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</si>
  <si>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</si>
  <si>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</si>
  <si>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</si>
  <si>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</si>
  <si>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</si>
  <si>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</si>
  <si>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</si>
  <si>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</si>
  <si>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</si>
  <si>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</si>
  <si>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</si>
  <si>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</si>
  <si>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</si>
  <si>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</si>
  <si>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</si>
  <si>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</si>
  <si>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</si>
  <si>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</si>
  <si>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</si>
  <si>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</si>
  <si>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</si>
  <si>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</si>
  <si>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</si>
  <si>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</si>
  <si>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</si>
  <si>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</si>
  <si>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</si>
  <si>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</si>
  <si>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</si>
  <si>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</si>
  <si>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</si>
  <si>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</si>
  <si>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</si>
  <si>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</si>
  <si>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</si>
  <si>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</si>
  <si>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</si>
  <si>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</si>
  <si>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</si>
  <si>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</si>
  <si>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</si>
  <si>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</si>
  <si>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</si>
  <si>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</si>
  <si>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</si>
  <si>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</si>
  <si>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</si>
  <si>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</si>
  <si>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</si>
  <si>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</si>
  <si>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</si>
  <si>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</si>
  <si>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</si>
  <si>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</si>
  <si>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</si>
  <si>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</si>
  <si>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</si>
  <si>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</si>
  <si>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</si>
  <si>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</si>
  <si>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</si>
  <si>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</si>
  <si>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</si>
  <si>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</si>
  <si>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</si>
  <si>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</si>
  <si>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</si>
  <si>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</si>
  <si>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</si>
  <si>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</si>
  <si>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</si>
  <si>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</si>
  <si>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</si>
  <si>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</si>
  <si>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</si>
  <si>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</si>
  <si>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</si>
  <si>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</si>
  <si>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</si>
  <si>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</si>
  <si>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</si>
  <si>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</si>
  <si>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</si>
  <si>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</si>
  <si>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</si>
  <si>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</si>
  <si>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</si>
  <si>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</si>
  <si>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</si>
  <si>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</si>
  <si>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</si>
  <si>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</si>
  <si>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</si>
  <si>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</si>
  <si>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</si>
  <si>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</si>
  <si>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</si>
  <si>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</si>
  <si>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</si>
  <si>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</si>
  <si>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</si>
  <si>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</si>
  <si>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</si>
  <si>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</si>
  <si>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</si>
  <si>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</si>
  <si>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</si>
  <si>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</si>
  <si>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</si>
  <si>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</si>
  <si>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</si>
  <si>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</si>
  <si>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</si>
  <si>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</si>
  <si>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</si>
  <si>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</si>
  <si>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</si>
  <si>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</si>
  <si>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</si>
  <si>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</si>
  <si>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</si>
  <si>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</si>
  <si>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</si>
  <si>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</si>
  <si>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</si>
  <si>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</si>
  <si>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</si>
  <si>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</si>
  <si>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</si>
  <si>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</si>
  <si>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</si>
  <si>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</si>
  <si>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</si>
  <si>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</si>
  <si>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</si>
  <si>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</si>
  <si>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</si>
  <si>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</si>
  <si>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</si>
  <si>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</si>
  <si>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</si>
  <si>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</si>
  <si>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</si>
  <si>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</si>
  <si>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</si>
  <si>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</si>
  <si>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</si>
  <si>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</si>
  <si>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</si>
  <si>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</si>
  <si>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</si>
  <si>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</si>
  <si>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</si>
  <si>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</si>
  <si>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</si>
  <si>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</si>
  <si>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</si>
  <si>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</si>
  <si>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</si>
  <si>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</si>
  <si>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</si>
  <si>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</si>
  <si>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</si>
  <si>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</si>
  <si>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</si>
  <si>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</si>
  <si>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</si>
  <si>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</si>
  <si>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</si>
  <si>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</si>
  <si>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</si>
  <si>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</si>
  <si>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</si>
  <si>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</si>
  <si>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</si>
  <si>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</si>
  <si>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</si>
  <si>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</si>
  <si>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</si>
  <si>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</si>
  <si>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</si>
  <si>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</si>
  <si>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</si>
  <si>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</si>
  <si>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</si>
  <si>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</si>
  <si>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</si>
  <si>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</si>
  <si>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</si>
  <si>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</si>
  <si>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</si>
  <si>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</si>
  <si>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</si>
  <si>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</si>
  <si>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</si>
  <si>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</si>
  <si>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</si>
  <si>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</si>
  <si>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</si>
  <si>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</si>
  <si>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</si>
  <si>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</si>
  <si>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</si>
  <si>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</si>
  <si>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</si>
  <si>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</si>
  <si>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</si>
  <si>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</si>
  <si>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</si>
  <si>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</si>
  <si>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</si>
  <si>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</si>
  <si>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</si>
  <si>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</si>
  <si>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</si>
  <si>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</si>
  <si>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</si>
  <si>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</si>
  <si>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</si>
  <si>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</si>
  <si>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</si>
  <si>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</si>
  <si>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</si>
  <si>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</si>
  <si>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</si>
  <si>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</si>
  <si>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</si>
  <si>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</si>
  <si>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</si>
  <si>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</si>
  <si>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</si>
  <si>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</si>
  <si>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</si>
  <si>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</si>
  <si>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</si>
  <si>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</si>
  <si>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</si>
  <si>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</si>
  <si>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</si>
  <si>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</si>
  <si>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</si>
  <si>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</si>
  <si>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</si>
  <si>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</si>
  <si>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</si>
  <si>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</si>
  <si>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</si>
  <si>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</si>
  <si>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</si>
  <si>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</si>
  <si>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</si>
  <si>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</si>
  <si>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</si>
  <si>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</si>
  <si>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</si>
  <si>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</si>
  <si>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</si>
  <si>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</si>
  <si>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</si>
  <si>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</si>
  <si>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</si>
  <si>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</si>
  <si>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</si>
  <si>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</si>
  <si>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</si>
  <si>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</si>
  <si>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</si>
  <si>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</si>
  <si>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</si>
  <si>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</si>
  <si>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</si>
  <si>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</si>
  <si>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</si>
  <si>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</si>
  <si>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</si>
  <si>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</si>
  <si>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</si>
  <si>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</si>
  <si>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</si>
  <si>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</si>
  <si>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</si>
  <si>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</si>
  <si>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</si>
  <si>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</si>
  <si>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</si>
  <si>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</si>
  <si>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</si>
  <si>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</si>
  <si>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</si>
  <si>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</si>
  <si>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</si>
  <si>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</si>
  <si>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</si>
  <si>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</si>
  <si>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</si>
  <si>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</si>
  <si>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</si>
  <si>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</si>
  <si>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</si>
  <si>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</si>
  <si>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</si>
  <si>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</si>
  <si>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</si>
  <si>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</si>
  <si>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</si>
  <si>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</si>
  <si>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</si>
  <si>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</si>
  <si>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</si>
  <si>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</si>
  <si>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</si>
  <si>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</si>
  <si>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</si>
  <si>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</si>
  <si>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</si>
  <si>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</si>
  <si>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</si>
  <si>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</si>
  <si>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</si>
  <si>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</si>
  <si>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</si>
  <si>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</si>
  <si>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</si>
  <si>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</si>
  <si>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</si>
  <si>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</si>
  <si>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</si>
  <si>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</si>
  <si>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</si>
  <si>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</si>
  <si>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</si>
  <si>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</si>
  <si>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</si>
  <si>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</si>
  <si>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</si>
  <si>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</si>
  <si>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</si>
  <si>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</si>
  <si>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</si>
  <si>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</si>
  <si>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</si>
  <si>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</si>
  <si>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</si>
  <si>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</si>
  <si>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</si>
  <si>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</si>
  <si>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</si>
  <si>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</si>
  <si>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</si>
  <si>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</si>
  <si>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</si>
  <si>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</si>
  <si>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</si>
  <si>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</si>
  <si>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</si>
  <si>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</si>
  <si>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</si>
  <si>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</si>
  <si>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</si>
  <si>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</si>
  <si>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</si>
  <si>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</si>
  <si>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</si>
  <si>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</si>
  <si>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</si>
  <si>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</si>
  <si>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</si>
  <si>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</si>
  <si>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</si>
  <si>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</si>
  <si>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</si>
  <si>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</si>
  <si>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</si>
  <si>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</si>
  <si>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</si>
  <si>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</si>
  <si>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</si>
  <si>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</si>
  <si>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</si>
  <si>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</si>
  <si>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</si>
  <si>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</si>
  <si>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</si>
  <si>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</si>
  <si>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</si>
  <si>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</si>
  <si>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</si>
  <si>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</si>
  <si>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</si>
  <si>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</si>
  <si>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</si>
  <si>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</si>
  <si>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</si>
  <si>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</si>
  <si>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</si>
  <si>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</si>
  <si>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</si>
  <si>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</si>
  <si>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</si>
  <si>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</si>
  <si>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</si>
  <si>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</si>
  <si>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</si>
  <si>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</si>
  <si>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</si>
  <si>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</si>
  <si>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</si>
  <si>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</si>
  <si>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</si>
  <si>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</si>
  <si>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</si>
  <si>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</si>
  <si>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</si>
  <si>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</si>
  <si>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</si>
  <si>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</si>
  <si>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</si>
  <si>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</si>
  <si>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</si>
  <si>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</si>
  <si>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</si>
  <si>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</si>
  <si>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</si>
  <si>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</si>
  <si>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</si>
  <si>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</si>
  <si>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</si>
  <si>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</si>
  <si>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</si>
  <si>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</si>
  <si>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</si>
  <si>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</si>
  <si>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</si>
  <si>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</si>
  <si>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</si>
  <si>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</si>
  <si>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</si>
  <si>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</si>
  <si>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</si>
  <si>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</si>
  <si>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</si>
  <si>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</si>
  <si>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</si>
  <si>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</si>
  <si>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</si>
  <si>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</si>
  <si>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</si>
  <si>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</si>
  <si>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</si>
  <si>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</si>
  <si>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</si>
  <si>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</si>
  <si>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</si>
  <si>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</si>
  <si>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</si>
  <si>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</si>
  <si>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</si>
  <si>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</si>
  <si>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</si>
  <si>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</si>
  <si>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</si>
  <si>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</si>
  <si>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</si>
  <si>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</si>
  <si>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</si>
  <si>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</si>
  <si>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</si>
  <si>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</si>
  <si>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</si>
  <si>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</si>
  <si>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</si>
  <si>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</si>
  <si>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</si>
  <si>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</si>
  <si>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</si>
  <si>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</si>
  <si>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</si>
  <si>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</si>
  <si>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</si>
  <si>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</si>
  <si>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</si>
  <si>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</si>
  <si>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</si>
  <si>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</si>
  <si>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</si>
  <si>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</si>
  <si>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</si>
  <si>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</si>
  <si>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</si>
  <si>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</si>
  <si>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</si>
  <si>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</si>
  <si>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</si>
  <si>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</si>
  <si>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</si>
  <si>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</si>
  <si>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</si>
  <si>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</si>
  <si>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</si>
  <si>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</si>
  <si>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</si>
  <si>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</si>
  <si>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</si>
  <si>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</si>
  <si>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</si>
  <si>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</si>
  <si>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</si>
  <si>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</si>
  <si>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</si>
  <si>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</si>
  <si>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</si>
  <si>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</si>
  <si>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</si>
  <si>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</si>
  <si>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</si>
  <si>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</si>
  <si>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</si>
  <si>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</si>
  <si>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</si>
  <si>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</si>
  <si>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</si>
  <si>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</si>
  <si>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</si>
  <si>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</si>
  <si>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</si>
  <si>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</si>
  <si>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</si>
  <si>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</si>
  <si>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</si>
  <si>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</si>
  <si>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</si>
  <si>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</si>
  <si>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</si>
  <si>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</si>
  <si>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</si>
  <si>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</si>
  <si>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</si>
  <si>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</si>
  <si>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</si>
  <si>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</si>
  <si>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</si>
  <si>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</si>
  <si>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</si>
  <si>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</si>
  <si>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</si>
  <si>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</si>
  <si>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</si>
  <si>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</si>
  <si>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</si>
  <si>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</si>
  <si>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</si>
  <si>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</si>
  <si>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</si>
  <si>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</si>
  <si>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</si>
  <si>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</si>
  <si>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</si>
  <si>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</si>
  <si>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</si>
  <si>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</si>
  <si>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</si>
  <si>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</si>
  <si>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</si>
  <si>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</si>
  <si>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</si>
  <si>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</si>
  <si>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</si>
  <si>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</si>
  <si>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</si>
  <si>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</si>
  <si>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</si>
  <si>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</si>
  <si>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</si>
  <si>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</si>
  <si>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</si>
  <si>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</si>
  <si>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</si>
  <si>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</si>
  <si>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</si>
  <si>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</si>
  <si>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</si>
  <si>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</si>
  <si>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</si>
  <si>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</si>
  <si>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</si>
  <si>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</si>
  <si>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</si>
  <si>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</si>
  <si>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</si>
  <si>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</si>
  <si>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</si>
  <si>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</si>
  <si>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</si>
  <si>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</si>
  <si>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</si>
  <si>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</si>
  <si>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</si>
  <si>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</si>
  <si>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</si>
  <si>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</si>
  <si>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</si>
  <si>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</si>
  <si>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</si>
  <si>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</si>
  <si>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</si>
  <si>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</si>
  <si>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</si>
  <si>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</si>
  <si>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</si>
  <si>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</si>
  <si>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</si>
  <si>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</si>
  <si>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</si>
  <si>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</si>
  <si>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</si>
  <si>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</si>
  <si>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</si>
  <si>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</si>
  <si>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</si>
  <si>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</si>
  <si>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</si>
  <si>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</si>
  <si>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</si>
  <si>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</si>
  <si>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</si>
  <si>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</si>
  <si>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</si>
  <si>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</si>
  <si>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</si>
  <si>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</si>
  <si>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</si>
  <si>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</si>
  <si>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</si>
  <si>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</si>
  <si>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</si>
  <si>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</si>
  <si>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</si>
  <si>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</si>
  <si>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</si>
  <si>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</si>
  <si>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</si>
  <si>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</si>
  <si>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Dekalb</t>
  </si>
  <si>
    <t>410 South First Street</t>
  </si>
  <si>
    <t>Kirkland</t>
  </si>
  <si>
    <t>815-522-6619</t>
  </si>
  <si>
    <t>Russell J. Rumbold II, CPA</t>
  </si>
  <si>
    <t>rrumbold@gorenzcpa.com</t>
  </si>
  <si>
    <t>2008 GO Bond</t>
  </si>
  <si>
    <t>2009B GO Bond</t>
  </si>
  <si>
    <t>2009A GO Bond</t>
  </si>
  <si>
    <t>x</t>
  </si>
  <si>
    <t>IEC - Natural gas</t>
  </si>
  <si>
    <t>Prairie State insurance Cooperative</t>
  </si>
  <si>
    <t>Illinois School District Liquid Asset Fund</t>
  </si>
  <si>
    <t>Regional Office of Education - Publication of Prevailing Wage</t>
  </si>
  <si>
    <t>DeKalb ROE - IASA Job Bank</t>
  </si>
  <si>
    <t>Geneo-Kingston-Psychologist 16-17, Hearing 17-18</t>
  </si>
  <si>
    <t>Ogle County Educational Co-op - outside tuition</t>
  </si>
  <si>
    <t>Northern Illinois Independent Purchasing co-op - Food</t>
  </si>
  <si>
    <t>Kishwaukee Education Consortium - Vocational</t>
  </si>
  <si>
    <t>Jared Poynter</t>
  </si>
  <si>
    <t>jared.poynter@d426.org</t>
  </si>
  <si>
    <t>815-522-3336</t>
  </si>
  <si>
    <t>2017-001</t>
  </si>
  <si>
    <t>Lack of Segregation of Duties</t>
  </si>
  <si>
    <t>2017-002</t>
  </si>
  <si>
    <t>2017-003</t>
  </si>
  <si>
    <t>Compliance - Statement of Economic Interest</t>
  </si>
  <si>
    <t>Ed - Instruction - Other</t>
  </si>
  <si>
    <t>Camelot Therapeutic School</t>
  </si>
  <si>
    <t>Ed - Support - Services</t>
  </si>
  <si>
    <t>Cumberland Therapy Services</t>
  </si>
  <si>
    <t>Easter Seals Metro Chicago</t>
  </si>
  <si>
    <t>Negative Cash Balances</t>
  </si>
  <si>
    <t>The opinion is adverse due to the use of the Regulatory Basis of Accounting.</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</si>
  <si>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</si>
  <si>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</si>
  <si>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All District accounting and financial records are primarily maintained by two individuals.</t>
  </si>
  <si>
    <t>Certain individuals have the ability to complete and record accounting transactions which ideally would be segregated. The internal control benefits of an independent treasurer are diminished when the Treasurer is also employed by the District.</t>
  </si>
  <si>
    <t>The Board of Education has determined that two individuals is sufficient to perform the required duties and the benefits outweigh any additional risks of having the treasurer on-site.</t>
  </si>
  <si>
    <t>The Board should take steps it considers necessary to limit the risks that a lack of segregation of duties presents; such as but not limited to hiring additional staff.</t>
  </si>
  <si>
    <t>The District will take the Auditor's recommendations under consideration.</t>
  </si>
  <si>
    <t>Unresolved - See Finding 2018-001</t>
  </si>
  <si>
    <t>Resolved</t>
  </si>
  <si>
    <t>Part C Line 20 - See Finding 2018-001</t>
  </si>
  <si>
    <t>10-2100-300</t>
  </si>
  <si>
    <t>Page 10, Line 72 - Milk Sales</t>
  </si>
  <si>
    <t>Page 10, Line 78 - Band Festival Admissions</t>
  </si>
  <si>
    <t>Page 12, Line 171 - State Library Grant</t>
  </si>
  <si>
    <t>Page 16, Line 73 - Homeless Supplies</t>
  </si>
  <si>
    <t>Page 18, Line 171 - Bond Fees</t>
  </si>
  <si>
    <t>Education - Reimbursements and Voids</t>
  </si>
  <si>
    <t>Operations &amp; Maintenance - Rentals &amp; Reimbursements</t>
  </si>
  <si>
    <t xml:space="preserve">Page 11, Line 107 </t>
  </si>
  <si>
    <t>066-005027</t>
  </si>
  <si>
    <t>see embedded PDF version</t>
  </si>
  <si>
    <t>Hiawatha CUSD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</si>
</sst>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9" t="s">
        <v>425</v>
      </c>
      <c r="J1" s="2030"/>
      <c r="K1" s="2030"/>
      <c r="L1" s="2030"/>
      <c r="M1" s="2030"/>
      <c r="N1" s="2030"/>
      <c r="O1" s="2030"/>
      <c r="P1" s="2030"/>
      <c r="Q1" s="2030"/>
      <c r="R1" s="2030"/>
      <c r="S1" s="2030"/>
    </row>
    <row r="2" spans="1:28" ht="12" customHeight="1" x14ac:dyDescent="0.2">
      <c r="A2" s="47" t="s">
        <v>1684</v>
      </c>
      <c r="D2" s="48"/>
      <c r="I2" s="2031" t="s">
        <v>1036</v>
      </c>
      <c r="J2" s="2030"/>
      <c r="K2" s="2030"/>
      <c r="L2" s="2030"/>
      <c r="M2" s="2030"/>
      <c r="N2" s="2030"/>
      <c r="O2" s="2030"/>
      <c r="P2" s="2030"/>
      <c r="Q2" s="2030"/>
      <c r="R2" s="2030"/>
      <c r="S2" s="2030"/>
    </row>
    <row r="3" spans="1:28" ht="12" customHeight="1" x14ac:dyDescent="0.2">
      <c r="A3" s="155" t="s">
        <v>1685</v>
      </c>
      <c r="B3" s="156"/>
      <c r="C3" s="156"/>
      <c r="D3" s="157"/>
      <c r="I3" s="2031" t="s">
        <v>54</v>
      </c>
      <c r="J3" s="2030"/>
      <c r="K3" s="2030"/>
      <c r="L3" s="2030"/>
      <c r="M3" s="2030"/>
      <c r="N3" s="2030"/>
      <c r="O3" s="2030"/>
      <c r="P3" s="2030"/>
      <c r="Q3" s="2030"/>
      <c r="R3" s="2030"/>
      <c r="S3" s="2030"/>
    </row>
    <row r="4" spans="1:28" ht="12" customHeight="1" x14ac:dyDescent="0.2">
      <c r="A4" s="37"/>
      <c r="I4" s="2031" t="s">
        <v>545</v>
      </c>
      <c r="J4" s="2030"/>
      <c r="K4" s="2030"/>
      <c r="L4" s="2030"/>
      <c r="M4" s="2030"/>
      <c r="N4" s="2030"/>
      <c r="O4" s="2030"/>
      <c r="P4" s="2030"/>
      <c r="Q4" s="2030"/>
      <c r="R4" s="2030"/>
      <c r="S4" s="2030"/>
    </row>
    <row r="5" spans="1:28" ht="14.1" customHeight="1" x14ac:dyDescent="0.2">
      <c r="B5" s="104" t="s">
        <v>2077</v>
      </c>
      <c r="C5" s="26" t="s">
        <v>966</v>
      </c>
      <c r="D5" s="84"/>
      <c r="E5" s="84"/>
      <c r="H5" s="38"/>
      <c r="I5" s="2038" t="s">
        <v>701</v>
      </c>
      <c r="J5" s="1983"/>
      <c r="K5" s="1983"/>
      <c r="L5" s="1983"/>
      <c r="M5" s="1983"/>
      <c r="N5" s="1983"/>
      <c r="O5" s="1983"/>
      <c r="P5" s="1983"/>
      <c r="Q5" s="1983"/>
      <c r="R5" s="1983"/>
      <c r="S5" s="1983"/>
    </row>
    <row r="6" spans="1:28" ht="14.1" customHeight="1" x14ac:dyDescent="0.2">
      <c r="B6" s="104"/>
      <c r="C6" s="26" t="s">
        <v>967</v>
      </c>
      <c r="D6" s="84"/>
      <c r="E6" s="84"/>
      <c r="I6" s="2037" t="s">
        <v>938</v>
      </c>
      <c r="J6" s="1983"/>
      <c r="K6" s="1983"/>
      <c r="L6" s="1983"/>
      <c r="M6" s="1983"/>
      <c r="N6" s="1983"/>
      <c r="O6" s="1983"/>
      <c r="P6" s="1983"/>
      <c r="Q6" s="1983"/>
      <c r="R6" s="1983"/>
      <c r="S6" s="1983"/>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695</v>
      </c>
      <c r="J9" s="2035"/>
      <c r="K9" s="2035"/>
      <c r="L9" s="2035"/>
      <c r="M9" s="2035"/>
      <c r="N9" s="2035"/>
      <c r="O9" s="2035"/>
      <c r="P9" s="2035"/>
      <c r="Q9" s="2035"/>
      <c r="R9" s="2035"/>
      <c r="S9" s="2036"/>
      <c r="T9" s="1979" t="s">
        <v>554</v>
      </c>
      <c r="U9" s="1980"/>
      <c r="V9" s="1980"/>
      <c r="W9" s="1980"/>
      <c r="X9" s="1980"/>
      <c r="Y9" s="1980"/>
      <c r="Z9" s="1980"/>
      <c r="AA9" s="1981"/>
    </row>
    <row r="10" spans="1:28" ht="13.5" customHeight="1" x14ac:dyDescent="0.2">
      <c r="A10" s="1988" t="s">
        <v>696</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1012</v>
      </c>
      <c r="B11" s="1992"/>
      <c r="C11" s="1992"/>
      <c r="D11" s="1992"/>
      <c r="E11" s="1992"/>
      <c r="F11" s="1992"/>
      <c r="G11" s="1992"/>
      <c r="H11" s="1993"/>
      <c r="I11" s="27"/>
      <c r="J11" s="74"/>
      <c r="K11" s="27"/>
      <c r="O11" s="148" t="s">
        <v>2077</v>
      </c>
      <c r="P11" s="100" t="s">
        <v>210</v>
      </c>
      <c r="Q11" s="30"/>
      <c r="R11" s="28"/>
      <c r="S11" s="27"/>
      <c r="T11" s="1985"/>
      <c r="U11" s="1986"/>
      <c r="V11" s="1986"/>
      <c r="W11" s="1986"/>
      <c r="X11" s="1986"/>
      <c r="Y11" s="1986"/>
      <c r="Z11" s="1986"/>
      <c r="AA11" s="198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9">
        <v>16019426026</v>
      </c>
      <c r="B13" s="2000"/>
      <c r="C13" s="2000"/>
      <c r="D13" s="2000"/>
      <c r="E13" s="2000"/>
      <c r="F13" s="2000"/>
      <c r="G13" s="2000"/>
      <c r="H13" s="2001"/>
      <c r="I13" s="31"/>
      <c r="J13" s="30"/>
      <c r="K13" s="28"/>
      <c r="L13" s="30"/>
      <c r="M13" s="30"/>
      <c r="N13" s="30"/>
      <c r="O13" s="30"/>
      <c r="P13" s="30"/>
      <c r="Q13" s="30"/>
      <c r="R13" s="30"/>
      <c r="S13" s="30"/>
      <c r="T13" s="2004" t="s">
        <v>2078</v>
      </c>
      <c r="U13" s="2005"/>
      <c r="V13" s="2005"/>
      <c r="W13" s="2005"/>
      <c r="X13" s="2005"/>
      <c r="Y13" s="2006"/>
      <c r="Z13" s="2006"/>
      <c r="AA13" s="200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7" t="s">
        <v>2086</v>
      </c>
      <c r="B15" s="2002"/>
      <c r="C15" s="2002"/>
      <c r="D15" s="2002"/>
      <c r="E15" s="2002"/>
      <c r="F15" s="2002"/>
      <c r="G15" s="2002"/>
      <c r="H15" s="2003"/>
      <c r="T15" s="1965" t="s">
        <v>2090</v>
      </c>
      <c r="U15" s="1966"/>
      <c r="V15" s="1966"/>
      <c r="W15" s="1966"/>
      <c r="X15" s="1966"/>
      <c r="Y15" s="2008"/>
      <c r="Z15" s="2008"/>
      <c r="AA15" s="200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7" t="s">
        <v>2141</v>
      </c>
      <c r="B17" s="2027"/>
      <c r="C17" s="2027"/>
      <c r="D17" s="2027"/>
      <c r="E17" s="2027"/>
      <c r="F17" s="2027"/>
      <c r="G17" s="2027"/>
      <c r="H17" s="2028"/>
      <c r="T17" s="2014" t="s">
        <v>2079</v>
      </c>
      <c r="U17" s="2015"/>
      <c r="V17" s="2015"/>
      <c r="W17" s="2015"/>
      <c r="X17" s="2015"/>
      <c r="Y17" s="2015"/>
      <c r="Z17" s="2015"/>
      <c r="AA17" s="2016"/>
    </row>
    <row r="18" spans="1:27" ht="13.5" customHeight="1" x14ac:dyDescent="0.2">
      <c r="A18" s="85" t="s">
        <v>551</v>
      </c>
      <c r="B18" s="76"/>
      <c r="C18" s="72"/>
      <c r="D18" s="76"/>
      <c r="E18" s="76"/>
      <c r="F18" s="76"/>
      <c r="G18" s="76"/>
      <c r="H18" s="56"/>
      <c r="I18" s="2024" t="s">
        <v>697</v>
      </c>
      <c r="J18" s="2025"/>
      <c r="K18" s="2025"/>
      <c r="L18" s="2025"/>
      <c r="M18" s="2025"/>
      <c r="N18" s="2025"/>
      <c r="O18" s="2025"/>
      <c r="P18" s="2025"/>
      <c r="Q18" s="2025"/>
      <c r="R18" s="2025"/>
      <c r="S18" s="2026"/>
      <c r="T18" s="85" t="s">
        <v>735</v>
      </c>
      <c r="U18" s="51"/>
      <c r="V18" s="72"/>
      <c r="W18" s="50"/>
      <c r="X18" s="85" t="s">
        <v>284</v>
      </c>
      <c r="Y18" s="81"/>
      <c r="Z18" s="159" t="s">
        <v>698</v>
      </c>
      <c r="AA18" s="46"/>
    </row>
    <row r="19" spans="1:27" ht="13.5" customHeight="1" x14ac:dyDescent="0.2">
      <c r="A19" s="1997" t="s">
        <v>2087</v>
      </c>
      <c r="B19" s="1998"/>
      <c r="C19" s="1998"/>
      <c r="D19" s="1998"/>
      <c r="E19" s="1998"/>
      <c r="F19" s="1998"/>
      <c r="G19" s="1998"/>
      <c r="H19" s="1996"/>
      <c r="I19" s="30"/>
      <c r="J19" s="99"/>
      <c r="K19" s="40"/>
      <c r="L19" s="38"/>
      <c r="M19" s="112" t="s">
        <v>333</v>
      </c>
      <c r="P19" s="27"/>
      <c r="Q19" s="27"/>
      <c r="R19" s="27"/>
      <c r="S19" s="31"/>
      <c r="T19" s="1997" t="s">
        <v>2080</v>
      </c>
      <c r="U19" s="1995"/>
      <c r="V19" s="1995"/>
      <c r="W19" s="1996"/>
      <c r="X19" s="2012" t="s">
        <v>2081</v>
      </c>
      <c r="Y19" s="2013"/>
      <c r="Z19" s="2010">
        <v>61614</v>
      </c>
      <c r="AA19" s="201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4" t="s">
        <v>2088</v>
      </c>
      <c r="B21" s="1995"/>
      <c r="C21" s="1995"/>
      <c r="D21" s="1995"/>
      <c r="E21" s="1995"/>
      <c r="F21" s="1995"/>
      <c r="G21" s="1995"/>
      <c r="H21" s="1996"/>
      <c r="I21" s="2020" t="s">
        <v>699</v>
      </c>
      <c r="J21" s="1983"/>
      <c r="K21" s="1983"/>
      <c r="L21" s="1983"/>
      <c r="M21" s="1983"/>
      <c r="N21" s="1983"/>
      <c r="O21" s="1983"/>
      <c r="P21" s="1983"/>
      <c r="Q21" s="1983"/>
      <c r="R21" s="1983"/>
      <c r="S21" s="1984"/>
      <c r="T21" s="1962" t="s">
        <v>2082</v>
      </c>
      <c r="U21" s="1963"/>
      <c r="V21" s="1963"/>
      <c r="W21" s="1963"/>
      <c r="X21" s="1976" t="s">
        <v>2083</v>
      </c>
      <c r="Y21" s="1977"/>
      <c r="Z21" s="1977"/>
      <c r="AA21" s="1978"/>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7" t="s">
        <v>2106</v>
      </c>
      <c r="B23" s="2018"/>
      <c r="C23" s="2018"/>
      <c r="D23" s="2018"/>
      <c r="E23" s="2018"/>
      <c r="F23" s="2018"/>
      <c r="G23" s="2018"/>
      <c r="H23" s="2019"/>
      <c r="T23" s="1957" t="s">
        <v>2139</v>
      </c>
      <c r="U23" s="1958"/>
      <c r="V23" s="1958"/>
      <c r="W23" s="1958"/>
      <c r="X23" s="1973">
        <v>44530</v>
      </c>
      <c r="Y23" s="1974"/>
      <c r="Z23" s="1974"/>
      <c r="AA23" s="1975"/>
    </row>
    <row r="24" spans="1:27" ht="14.1" customHeight="1" x14ac:dyDescent="0.2">
      <c r="A24" s="88" t="s">
        <v>698</v>
      </c>
      <c r="B24" s="49"/>
      <c r="C24" s="49"/>
      <c r="D24" s="49"/>
      <c r="E24" s="49"/>
      <c r="F24" s="49"/>
      <c r="G24" s="49"/>
      <c r="H24" s="61"/>
      <c r="J24" s="2059">
        <f>IF(B5="x",IF(AUDITCHECK!D29="AFR form Incomplete.","",IF(AUDITCHECK!D29="Deficit reduction plan is required.","School District must complete a deficit reduction plan in the 2018-2019 Budget",)),"")</f>
        <v>0</v>
      </c>
      <c r="K24" s="2059"/>
      <c r="L24" s="2059"/>
      <c r="M24" s="2059"/>
      <c r="N24" s="2059"/>
      <c r="O24" s="2059"/>
      <c r="P24" s="2059"/>
      <c r="Q24" s="2059"/>
      <c r="R24" s="2059"/>
      <c r="S24" s="2060"/>
      <c r="T24" s="105" t="s">
        <v>552</v>
      </c>
      <c r="U24" s="106"/>
      <c r="V24" s="106"/>
      <c r="W24" s="106"/>
      <c r="X24" s="107"/>
      <c r="Y24" s="107"/>
      <c r="Z24" s="107"/>
      <c r="AA24" s="108"/>
    </row>
    <row r="25" spans="1:27" ht="14.1" customHeight="1" x14ac:dyDescent="0.2">
      <c r="A25" s="1994">
        <v>60146</v>
      </c>
      <c r="B25" s="1995"/>
      <c r="C25" s="1995"/>
      <c r="D25" s="1995"/>
      <c r="E25" s="1995"/>
      <c r="F25" s="1995"/>
      <c r="G25" s="1995"/>
      <c r="H25" s="1996"/>
      <c r="I25" s="113"/>
      <c r="J25" s="2061"/>
      <c r="K25" s="2061"/>
      <c r="L25" s="2061"/>
      <c r="M25" s="2061"/>
      <c r="N25" s="2061"/>
      <c r="O25" s="2061"/>
      <c r="P25" s="2061"/>
      <c r="Q25" s="2061"/>
      <c r="R25" s="2061"/>
      <c r="S25" s="2062"/>
      <c r="T25" s="1954" t="s">
        <v>2091</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2" t="s">
        <v>1591</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7" t="s">
        <v>2105</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50" t="s">
        <v>552</v>
      </c>
      <c r="B39" s="2051"/>
      <c r="C39" s="72"/>
      <c r="D39" s="69"/>
      <c r="E39" s="69"/>
      <c r="F39" s="79"/>
      <c r="G39" s="69"/>
      <c r="H39" s="56"/>
      <c r="I39" s="2050" t="s">
        <v>552</v>
      </c>
      <c r="J39" s="2051"/>
      <c r="K39" s="2051"/>
      <c r="L39" s="2051"/>
      <c r="M39" s="2051"/>
      <c r="N39" s="67"/>
      <c r="O39" s="72"/>
      <c r="P39" s="72"/>
      <c r="Q39" s="78"/>
      <c r="R39" s="72"/>
      <c r="S39" s="56"/>
      <c r="T39" s="72" t="s">
        <v>552</v>
      </c>
      <c r="U39" s="51"/>
      <c r="V39" s="72"/>
      <c r="W39" s="50"/>
      <c r="X39" s="78"/>
      <c r="Y39" s="45"/>
      <c r="Z39" s="45"/>
      <c r="AA39" s="46"/>
    </row>
    <row r="40" spans="1:27" ht="13.5" customHeight="1" x14ac:dyDescent="0.2">
      <c r="A40" s="2053" t="s">
        <v>2106</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3" t="s">
        <v>2107</v>
      </c>
      <c r="B42" s="2044"/>
      <c r="C42" s="2045"/>
      <c r="D42" s="2058" t="s">
        <v>2089</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2119</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t="s">
        <v>2129</v>
      </c>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2084</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t="s">
        <v>2140</v>
      </c>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5"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71814790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3.73E-2</v>
      </c>
      <c r="E10" s="356" t="s">
        <v>1062</v>
      </c>
      <c r="F10" s="355">
        <v>7.45E-3</v>
      </c>
      <c r="G10" s="356" t="s">
        <v>1062</v>
      </c>
      <c r="H10" s="355">
        <v>2E-3</v>
      </c>
      <c r="I10" s="356" t="s">
        <v>1063</v>
      </c>
      <c r="J10" s="1751">
        <f>ROUND(D10+F10+H10,5)</f>
        <v>4.675E-2</v>
      </c>
      <c r="K10" s="222"/>
      <c r="L10" s="355">
        <v>5.0000000000000001E-4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6011001</v>
      </c>
      <c r="E16" s="356"/>
      <c r="F16" s="1752">
        <f>SUM('Acct Summary 7-8'!C17,'Acct Summary 7-8'!D17,'Acct Summary 7-8'!F17)</f>
        <v>5227407</v>
      </c>
      <c r="G16" s="356"/>
      <c r="H16" s="1752">
        <f>SUM(D16-F16)</f>
        <v>783594</v>
      </c>
      <c r="I16" s="222"/>
      <c r="J16" s="1752">
        <f>SUM('Acct Summary 7-8'!C81,'Acct Summary 7-8'!D81,'Acct Summary 7-8'!F81,'Acct Summary 7-8'!I81)</f>
        <v>4620513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9910441.0200000014</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5620000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Hiawatha CUSD 426</v>
      </c>
      <c r="E7" s="391"/>
      <c r="G7" s="252"/>
      <c r="H7" s="387"/>
      <c r="I7" s="387"/>
      <c r="J7" s="387"/>
      <c r="K7" s="387"/>
      <c r="L7" s="329"/>
      <c r="M7" s="329"/>
      <c r="N7" s="329"/>
      <c r="O7" s="329"/>
      <c r="P7" s="329"/>
    </row>
    <row r="8" spans="1:18" ht="12.75" x14ac:dyDescent="0.2">
      <c r="A8" s="329"/>
      <c r="B8" s="329"/>
      <c r="C8" s="389" t="s">
        <v>1187</v>
      </c>
      <c r="D8" s="392">
        <f>COVER!A13</f>
        <v>16019426026</v>
      </c>
      <c r="E8" s="393"/>
      <c r="G8" s="329"/>
      <c r="H8" s="329"/>
      <c r="I8" s="329"/>
      <c r="J8" s="329"/>
      <c r="K8" s="329"/>
      <c r="L8" s="329"/>
      <c r="M8" s="329"/>
      <c r="N8" s="329"/>
      <c r="O8" s="329"/>
      <c r="P8" s="329"/>
    </row>
    <row r="9" spans="1:18" ht="12.75" x14ac:dyDescent="0.2">
      <c r="A9" s="329"/>
      <c r="B9" s="329"/>
      <c r="C9" s="389" t="s">
        <v>737</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4620513</v>
      </c>
      <c r="I12" s="404"/>
      <c r="J12" s="404"/>
      <c r="K12" s="405">
        <f>TRUNC((H12/H13*100000),5)/100000</f>
        <v>0.76867613229999998</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6011001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5227407</v>
      </c>
      <c r="I17" s="404"/>
      <c r="J17" s="416"/>
      <c r="K17" s="405">
        <f>TRUNC((H17/H18*100000),5)/100000</f>
        <v>0.86964001499999999</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6011001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4620513</v>
      </c>
      <c r="I24" s="422"/>
      <c r="J24" s="422"/>
      <c r="K24" s="423">
        <f>TRUNC(((H24/H25*100000)/100000),2)</f>
        <v>318.2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14520.575000000001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2853740.2176299999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5620000</v>
      </c>
      <c r="I32" s="420"/>
      <c r="J32" s="420"/>
      <c r="K32" s="423">
        <f>TRUNC(100-((((H32/H33*100))*100)/100),2)</f>
        <v>43.29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9910441.0200000014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79"/>
      <c r="D3" s="1580"/>
      <c r="E3" s="1580"/>
      <c r="F3" s="1580"/>
      <c r="G3" s="1580"/>
      <c r="H3" s="1580"/>
      <c r="I3" s="1580"/>
      <c r="J3" s="1580"/>
      <c r="K3" s="1580"/>
      <c r="L3" s="1580"/>
      <c r="M3" s="1581"/>
      <c r="N3" s="1582"/>
    </row>
    <row r="4" spans="1:14" ht="13.5" customHeight="1" x14ac:dyDescent="0.2">
      <c r="A4" s="463" t="s">
        <v>1750</v>
      </c>
      <c r="B4" s="464"/>
      <c r="C4" s="465">
        <v>889910</v>
      </c>
      <c r="D4" s="465">
        <v>194572</v>
      </c>
      <c r="E4" s="466">
        <v>6342</v>
      </c>
      <c r="F4" s="466">
        <v>181874</v>
      </c>
      <c r="G4" s="466">
        <v>54258</v>
      </c>
      <c r="H4" s="466">
        <v>53608</v>
      </c>
      <c r="I4" s="466">
        <v>2811</v>
      </c>
      <c r="J4" s="467">
        <v>111289</v>
      </c>
      <c r="K4" s="466">
        <v>27346</v>
      </c>
      <c r="L4" s="466">
        <v>102567</v>
      </c>
      <c r="M4" s="468"/>
      <c r="N4" s="469"/>
    </row>
    <row r="5" spans="1:14" x14ac:dyDescent="0.2">
      <c r="A5" s="463" t="s">
        <v>1049</v>
      </c>
      <c r="B5" s="470">
        <v>120</v>
      </c>
      <c r="C5" s="465">
        <v>2317046</v>
      </c>
      <c r="D5" s="466">
        <v>360000</v>
      </c>
      <c r="E5" s="466">
        <v>247400</v>
      </c>
      <c r="F5" s="466">
        <v>197800</v>
      </c>
      <c r="G5" s="466">
        <v>250000</v>
      </c>
      <c r="H5" s="466">
        <v>100000</v>
      </c>
      <c r="I5" s="466">
        <v>476500</v>
      </c>
      <c r="J5" s="467">
        <v>180000</v>
      </c>
      <c r="K5" s="471">
        <v>40000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3206956</v>
      </c>
      <c r="D13" s="1756">
        <f t="shared" ref="D13:L13" si="0">SUM(D4:D12)</f>
        <v>554572</v>
      </c>
      <c r="E13" s="1756">
        <f t="shared" si="0"/>
        <v>253742</v>
      </c>
      <c r="F13" s="1756">
        <f t="shared" si="0"/>
        <v>379674</v>
      </c>
      <c r="G13" s="1756">
        <f t="shared" si="0"/>
        <v>304258</v>
      </c>
      <c r="H13" s="1756">
        <f t="shared" si="0"/>
        <v>153608</v>
      </c>
      <c r="I13" s="1756">
        <f t="shared" si="0"/>
        <v>479311</v>
      </c>
      <c r="J13" s="1756">
        <f t="shared" si="0"/>
        <v>291289</v>
      </c>
      <c r="K13" s="1756">
        <f t="shared" si="0"/>
        <v>67346</v>
      </c>
      <c r="L13" s="1756">
        <f t="shared" si="0"/>
        <v>102567</v>
      </c>
      <c r="M13" s="468"/>
      <c r="N13" s="469"/>
    </row>
    <row r="14" spans="1:14" ht="18" customHeight="1" thickTop="1" x14ac:dyDescent="0.2">
      <c r="A14" s="2123" t="s">
        <v>149</v>
      </c>
      <c r="B14" s="2124"/>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347082</v>
      </c>
      <c r="N16" s="483"/>
    </row>
    <row r="17" spans="1:14" s="484" customFormat="1" ht="12.75" customHeight="1" x14ac:dyDescent="0.2">
      <c r="A17" s="481" t="s">
        <v>1470</v>
      </c>
      <c r="B17" s="482">
        <v>230</v>
      </c>
      <c r="C17" s="476"/>
      <c r="D17" s="476"/>
      <c r="E17" s="476"/>
      <c r="F17" s="476"/>
      <c r="G17" s="476"/>
      <c r="H17" s="476"/>
      <c r="I17" s="476"/>
      <c r="J17" s="476"/>
      <c r="K17" s="476"/>
      <c r="L17" s="476"/>
      <c r="M17" s="467">
        <v>12816952</v>
      </c>
      <c r="N17" s="483"/>
    </row>
    <row r="18" spans="1:14" s="484" customFormat="1" ht="12.75" customHeight="1" x14ac:dyDescent="0.2">
      <c r="A18" s="481" t="s">
        <v>1471</v>
      </c>
      <c r="B18" s="482">
        <v>240</v>
      </c>
      <c r="C18" s="476"/>
      <c r="D18" s="476"/>
      <c r="E18" s="476"/>
      <c r="F18" s="476"/>
      <c r="G18" s="476"/>
      <c r="H18" s="476"/>
      <c r="I18" s="476"/>
      <c r="J18" s="476"/>
      <c r="K18" s="476"/>
      <c r="L18" s="476"/>
      <c r="M18" s="467">
        <v>695829</v>
      </c>
      <c r="N18" s="483"/>
    </row>
    <row r="19" spans="1:14" s="484" customFormat="1" ht="12.75" customHeight="1" x14ac:dyDescent="0.2">
      <c r="A19" s="481" t="s">
        <v>1472</v>
      </c>
      <c r="B19" s="482">
        <v>250</v>
      </c>
      <c r="C19" s="476"/>
      <c r="D19" s="476"/>
      <c r="E19" s="476"/>
      <c r="F19" s="476"/>
      <c r="G19" s="476"/>
      <c r="H19" s="476"/>
      <c r="I19" s="476"/>
      <c r="J19" s="476"/>
      <c r="K19" s="476"/>
      <c r="L19" s="476"/>
      <c r="M19" s="467">
        <v>1369714</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253742</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5366258</v>
      </c>
    </row>
    <row r="23" spans="1:14" ht="13.5" customHeight="1" thickBot="1" x14ac:dyDescent="0.25">
      <c r="A23" s="1755" t="s">
        <v>664</v>
      </c>
      <c r="B23" s="1760"/>
      <c r="C23" s="468"/>
      <c r="D23" s="468"/>
      <c r="E23" s="468"/>
      <c r="F23" s="468"/>
      <c r="G23" s="468"/>
      <c r="H23" s="468"/>
      <c r="I23" s="468"/>
      <c r="J23" s="468"/>
      <c r="K23" s="468"/>
      <c r="L23" s="468"/>
      <c r="M23" s="1707">
        <f>SUM(M15:M22)</f>
        <v>15229577</v>
      </c>
      <c r="N23" s="1707">
        <f>SUM(N21:N22)</f>
        <v>5620000</v>
      </c>
    </row>
    <row r="24" spans="1:14" ht="18" customHeight="1" thickTop="1" x14ac:dyDescent="0.2">
      <c r="A24" s="2125" t="s">
        <v>619</v>
      </c>
      <c r="B24" s="2126"/>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102567</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102567</v>
      </c>
      <c r="M34" s="468"/>
      <c r="N34" s="479"/>
    </row>
    <row r="35" spans="1:14" ht="18" customHeight="1" thickTop="1" x14ac:dyDescent="0.2">
      <c r="A35" s="2127" t="s">
        <v>550</v>
      </c>
      <c r="B35" s="2128"/>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5620000</v>
      </c>
    </row>
    <row r="37" spans="1:14" ht="13.5" thickBot="1" x14ac:dyDescent="0.25">
      <c r="A37" s="1755" t="s">
        <v>674</v>
      </c>
      <c r="B37" s="1760"/>
      <c r="C37" s="476"/>
      <c r="D37" s="476"/>
      <c r="E37" s="476"/>
      <c r="F37" s="476"/>
      <c r="G37" s="476"/>
      <c r="H37" s="476"/>
      <c r="I37" s="476"/>
      <c r="J37" s="476"/>
      <c r="K37" s="476"/>
      <c r="L37" s="479"/>
      <c r="M37" s="468"/>
      <c r="N37" s="1707">
        <f>SUM(N36:N36)</f>
        <v>5620000</v>
      </c>
    </row>
    <row r="38" spans="1:14" s="329" customFormat="1" ht="13.5" customHeight="1" thickTop="1" x14ac:dyDescent="0.2">
      <c r="A38" s="494" t="s">
        <v>440</v>
      </c>
      <c r="B38" s="482">
        <v>714</v>
      </c>
      <c r="C38" s="465">
        <v>57771</v>
      </c>
      <c r="D38" s="465">
        <v>0</v>
      </c>
      <c r="E38" s="465">
        <v>0</v>
      </c>
      <c r="F38" s="465">
        <v>0</v>
      </c>
      <c r="G38" s="465">
        <v>161155</v>
      </c>
      <c r="H38" s="465">
        <v>3610</v>
      </c>
      <c r="I38" s="465">
        <v>0</v>
      </c>
      <c r="J38" s="465">
        <v>0</v>
      </c>
      <c r="K38" s="465">
        <v>0</v>
      </c>
      <c r="L38" s="465">
        <v>0</v>
      </c>
      <c r="M38" s="495"/>
      <c r="N38" s="495"/>
    </row>
    <row r="39" spans="1:14" s="329" customFormat="1" ht="13.5" customHeight="1" x14ac:dyDescent="0.2">
      <c r="A39" s="494" t="s">
        <v>360</v>
      </c>
      <c r="B39" s="482">
        <v>730</v>
      </c>
      <c r="C39" s="465">
        <v>3149185</v>
      </c>
      <c r="D39" s="465">
        <v>554572</v>
      </c>
      <c r="E39" s="465">
        <v>253742</v>
      </c>
      <c r="F39" s="465">
        <v>379674</v>
      </c>
      <c r="G39" s="465">
        <v>143103</v>
      </c>
      <c r="H39" s="465">
        <v>149998</v>
      </c>
      <c r="I39" s="465">
        <v>479311</v>
      </c>
      <c r="J39" s="465">
        <v>291289</v>
      </c>
      <c r="K39" s="465">
        <v>67346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15229577</v>
      </c>
      <c r="N40" s="495"/>
    </row>
    <row r="41" spans="1:14" ht="13.5" customHeight="1" thickBot="1" x14ac:dyDescent="0.25">
      <c r="A41" s="1755" t="s">
        <v>676</v>
      </c>
      <c r="B41" s="1725"/>
      <c r="C41" s="1707">
        <f>(SUM(C34,C37,C38,C39))</f>
        <v>3206956</v>
      </c>
      <c r="D41" s="1707">
        <f t="shared" ref="D41:L41" si="2">SUM(D34,D37,D38:D39)</f>
        <v>554572</v>
      </c>
      <c r="E41" s="1707">
        <f t="shared" si="2"/>
        <v>253742</v>
      </c>
      <c r="F41" s="1707">
        <f t="shared" si="2"/>
        <v>379674</v>
      </c>
      <c r="G41" s="1707">
        <f t="shared" si="2"/>
        <v>304258</v>
      </c>
      <c r="H41" s="1707">
        <f t="shared" si="2"/>
        <v>153608</v>
      </c>
      <c r="I41" s="1707">
        <f t="shared" si="2"/>
        <v>479311</v>
      </c>
      <c r="J41" s="1707">
        <f t="shared" si="2"/>
        <v>291289</v>
      </c>
      <c r="K41" s="1707">
        <f t="shared" si="2"/>
        <v>67346</v>
      </c>
      <c r="L41" s="1707">
        <f t="shared" si="2"/>
        <v>102567</v>
      </c>
      <c r="M41" s="1707">
        <f>SUM(M40)</f>
        <v>15229577</v>
      </c>
      <c r="N41" s="1707">
        <f>SUM(N37)</f>
        <v>5620000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S35" sqref="S35"/>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7"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49" t="s">
        <v>1237</v>
      </c>
      <c r="B3" s="2150"/>
      <c r="C3" s="1593"/>
      <c r="D3" s="1594"/>
      <c r="E3" s="1594"/>
      <c r="F3" s="1594"/>
      <c r="G3" s="1594"/>
      <c r="H3" s="1594"/>
      <c r="I3" s="1594"/>
      <c r="J3" s="1594"/>
      <c r="K3" s="1595"/>
      <c r="L3" s="504"/>
    </row>
    <row r="4" spans="1:13" ht="15.75" customHeight="1" x14ac:dyDescent="0.2">
      <c r="A4" s="1951" t="s">
        <v>1579</v>
      </c>
      <c r="B4" s="1952">
        <v>1000</v>
      </c>
      <c r="C4" s="1761">
        <f>'Revenues 9-14'!C109</f>
        <v>2942275</v>
      </c>
      <c r="D4" s="1761">
        <f>'Revenues 9-14'!D109</f>
        <v>525692</v>
      </c>
      <c r="E4" s="1761">
        <f>'Revenues 9-14'!E109</f>
        <v>646892</v>
      </c>
      <c r="F4" s="1761">
        <f>'Revenues 9-14'!F109</f>
        <v>148850</v>
      </c>
      <c r="G4" s="1761">
        <f>'Revenues 9-14'!G109</f>
        <v>199918</v>
      </c>
      <c r="H4" s="1761">
        <f>'Revenues 9-14'!H109</f>
        <v>3976</v>
      </c>
      <c r="I4" s="1761">
        <f>'Revenues 9-14'!I109</f>
        <v>38462</v>
      </c>
      <c r="J4" s="1761">
        <f>'Revenues 9-14'!J109</f>
        <v>219693</v>
      </c>
      <c r="K4" s="1761">
        <f>'Revenues 9-14'!K109</f>
        <v>35669</v>
      </c>
      <c r="L4" s="347"/>
    </row>
    <row r="5" spans="1:13" ht="15.75" customHeight="1" x14ac:dyDescent="0.2">
      <c r="A5" s="1596" t="s">
        <v>1580</v>
      </c>
      <c r="B5" s="1597">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6" t="s">
        <v>1581</v>
      </c>
      <c r="B6" s="1598">
        <v>3000</v>
      </c>
      <c r="C6" s="1762">
        <f>'Revenues 9-14'!C173</f>
        <v>1615988</v>
      </c>
      <c r="D6" s="1762">
        <f>'Revenues 9-14'!D173</f>
        <v>78000</v>
      </c>
      <c r="E6" s="1762">
        <f>'Revenues 9-14'!E173</f>
        <v>0</v>
      </c>
      <c r="F6" s="1762">
        <f>'Revenues 9-14'!F173</f>
        <v>273963</v>
      </c>
      <c r="G6" s="1762">
        <f>'Revenues 9-14'!G173</f>
        <v>9183</v>
      </c>
      <c r="H6" s="1762">
        <f>'Revenues 9-14'!H173</f>
        <v>150000</v>
      </c>
      <c r="I6" s="1762">
        <f>'Revenues 9-14'!I173</f>
        <v>0</v>
      </c>
      <c r="J6" s="1762">
        <f>'Revenues 9-14'!J173</f>
        <v>0</v>
      </c>
      <c r="K6" s="1762">
        <f>'Revenues 9-14'!K173</f>
        <v>0</v>
      </c>
      <c r="L6" s="347"/>
      <c r="M6" s="511"/>
    </row>
    <row r="7" spans="1:13" ht="15.75" customHeight="1" x14ac:dyDescent="0.2">
      <c r="A7" s="1596" t="s">
        <v>1582</v>
      </c>
      <c r="B7" s="1598">
        <v>4000</v>
      </c>
      <c r="C7" s="1762">
        <f>'Revenues 9-14'!C274</f>
        <v>386776</v>
      </c>
      <c r="D7" s="1762">
        <f>'Revenues 9-14'!D274</f>
        <v>0</v>
      </c>
      <c r="E7" s="1762">
        <f>'Revenues 9-14'!E274</f>
        <v>0</v>
      </c>
      <c r="F7" s="1762">
        <f>'Revenues 9-14'!F274</f>
        <v>995</v>
      </c>
      <c r="G7" s="1762">
        <f>'Revenues 9-14'!G274</f>
        <v>11485</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4945039</v>
      </c>
      <c r="D8" s="1707">
        <f t="shared" ref="D8:K8" si="0">SUM(D4:D7)</f>
        <v>603692</v>
      </c>
      <c r="E8" s="1707">
        <f t="shared" si="0"/>
        <v>646892</v>
      </c>
      <c r="F8" s="1707">
        <f t="shared" si="0"/>
        <v>423808</v>
      </c>
      <c r="G8" s="1707">
        <f t="shared" si="0"/>
        <v>220586</v>
      </c>
      <c r="H8" s="1707">
        <f t="shared" si="0"/>
        <v>153976</v>
      </c>
      <c r="I8" s="1707">
        <f t="shared" si="0"/>
        <v>38462</v>
      </c>
      <c r="J8" s="1707">
        <f t="shared" si="0"/>
        <v>219693</v>
      </c>
      <c r="K8" s="1707">
        <f t="shared" si="0"/>
        <v>35669</v>
      </c>
      <c r="L8" s="347"/>
    </row>
    <row r="9" spans="1:13" ht="15.75" thickTop="1" x14ac:dyDescent="0.2">
      <c r="A9" s="512" t="s">
        <v>1752</v>
      </c>
      <c r="B9" s="513">
        <v>3998</v>
      </c>
      <c r="C9" s="465">
        <v>1813599</v>
      </c>
      <c r="D9" s="514"/>
      <c r="E9" s="480"/>
      <c r="F9" s="480"/>
      <c r="G9" s="515"/>
      <c r="H9" s="480"/>
      <c r="I9" s="507" t="s">
        <v>1231</v>
      </c>
      <c r="J9" s="477"/>
      <c r="K9" s="480"/>
      <c r="L9" s="347"/>
    </row>
    <row r="10" spans="1:13" s="517" customFormat="1" ht="13.5" thickBot="1" x14ac:dyDescent="0.25">
      <c r="A10" s="1755" t="s">
        <v>1235</v>
      </c>
      <c r="B10" s="1728"/>
      <c r="C10" s="1707">
        <f>SUM(C8:C9)</f>
        <v>6758638</v>
      </c>
      <c r="D10" s="1707">
        <f t="shared" ref="D10:K10" si="1">SUM(D8:D9)</f>
        <v>603692</v>
      </c>
      <c r="E10" s="1707">
        <f t="shared" si="1"/>
        <v>646892</v>
      </c>
      <c r="F10" s="1707">
        <f t="shared" si="1"/>
        <v>423808</v>
      </c>
      <c r="G10" s="1707">
        <f t="shared" si="1"/>
        <v>220586</v>
      </c>
      <c r="H10" s="1707">
        <f t="shared" si="1"/>
        <v>153976</v>
      </c>
      <c r="I10" s="1707">
        <f t="shared" si="1"/>
        <v>38462</v>
      </c>
      <c r="J10" s="1707">
        <f t="shared" si="1"/>
        <v>219693</v>
      </c>
      <c r="K10" s="1707">
        <f t="shared" si="1"/>
        <v>35669</v>
      </c>
      <c r="L10" s="516"/>
    </row>
    <row r="11" spans="1:13" s="517" customFormat="1" ht="16.7" customHeight="1" thickTop="1" x14ac:dyDescent="0.2">
      <c r="A11" s="2123" t="s">
        <v>1238</v>
      </c>
      <c r="B11" s="2124"/>
      <c r="C11" s="1590"/>
      <c r="D11" s="1591"/>
      <c r="E11" s="1591"/>
      <c r="F11" s="1591"/>
      <c r="G11" s="1591"/>
      <c r="H11" s="1591"/>
      <c r="I11" s="1591"/>
      <c r="J11" s="1591"/>
      <c r="K11" s="1592"/>
      <c r="L11" s="516"/>
    </row>
    <row r="12" spans="1:13" ht="15.75" customHeight="1" x14ac:dyDescent="0.2">
      <c r="A12" s="1596" t="s">
        <v>476</v>
      </c>
      <c r="B12" s="1598">
        <v>1000</v>
      </c>
      <c r="C12" s="1761">
        <f>'Expenditures 15-22'!K33</f>
        <v>2760153</v>
      </c>
      <c r="D12" s="518" t="s">
        <v>1231</v>
      </c>
      <c r="E12" s="468" t="s">
        <v>1231</v>
      </c>
      <c r="F12" s="468" t="s">
        <v>1231</v>
      </c>
      <c r="G12" s="1761">
        <f>'Expenditures 15-22'!K229</f>
        <v>57011</v>
      </c>
      <c r="H12" s="519"/>
      <c r="I12" s="468" t="s">
        <v>1231</v>
      </c>
      <c r="J12" s="468" t="s">
        <v>1231</v>
      </c>
      <c r="K12" s="519" t="s">
        <v>1231</v>
      </c>
      <c r="L12" s="347"/>
    </row>
    <row r="13" spans="1:13" ht="15.75" customHeight="1" x14ac:dyDescent="0.2">
      <c r="A13" s="1596" t="s">
        <v>477</v>
      </c>
      <c r="B13" s="1598">
        <v>2000</v>
      </c>
      <c r="C13" s="1762">
        <f>'Expenditures 15-22'!K74</f>
        <v>1536565</v>
      </c>
      <c r="D13" s="1762">
        <f>'Expenditures 15-22'!K129</f>
        <v>475760</v>
      </c>
      <c r="E13" s="469" t="s">
        <v>1231</v>
      </c>
      <c r="F13" s="1762">
        <f>'Expenditures 15-22'!K184</f>
        <v>312343</v>
      </c>
      <c r="G13" s="1762">
        <f>'Expenditures 15-22'!K279</f>
        <v>139679</v>
      </c>
      <c r="H13" s="1762">
        <f>'Expenditures 15-22'!K303</f>
        <v>7875</v>
      </c>
      <c r="I13" s="468" t="s">
        <v>1231</v>
      </c>
      <c r="J13" s="1762">
        <f>'Expenditures 15-22'!K330</f>
        <v>152535</v>
      </c>
      <c r="K13" s="1766">
        <f>'Expenditures 15-22'!K352</f>
        <v>23092</v>
      </c>
      <c r="L13" s="347"/>
    </row>
    <row r="14" spans="1:13" ht="15.75" customHeight="1" x14ac:dyDescent="0.2">
      <c r="A14" s="1596" t="s">
        <v>469</v>
      </c>
      <c r="B14" s="1598">
        <v>3000</v>
      </c>
      <c r="C14" s="1762">
        <f>'Expenditures 15-22'!K75</f>
        <v>1163</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6" t="s">
        <v>109</v>
      </c>
      <c r="B15" s="1598">
        <v>4000</v>
      </c>
      <c r="C15" s="1762">
        <f>'Expenditures 15-22'!K102</f>
        <v>141423</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6" t="s">
        <v>470</v>
      </c>
      <c r="B16" s="1598">
        <v>5000</v>
      </c>
      <c r="C16" s="1762">
        <f>'Expenditures 15-22'!K112</f>
        <v>0</v>
      </c>
      <c r="D16" s="1762">
        <f>'Expenditures 15-22'!K149</f>
        <v>0</v>
      </c>
      <c r="E16" s="1762">
        <f>'Expenditures 15-22'!K172</f>
        <v>631403</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4439304</v>
      </c>
      <c r="D17" s="1707">
        <f t="shared" si="2"/>
        <v>475760</v>
      </c>
      <c r="E17" s="1707">
        <f t="shared" si="2"/>
        <v>631403</v>
      </c>
      <c r="F17" s="1707">
        <f t="shared" si="2"/>
        <v>312343</v>
      </c>
      <c r="G17" s="1707">
        <f t="shared" si="2"/>
        <v>196690</v>
      </c>
      <c r="H17" s="1707">
        <f t="shared" si="2"/>
        <v>7875</v>
      </c>
      <c r="I17" s="468"/>
      <c r="J17" s="1707">
        <f>SUM(J12:J16)</f>
        <v>152535</v>
      </c>
      <c r="K17" s="1707">
        <f>SUM(K12:K16)</f>
        <v>23092</v>
      </c>
      <c r="L17" s="347"/>
    </row>
    <row r="18" spans="1:12" ht="15" customHeight="1" thickTop="1" x14ac:dyDescent="0.2">
      <c r="A18" s="1763" t="s">
        <v>1753</v>
      </c>
      <c r="B18" s="1764">
        <v>4180</v>
      </c>
      <c r="C18" s="1761">
        <f t="shared" ref="C18:H18" si="3">C9</f>
        <v>1813599</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6252903</v>
      </c>
      <c r="D19" s="1707">
        <f t="shared" si="4"/>
        <v>475760</v>
      </c>
      <c r="E19" s="1707">
        <f t="shared" si="4"/>
        <v>631403</v>
      </c>
      <c r="F19" s="1707">
        <f t="shared" si="4"/>
        <v>312343</v>
      </c>
      <c r="G19" s="1707">
        <f t="shared" si="4"/>
        <v>196690</v>
      </c>
      <c r="H19" s="1707">
        <f t="shared" si="4"/>
        <v>7875</v>
      </c>
      <c r="I19" s="468"/>
      <c r="J19" s="1707">
        <f>SUM(J17:J18)</f>
        <v>152535</v>
      </c>
      <c r="K19" s="1707">
        <f>SUM(K17:K18)</f>
        <v>23092</v>
      </c>
      <c r="L19" s="347"/>
    </row>
    <row r="20" spans="1:12" ht="16.5" thickTop="1" thickBot="1" x14ac:dyDescent="0.25">
      <c r="A20" s="2139" t="s">
        <v>1754</v>
      </c>
      <c r="B20" s="2140"/>
      <c r="C20" s="1765">
        <f>C8-C17</f>
        <v>505735</v>
      </c>
      <c r="D20" s="1765">
        <f t="shared" ref="D20:K20" si="5">D8-D17</f>
        <v>127932</v>
      </c>
      <c r="E20" s="1765">
        <f t="shared" si="5"/>
        <v>15489</v>
      </c>
      <c r="F20" s="1765">
        <f t="shared" si="5"/>
        <v>111465</v>
      </c>
      <c r="G20" s="1765">
        <f t="shared" si="5"/>
        <v>23896</v>
      </c>
      <c r="H20" s="1765">
        <f t="shared" si="5"/>
        <v>146101</v>
      </c>
      <c r="I20" s="1765">
        <f t="shared" si="5"/>
        <v>38462</v>
      </c>
      <c r="J20" s="1765">
        <f t="shared" si="5"/>
        <v>67158</v>
      </c>
      <c r="K20" s="1765">
        <f t="shared" si="5"/>
        <v>12577</v>
      </c>
      <c r="L20" s="347"/>
    </row>
    <row r="21" spans="1:12" ht="16.7" customHeight="1" thickTop="1" x14ac:dyDescent="0.2">
      <c r="A21" s="2151" t="s">
        <v>616</v>
      </c>
      <c r="B21" s="2152"/>
      <c r="C21" s="1590"/>
      <c r="D21" s="1591"/>
      <c r="E21" s="1591"/>
      <c r="F21" s="1591"/>
      <c r="G21" s="1591"/>
      <c r="H21" s="1591"/>
      <c r="I21" s="1591"/>
      <c r="J21" s="1591"/>
      <c r="K21" s="1592"/>
      <c r="L21" s="522"/>
    </row>
    <row r="22" spans="1:12" ht="15.75" customHeight="1" collapsed="1" x14ac:dyDescent="0.2">
      <c r="A22" s="2147" t="s">
        <v>617</v>
      </c>
      <c r="B22" s="2148"/>
      <c r="C22" s="476"/>
      <c r="D22" s="476"/>
      <c r="E22" s="476"/>
      <c r="F22" s="476"/>
      <c r="G22" s="476"/>
      <c r="H22" s="476"/>
      <c r="I22" s="476"/>
      <c r="J22" s="476"/>
      <c r="K22" s="476"/>
      <c r="L22" s="347"/>
    </row>
    <row r="23" spans="1:12" s="484" customFormat="1" ht="15.75" customHeight="1" x14ac:dyDescent="0.2">
      <c r="A23" s="2143" t="s">
        <v>311</v>
      </c>
      <c r="B23" s="2144"/>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5" t="s">
        <v>1038</v>
      </c>
      <c r="B32" s="2146"/>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2">
        <f>SUM(C54:D57,H54:H57)</f>
        <v>0</v>
      </c>
      <c r="F37" s="475"/>
      <c r="G37" s="475"/>
      <c r="H37" s="475"/>
      <c r="I37" s="476"/>
      <c r="J37" s="475"/>
      <c r="K37" s="475"/>
      <c r="L37" s="522"/>
    </row>
    <row r="38" spans="1:12" s="484" customFormat="1" x14ac:dyDescent="0.2">
      <c r="A38" s="1509" t="s">
        <v>462</v>
      </c>
      <c r="B38" s="523">
        <v>7500</v>
      </c>
      <c r="C38" s="476"/>
      <c r="D38" s="476"/>
      <c r="E38" s="1762">
        <f>SUM(C58:D61,H58:H61)</f>
        <v>0</v>
      </c>
      <c r="F38" s="476"/>
      <c r="G38" s="476"/>
      <c r="H38" s="476"/>
      <c r="I38" s="476"/>
      <c r="J38" s="476"/>
      <c r="K38" s="476"/>
      <c r="L38" s="522"/>
    </row>
    <row r="39" spans="1:12" s="484" customFormat="1" x14ac:dyDescent="0.2">
      <c r="A39" s="1509" t="s">
        <v>463</v>
      </c>
      <c r="B39" s="523">
        <v>7600</v>
      </c>
      <c r="C39" s="476"/>
      <c r="D39" s="476"/>
      <c r="E39" s="1762">
        <f>SUM(C62:D65)</f>
        <v>0</v>
      </c>
      <c r="F39" s="476"/>
      <c r="G39" s="476"/>
      <c r="H39" s="476"/>
      <c r="I39" s="476"/>
      <c r="J39" s="476"/>
      <c r="K39" s="476"/>
      <c r="L39" s="522"/>
    </row>
    <row r="40" spans="1:12" s="484" customFormat="1" ht="13.5" customHeight="1" x14ac:dyDescent="0.2">
      <c r="A40" s="1509" t="s">
        <v>663</v>
      </c>
      <c r="B40" s="482">
        <v>7700</v>
      </c>
      <c r="C40" s="476"/>
      <c r="D40" s="476"/>
      <c r="E40" s="1762">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2">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3" t="s">
        <v>392</v>
      </c>
      <c r="B44" s="2154"/>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2"/>
    </row>
    <row r="45" spans="1:12" ht="15.75" customHeight="1" thickTop="1" x14ac:dyDescent="0.2">
      <c r="A45" s="2147" t="s">
        <v>110</v>
      </c>
      <c r="B45" s="2148"/>
      <c r="C45" s="526"/>
      <c r="D45" s="526"/>
      <c r="E45" s="526"/>
      <c r="F45" s="526"/>
      <c r="G45" s="526"/>
      <c r="H45" s="526"/>
      <c r="I45" s="526"/>
      <c r="J45" s="526"/>
      <c r="K45" s="526"/>
      <c r="L45" s="347"/>
    </row>
    <row r="46" spans="1:12" s="484" customFormat="1" ht="15.75" customHeight="1" x14ac:dyDescent="0.2">
      <c r="A46" s="2155" t="s">
        <v>111</v>
      </c>
      <c r="B46" s="2156"/>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2">
        <f>SUM(C24,C25:H25,J25:K25)</f>
        <v>0</v>
      </c>
      <c r="J47" s="476"/>
      <c r="K47" s="476"/>
      <c r="L47" s="527"/>
    </row>
    <row r="48" spans="1:12" s="484" customFormat="1" ht="15" x14ac:dyDescent="0.2">
      <c r="A48" s="1510" t="s">
        <v>1759</v>
      </c>
      <c r="B48" s="482">
        <v>8120</v>
      </c>
      <c r="C48" s="479"/>
      <c r="D48" s="479"/>
      <c r="E48" s="476"/>
      <c r="F48" s="479"/>
      <c r="G48" s="476"/>
      <c r="H48" s="476"/>
      <c r="I48" s="1762">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2">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2">
        <f>D30</f>
        <v>0</v>
      </c>
      <c r="L52" s="522"/>
    </row>
    <row r="53" spans="1:12" s="484" customFormat="1" ht="26.25" x14ac:dyDescent="0.2">
      <c r="A53" s="1510" t="s">
        <v>1899</v>
      </c>
      <c r="B53" s="482">
        <v>8170</v>
      </c>
      <c r="C53" s="479"/>
      <c r="D53" s="479"/>
      <c r="E53" s="476"/>
      <c r="F53" s="476"/>
      <c r="G53" s="476"/>
      <c r="H53" s="479"/>
      <c r="I53" s="476"/>
      <c r="J53" s="476"/>
      <c r="K53" s="1762">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29" t="s">
        <v>460</v>
      </c>
      <c r="B76" s="2130"/>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131" t="s">
        <v>1239</v>
      </c>
      <c r="B77" s="2132"/>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35" t="s">
        <v>618</v>
      </c>
      <c r="B78" s="2136"/>
      <c r="C78" s="1721">
        <f t="shared" ref="C78:K78" si="9">C20+C77</f>
        <v>505735</v>
      </c>
      <c r="D78" s="1721">
        <f t="shared" si="9"/>
        <v>127932</v>
      </c>
      <c r="E78" s="1721">
        <f t="shared" si="9"/>
        <v>15489</v>
      </c>
      <c r="F78" s="1721">
        <f t="shared" si="9"/>
        <v>111465</v>
      </c>
      <c r="G78" s="1721">
        <f t="shared" si="9"/>
        <v>23896</v>
      </c>
      <c r="H78" s="1721">
        <f t="shared" si="9"/>
        <v>146101</v>
      </c>
      <c r="I78" s="1721">
        <f t="shared" si="9"/>
        <v>38462</v>
      </c>
      <c r="J78" s="1721">
        <f t="shared" si="9"/>
        <v>67158</v>
      </c>
      <c r="K78" s="1721">
        <f t="shared" si="9"/>
        <v>12577</v>
      </c>
      <c r="L78" s="531"/>
    </row>
    <row r="79" spans="1:12" ht="13.5" thickTop="1" x14ac:dyDescent="0.2">
      <c r="A79" s="1514" t="s">
        <v>2073</v>
      </c>
      <c r="B79" s="532"/>
      <c r="C79" s="467">
        <v>2701221</v>
      </c>
      <c r="D79" s="467">
        <v>426640</v>
      </c>
      <c r="E79" s="467">
        <v>238253</v>
      </c>
      <c r="F79" s="467">
        <v>268209</v>
      </c>
      <c r="G79" s="467">
        <v>280362</v>
      </c>
      <c r="H79" s="467">
        <v>7507</v>
      </c>
      <c r="I79" s="467">
        <v>440849</v>
      </c>
      <c r="J79" s="467">
        <v>224131</v>
      </c>
      <c r="K79" s="467">
        <v>54769</v>
      </c>
      <c r="L79" s="347"/>
    </row>
    <row r="80" spans="1:12" x14ac:dyDescent="0.2">
      <c r="A80" s="2141" t="s">
        <v>1898</v>
      </c>
      <c r="B80" s="2142"/>
      <c r="C80" s="467">
        <v>0</v>
      </c>
      <c r="D80" s="467">
        <v>0</v>
      </c>
      <c r="E80" s="467">
        <v>0</v>
      </c>
      <c r="F80" s="467">
        <v>0</v>
      </c>
      <c r="G80" s="467">
        <v>0</v>
      </c>
      <c r="H80" s="467">
        <v>0</v>
      </c>
      <c r="I80" s="467">
        <v>0</v>
      </c>
      <c r="J80" s="467">
        <v>0</v>
      </c>
      <c r="K80" s="467">
        <v>0</v>
      </c>
      <c r="L80" s="347"/>
    </row>
    <row r="81" spans="1:12" ht="13.5" thickBot="1" x14ac:dyDescent="0.25">
      <c r="A81" s="2133" t="s">
        <v>2074</v>
      </c>
      <c r="B81" s="2134"/>
      <c r="C81" s="1707">
        <f>(SUM(C78:C80))</f>
        <v>3206956</v>
      </c>
      <c r="D81" s="1707">
        <f>SUM(D78:D80)</f>
        <v>554572</v>
      </c>
      <c r="E81" s="1707">
        <f t="shared" ref="E81:K81" si="10">SUM(E78:E80)</f>
        <v>253742</v>
      </c>
      <c r="F81" s="1707">
        <f t="shared" si="10"/>
        <v>379674</v>
      </c>
      <c r="G81" s="1707">
        <f t="shared" si="10"/>
        <v>304258</v>
      </c>
      <c r="H81" s="1707">
        <f t="shared" si="10"/>
        <v>153608</v>
      </c>
      <c r="I81" s="1707">
        <f t="shared" si="10"/>
        <v>479311</v>
      </c>
      <c r="J81" s="1707">
        <f t="shared" si="10"/>
        <v>291289</v>
      </c>
      <c r="K81" s="1707">
        <f t="shared" si="10"/>
        <v>67346</v>
      </c>
      <c r="L81" s="347"/>
    </row>
    <row r="82" spans="1:12" ht="0.75" customHeight="1" thickTop="1" thickBot="1" x14ac:dyDescent="0.25">
      <c r="A82" s="534" t="s">
        <v>361</v>
      </c>
      <c r="B82" s="535"/>
      <c r="C82" s="536">
        <f>(C81-C79)</f>
        <v>505735</v>
      </c>
      <c r="D82" s="536">
        <f t="shared" ref="D82:K82" si="11">(D81-D79)</f>
        <v>127932</v>
      </c>
      <c r="E82" s="536">
        <f t="shared" si="11"/>
        <v>15489</v>
      </c>
      <c r="F82" s="536">
        <f t="shared" si="11"/>
        <v>111465</v>
      </c>
      <c r="G82" s="536">
        <f t="shared" si="11"/>
        <v>23896</v>
      </c>
      <c r="H82" s="536">
        <f t="shared" si="11"/>
        <v>146101</v>
      </c>
      <c r="I82" s="536">
        <f t="shared" si="11"/>
        <v>38462</v>
      </c>
      <c r="J82" s="536">
        <f t="shared" si="11"/>
        <v>67158</v>
      </c>
      <c r="K82" s="536">
        <f t="shared" si="11"/>
        <v>12577</v>
      </c>
    </row>
    <row r="83" spans="1:12" ht="14.25" hidden="1" thickTop="1" thickBot="1" x14ac:dyDescent="0.25">
      <c r="A83" s="537" t="s">
        <v>362</v>
      </c>
      <c r="B83" s="464"/>
      <c r="C83" s="538">
        <f>C82/C81</f>
        <v>0.15769938845434736</v>
      </c>
      <c r="D83" s="538">
        <f t="shared" ref="D83:K83" si="12">D82/D81</f>
        <v>0.23068600650591808</v>
      </c>
      <c r="E83" s="538">
        <f t="shared" si="12"/>
        <v>6.1042318575561E-2</v>
      </c>
      <c r="F83" s="538">
        <f t="shared" si="12"/>
        <v>0.29358080879912768</v>
      </c>
      <c r="G83" s="538">
        <f t="shared" si="12"/>
        <v>7.8538608680790642E-2</v>
      </c>
      <c r="H83" s="538">
        <f t="shared" si="12"/>
        <v>0.95112884745586168</v>
      </c>
      <c r="I83" s="538">
        <f t="shared" si="12"/>
        <v>8.0244350745132073E-2</v>
      </c>
      <c r="J83" s="538">
        <f t="shared" si="12"/>
        <v>0.2305545351867046</v>
      </c>
      <c r="K83" s="538">
        <f t="shared" si="12"/>
        <v>0.18675199714905116</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S35" sqref="S35"/>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2606098</v>
      </c>
      <c r="D5" s="480">
        <v>520521</v>
      </c>
      <c r="E5" s="480">
        <v>643976</v>
      </c>
      <c r="F5" s="546">
        <v>139737</v>
      </c>
      <c r="G5" s="466">
        <v>86697</v>
      </c>
      <c r="H5" s="466">
        <v>0</v>
      </c>
      <c r="I5" s="466">
        <v>34935</v>
      </c>
      <c r="J5" s="466">
        <v>217231</v>
      </c>
      <c r="K5" s="466">
        <v>34932</v>
      </c>
    </row>
    <row r="6" spans="1:12" ht="15" x14ac:dyDescent="0.2">
      <c r="A6" s="463" t="s">
        <v>1761</v>
      </c>
      <c r="B6" s="470">
        <v>1130</v>
      </c>
      <c r="C6" s="466">
        <v>34936</v>
      </c>
      <c r="D6" s="466">
        <v>0</v>
      </c>
      <c r="E6" s="475"/>
      <c r="F6" s="475"/>
      <c r="G6" s="468"/>
      <c r="H6" s="468"/>
      <c r="I6" s="468"/>
      <c r="J6" s="468"/>
      <c r="K6" s="468"/>
    </row>
    <row r="7" spans="1:12" x14ac:dyDescent="0.2">
      <c r="A7" s="463" t="s">
        <v>112</v>
      </c>
      <c r="B7" s="547">
        <v>1140</v>
      </c>
      <c r="C7" s="466">
        <v>27947</v>
      </c>
      <c r="D7" s="466">
        <v>0</v>
      </c>
      <c r="E7" s="468"/>
      <c r="F7" s="467">
        <v>0</v>
      </c>
      <c r="G7" s="467">
        <v>0</v>
      </c>
      <c r="H7" s="467">
        <v>0</v>
      </c>
      <c r="I7" s="468"/>
      <c r="J7" s="468"/>
      <c r="K7" s="468"/>
    </row>
    <row r="8" spans="1:12" x14ac:dyDescent="0.2">
      <c r="A8" s="463" t="s">
        <v>433</v>
      </c>
      <c r="B8" s="470">
        <v>1150</v>
      </c>
      <c r="C8" s="475"/>
      <c r="D8" s="475"/>
      <c r="E8" s="476"/>
      <c r="F8" s="476"/>
      <c r="G8" s="480">
        <v>102201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2668981</v>
      </c>
      <c r="D12" s="1726">
        <f t="shared" si="0"/>
        <v>520521</v>
      </c>
      <c r="E12" s="1726">
        <f t="shared" si="0"/>
        <v>643976</v>
      </c>
      <c r="F12" s="1726">
        <f t="shared" si="0"/>
        <v>139737</v>
      </c>
      <c r="G12" s="1726">
        <f t="shared" si="0"/>
        <v>188898</v>
      </c>
      <c r="H12" s="1726">
        <f t="shared" si="0"/>
        <v>0</v>
      </c>
      <c r="I12" s="1726">
        <f t="shared" si="0"/>
        <v>34935</v>
      </c>
      <c r="J12" s="1726">
        <f t="shared" si="0"/>
        <v>217231</v>
      </c>
      <c r="K12" s="1707">
        <f t="shared" si="0"/>
        <v>34932</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90875</v>
      </c>
      <c r="D16" s="466">
        <v>0</v>
      </c>
      <c r="E16" s="466">
        <v>0</v>
      </c>
      <c r="F16" s="466">
        <v>0</v>
      </c>
      <c r="G16" s="466">
        <v>8350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90875</v>
      </c>
      <c r="D18" s="1729">
        <f t="shared" ref="D18:K18" si="1">SUM(D14:D17)</f>
        <v>0</v>
      </c>
      <c r="E18" s="1729">
        <f t="shared" si="1"/>
        <v>0</v>
      </c>
      <c r="F18" s="1729">
        <f t="shared" si="1"/>
        <v>0</v>
      </c>
      <c r="G18" s="1729">
        <f t="shared" si="1"/>
        <v>8350</v>
      </c>
      <c r="H18" s="1729">
        <f t="shared" si="1"/>
        <v>0</v>
      </c>
      <c r="I18" s="1729">
        <f t="shared" si="1"/>
        <v>0</v>
      </c>
      <c r="J18" s="1729">
        <f t="shared" si="1"/>
        <v>0</v>
      </c>
      <c r="K18" s="1730">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6903</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6903</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29212</v>
      </c>
      <c r="D65" s="466">
        <v>3743</v>
      </c>
      <c r="E65" s="466">
        <v>2916</v>
      </c>
      <c r="F65" s="467">
        <v>2210</v>
      </c>
      <c r="G65" s="466">
        <v>2670</v>
      </c>
      <c r="H65" s="466">
        <v>0</v>
      </c>
      <c r="I65" s="466">
        <v>3527</v>
      </c>
      <c r="J65" s="467">
        <v>2140</v>
      </c>
      <c r="K65" s="466">
        <v>737</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29212</v>
      </c>
      <c r="D67" s="1707">
        <f t="shared" ref="D67:K67" si="2">SUM(D65:D66)</f>
        <v>3743</v>
      </c>
      <c r="E67" s="1707">
        <f t="shared" si="2"/>
        <v>2916</v>
      </c>
      <c r="F67" s="1707">
        <f t="shared" si="2"/>
        <v>2210</v>
      </c>
      <c r="G67" s="1707">
        <f t="shared" si="2"/>
        <v>2670</v>
      </c>
      <c r="H67" s="1707">
        <f t="shared" si="2"/>
        <v>0</v>
      </c>
      <c r="I67" s="1707">
        <f t="shared" si="2"/>
        <v>3527</v>
      </c>
      <c r="J67" s="1707">
        <f t="shared" si="2"/>
        <v>2140</v>
      </c>
      <c r="K67" s="1707">
        <f t="shared" si="2"/>
        <v>737</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76390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1265</v>
      </c>
      <c r="D72" s="468"/>
      <c r="E72" s="468"/>
      <c r="F72" s="468"/>
      <c r="G72" s="468"/>
      <c r="H72" s="468"/>
      <c r="I72" s="468"/>
      <c r="J72" s="468"/>
      <c r="K72" s="468"/>
    </row>
    <row r="73" spans="1:11" ht="12.75" customHeight="1" x14ac:dyDescent="0.2">
      <c r="A73" s="463" t="s">
        <v>1055</v>
      </c>
      <c r="B73" s="470">
        <v>1620</v>
      </c>
      <c r="C73" s="549">
        <v>1964</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7" t="s">
        <v>569</v>
      </c>
      <c r="B75" s="1728"/>
      <c r="C75" s="1707">
        <f>SUM(C69:C74)</f>
        <v>79619</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7694</v>
      </c>
      <c r="D77" s="466">
        <v>0</v>
      </c>
      <c r="E77" s="468"/>
      <c r="F77" s="468"/>
      <c r="G77" s="468"/>
      <c r="H77" s="468"/>
      <c r="I77" s="468"/>
      <c r="J77" s="468"/>
      <c r="K77" s="468"/>
    </row>
    <row r="78" spans="1:11" ht="12.75" customHeight="1" x14ac:dyDescent="0.2">
      <c r="A78" s="463" t="s">
        <v>78</v>
      </c>
      <c r="B78" s="470">
        <v>1719</v>
      </c>
      <c r="C78" s="549">
        <v>400</v>
      </c>
      <c r="D78" s="466">
        <v>0</v>
      </c>
      <c r="E78" s="468"/>
      <c r="F78" s="468"/>
      <c r="G78" s="468"/>
      <c r="H78" s="468"/>
      <c r="I78" s="468"/>
      <c r="J78" s="468"/>
      <c r="K78" s="468"/>
    </row>
    <row r="79" spans="1:11" ht="12.75" customHeight="1" x14ac:dyDescent="0.2">
      <c r="A79" s="463" t="s">
        <v>571</v>
      </c>
      <c r="B79" s="470">
        <v>1720</v>
      </c>
      <c r="C79" s="549">
        <v>10148</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18242</v>
      </c>
      <c r="D82" s="1707">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24557</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24557</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13678</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7269</v>
      </c>
      <c r="D98" s="466">
        <v>0</v>
      </c>
      <c r="E98" s="510"/>
      <c r="F98" s="466">
        <v>0</v>
      </c>
      <c r="G98" s="510"/>
      <c r="H98" s="510"/>
      <c r="I98" s="508"/>
      <c r="J98" s="510"/>
      <c r="K98" s="510"/>
    </row>
    <row r="99" spans="1:12" ht="12.75" customHeight="1" x14ac:dyDescent="0.2">
      <c r="A99" s="463" t="s">
        <v>875</v>
      </c>
      <c r="B99" s="470">
        <v>1950</v>
      </c>
      <c r="C99" s="487">
        <v>7194</v>
      </c>
      <c r="D99" s="466">
        <v>1178</v>
      </c>
      <c r="E99" s="466">
        <v>0</v>
      </c>
      <c r="F99" s="466">
        <v>0</v>
      </c>
      <c r="G99" s="466">
        <v>0</v>
      </c>
      <c r="H99" s="466">
        <v>0</v>
      </c>
      <c r="I99" s="468"/>
      <c r="J99" s="467">
        <v>322</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2500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3976</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148</v>
      </c>
      <c r="D107" s="466">
        <v>250</v>
      </c>
      <c r="E107" s="466">
        <v>0</v>
      </c>
      <c r="F107" s="466">
        <v>0</v>
      </c>
      <c r="G107" s="466">
        <v>0</v>
      </c>
      <c r="H107" s="466">
        <v>0</v>
      </c>
      <c r="I107" s="466">
        <v>0</v>
      </c>
      <c r="J107" s="467">
        <v>0</v>
      </c>
      <c r="K107" s="466">
        <v>0</v>
      </c>
    </row>
    <row r="108" spans="1:12" ht="12.75" customHeight="1" thickBot="1" x14ac:dyDescent="0.25">
      <c r="A108" s="1727" t="s">
        <v>508</v>
      </c>
      <c r="B108" s="1731"/>
      <c r="C108" s="1726">
        <f>SUM(C95:C107)</f>
        <v>30789</v>
      </c>
      <c r="D108" s="1726">
        <f t="shared" ref="D108:K108" si="3">SUM(D95:D107)</f>
        <v>1428</v>
      </c>
      <c r="E108" s="1726">
        <f t="shared" si="3"/>
        <v>0</v>
      </c>
      <c r="F108" s="1726">
        <f t="shared" si="3"/>
        <v>0</v>
      </c>
      <c r="G108" s="1726">
        <f t="shared" si="3"/>
        <v>0</v>
      </c>
      <c r="H108" s="1726">
        <f t="shared" si="3"/>
        <v>3976</v>
      </c>
      <c r="I108" s="1726">
        <f t="shared" si="3"/>
        <v>0</v>
      </c>
      <c r="J108" s="1726">
        <f t="shared" si="3"/>
        <v>322</v>
      </c>
      <c r="K108" s="1707">
        <f t="shared" si="3"/>
        <v>0</v>
      </c>
    </row>
    <row r="109" spans="1:12" ht="14.25" thickTop="1" thickBot="1" x14ac:dyDescent="0.25">
      <c r="A109" s="1732" t="s">
        <v>266</v>
      </c>
      <c r="B109" s="1733" t="s">
        <v>591</v>
      </c>
      <c r="C109" s="1734">
        <f t="shared" ref="C109:K109" si="4">SUM(C12,C18,C40,C63,C67,C75,C82,C93,C108,)</f>
        <v>2942275</v>
      </c>
      <c r="D109" s="1734">
        <f t="shared" si="4"/>
        <v>525692</v>
      </c>
      <c r="E109" s="1734">
        <f t="shared" si="4"/>
        <v>646892</v>
      </c>
      <c r="F109" s="1734">
        <f t="shared" si="4"/>
        <v>148850</v>
      </c>
      <c r="G109" s="1734">
        <f t="shared" si="4"/>
        <v>199918</v>
      </c>
      <c r="H109" s="1734">
        <f t="shared" si="4"/>
        <v>3976</v>
      </c>
      <c r="I109" s="1734">
        <f t="shared" si="4"/>
        <v>38462</v>
      </c>
      <c r="J109" s="1734">
        <f t="shared" si="4"/>
        <v>219693</v>
      </c>
      <c r="K109" s="1721">
        <f t="shared" si="4"/>
        <v>35669</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1279254</v>
      </c>
      <c r="D117" s="480">
        <v>78000</v>
      </c>
      <c r="E117" s="466">
        <v>0</v>
      </c>
      <c r="F117" s="480">
        <v>50000</v>
      </c>
      <c r="G117" s="480">
        <v>0</v>
      </c>
      <c r="H117" s="466">
        <v>150000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1279254</v>
      </c>
      <c r="D121" s="1726">
        <f t="shared" si="5"/>
        <v>78000</v>
      </c>
      <c r="E121" s="1726">
        <f t="shared" si="5"/>
        <v>0</v>
      </c>
      <c r="F121" s="1726">
        <f t="shared" si="5"/>
        <v>50000</v>
      </c>
      <c r="G121" s="1726">
        <f t="shared" si="5"/>
        <v>0</v>
      </c>
      <c r="H121" s="1726">
        <f t="shared" si="5"/>
        <v>150000</v>
      </c>
      <c r="I121" s="468"/>
      <c r="J121" s="1726">
        <f>SUM(J117:J120)</f>
        <v>0</v>
      </c>
      <c r="K121" s="1707">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104834</v>
      </c>
      <c r="D124" s="559"/>
      <c r="E124" s="468"/>
      <c r="F124" s="546">
        <v>0</v>
      </c>
      <c r="G124" s="468"/>
      <c r="H124" s="468"/>
      <c r="I124" s="468"/>
      <c r="J124" s="468"/>
      <c r="K124" s="468"/>
    </row>
    <row r="125" spans="1:11" ht="12.75" customHeight="1" x14ac:dyDescent="0.2">
      <c r="A125" s="463" t="s">
        <v>1521</v>
      </c>
      <c r="B125" s="560">
        <v>3105</v>
      </c>
      <c r="C125" s="466">
        <v>34913</v>
      </c>
      <c r="D125" s="559"/>
      <c r="E125" s="468"/>
      <c r="F125" s="466">
        <v>0</v>
      </c>
      <c r="G125" s="468"/>
      <c r="H125" s="468"/>
      <c r="I125" s="468"/>
      <c r="J125" s="468"/>
      <c r="K125" s="468"/>
    </row>
    <row r="126" spans="1:11" ht="12.75" customHeight="1" x14ac:dyDescent="0.2">
      <c r="A126" s="463" t="s">
        <v>922</v>
      </c>
      <c r="B126" s="560">
        <v>3110</v>
      </c>
      <c r="C126" s="549">
        <v>67433</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584</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207764</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3066</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3066</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1778</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1778</v>
      </c>
      <c r="D144" s="468"/>
      <c r="E144" s="507"/>
      <c r="F144" s="468"/>
      <c r="G144" s="1740">
        <f>SUM(G142:G143)</f>
        <v>0</v>
      </c>
      <c r="H144" s="468"/>
      <c r="I144" s="468"/>
      <c r="J144" s="468"/>
      <c r="K144" s="468"/>
    </row>
    <row r="145" spans="1:11" s="202" customFormat="1" ht="12.75" customHeight="1" thickTop="1" x14ac:dyDescent="0.2">
      <c r="A145" s="1518" t="s">
        <v>1116</v>
      </c>
      <c r="B145" s="566">
        <v>3360</v>
      </c>
      <c r="C145" s="567">
        <v>1181</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2189</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64864</v>
      </c>
      <c r="G151" s="467">
        <v>0</v>
      </c>
      <c r="H151" s="468"/>
      <c r="I151" s="468"/>
      <c r="J151" s="468"/>
      <c r="K151" s="468"/>
    </row>
    <row r="152" spans="1:11" ht="12.75" customHeight="1" x14ac:dyDescent="0.2">
      <c r="A152" s="463" t="s">
        <v>1117</v>
      </c>
      <c r="B152" s="560">
        <v>3510</v>
      </c>
      <c r="C152" s="549">
        <v>0</v>
      </c>
      <c r="D152" s="466">
        <v>0</v>
      </c>
      <c r="E152" s="559"/>
      <c r="F152" s="466">
        <v>123917</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188781</v>
      </c>
      <c r="G154" s="1726">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120006</v>
      </c>
      <c r="D158" s="576">
        <v>0</v>
      </c>
      <c r="E158" s="559"/>
      <c r="F158" s="574">
        <v>35182</v>
      </c>
      <c r="G158" s="574">
        <v>9183</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750</v>
      </c>
      <c r="D171" s="578">
        <v>0</v>
      </c>
      <c r="E171" s="578">
        <v>0</v>
      </c>
      <c r="F171" s="578">
        <v>0</v>
      </c>
      <c r="G171" s="579">
        <v>0</v>
      </c>
      <c r="H171" s="580">
        <v>0</v>
      </c>
      <c r="I171" s="579">
        <v>0</v>
      </c>
      <c r="J171" s="579">
        <v>0</v>
      </c>
      <c r="K171" s="580">
        <v>0</v>
      </c>
    </row>
    <row r="172" spans="1:11" ht="12.75" customHeight="1" thickTop="1" thickBot="1" x14ac:dyDescent="0.25">
      <c r="A172" s="2157" t="s">
        <v>418</v>
      </c>
      <c r="B172" s="2158"/>
      <c r="C172" s="1741">
        <f t="shared" ref="C172:K172" si="6">SUM(C131,C140,C144,C145:C149,C154,C155:C170,C171)</f>
        <v>336734</v>
      </c>
      <c r="D172" s="1741">
        <f t="shared" si="6"/>
        <v>0</v>
      </c>
      <c r="E172" s="1741">
        <f t="shared" si="6"/>
        <v>0</v>
      </c>
      <c r="F172" s="1741">
        <f t="shared" si="6"/>
        <v>223963</v>
      </c>
      <c r="G172" s="1741">
        <f t="shared" si="6"/>
        <v>9183</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1615988</v>
      </c>
      <c r="D173" s="1734">
        <f>SUM(D121,D172)</f>
        <v>78000</v>
      </c>
      <c r="E173" s="1734">
        <f>SUM(E121,E172)</f>
        <v>0</v>
      </c>
      <c r="F173" s="1734">
        <f t="shared" ref="F173:K173" si="7">SUM(F121,F172)</f>
        <v>273963</v>
      </c>
      <c r="G173" s="1734">
        <f t="shared" si="7"/>
        <v>9183</v>
      </c>
      <c r="H173" s="1734">
        <f t="shared" si="7"/>
        <v>150000</v>
      </c>
      <c r="I173" s="1734">
        <f t="shared" si="7"/>
        <v>0</v>
      </c>
      <c r="J173" s="1734">
        <f t="shared" si="7"/>
        <v>0</v>
      </c>
      <c r="K173" s="1721">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59" t="s">
        <v>1572</v>
      </c>
      <c r="B175" s="2160"/>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3" t="s">
        <v>1764</v>
      </c>
      <c r="B178" s="2164"/>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7" t="s">
        <v>1763</v>
      </c>
      <c r="B179" s="2168"/>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5" t="s">
        <v>818</v>
      </c>
      <c r="B184" s="2166"/>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1" t="s">
        <v>1906</v>
      </c>
      <c r="B185" s="2162"/>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26357</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26357</v>
      </c>
      <c r="D191" s="1726">
        <f>SUM(D187:D190)</f>
        <v>0</v>
      </c>
      <c r="E191" s="559"/>
      <c r="F191" s="1726">
        <f>SUM(F187:F190)</f>
        <v>0</v>
      </c>
      <c r="G191" s="1726">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75159</v>
      </c>
      <c r="D194" s="468"/>
      <c r="E194" s="559"/>
      <c r="F194" s="468"/>
      <c r="G194" s="583">
        <v>0</v>
      </c>
      <c r="H194" s="468"/>
      <c r="I194" s="468"/>
      <c r="J194" s="468"/>
      <c r="K194" s="468"/>
    </row>
    <row r="195" spans="1:11" ht="12.75" customHeight="1" x14ac:dyDescent="0.2">
      <c r="A195" s="463" t="s">
        <v>1107</v>
      </c>
      <c r="B195" s="470">
        <v>4215</v>
      </c>
      <c r="C195" s="549">
        <v>871</v>
      </c>
      <c r="D195" s="468"/>
      <c r="E195" s="559"/>
      <c r="F195" s="468"/>
      <c r="G195" s="583">
        <v>0</v>
      </c>
      <c r="H195" s="468"/>
      <c r="I195" s="468"/>
      <c r="J195" s="468"/>
      <c r="K195" s="468"/>
    </row>
    <row r="196" spans="1:11" ht="12.75" customHeight="1" x14ac:dyDescent="0.2">
      <c r="A196" s="463" t="s">
        <v>1119</v>
      </c>
      <c r="B196" s="470">
        <v>4220</v>
      </c>
      <c r="C196" s="549">
        <v>11429</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87459</v>
      </c>
      <c r="D201" s="468"/>
      <c r="E201" s="468"/>
      <c r="F201" s="468"/>
      <c r="G201" s="1707">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72371</v>
      </c>
      <c r="D203" s="466">
        <v>0</v>
      </c>
      <c r="E203" s="468"/>
      <c r="F203" s="466">
        <v>995</v>
      </c>
      <c r="G203" s="466">
        <v>2667</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72371</v>
      </c>
      <c r="D211" s="1726">
        <f>SUM(D203:D210)</f>
        <v>0</v>
      </c>
      <c r="E211" s="468"/>
      <c r="F211" s="1726">
        <f>SUM(F203:F210)</f>
        <v>995</v>
      </c>
      <c r="G211" s="1726">
        <f>SUM(G203:G210)</f>
        <v>2667</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3461</v>
      </c>
      <c r="D213" s="466">
        <v>0</v>
      </c>
      <c r="E213" s="468"/>
      <c r="F213" s="466">
        <v>0</v>
      </c>
      <c r="G213" s="466">
        <v>85</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3461</v>
      </c>
      <c r="D216" s="1726">
        <f>SUM(D213:D215)</f>
        <v>0</v>
      </c>
      <c r="E216" s="468" t="s">
        <v>1231</v>
      </c>
      <c r="F216" s="1726">
        <f>SUM(F213:F215)</f>
        <v>0</v>
      </c>
      <c r="G216" s="1726">
        <f>SUM(G213:G215)</f>
        <v>85</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1835</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99560</v>
      </c>
      <c r="D220" s="466">
        <v>0</v>
      </c>
      <c r="E220" s="468"/>
      <c r="F220" s="466">
        <v>0</v>
      </c>
      <c r="G220" s="466">
        <v>7986</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101395</v>
      </c>
      <c r="D224" s="1726">
        <f>SUM(D218:D223)</f>
        <v>0</v>
      </c>
      <c r="E224" s="468"/>
      <c r="F224" s="1726">
        <f>SUM(F218:F223)</f>
        <v>0</v>
      </c>
      <c r="G224" s="1726">
        <f>SUM(G218:G223)</f>
        <v>7986</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53142</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53142</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18350</v>
      </c>
      <c r="D268" s="574">
        <v>0</v>
      </c>
      <c r="E268" s="468"/>
      <c r="F268" s="574">
        <v>0</v>
      </c>
      <c r="G268" s="574">
        <v>747</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14990</v>
      </c>
      <c r="D270" s="574">
        <v>0</v>
      </c>
      <c r="E270" s="468"/>
      <c r="F270" s="574">
        <v>0</v>
      </c>
      <c r="G270" s="574">
        <v>0</v>
      </c>
      <c r="H270" s="468"/>
      <c r="I270" s="468"/>
      <c r="J270" s="468"/>
      <c r="K270" s="468"/>
    </row>
    <row r="271" spans="1:11" ht="12.75" customHeight="1" thickTop="1" thickBot="1" x14ac:dyDescent="0.25">
      <c r="A271" s="463" t="s">
        <v>395</v>
      </c>
      <c r="B271" s="470">
        <v>4992</v>
      </c>
      <c r="C271" s="573">
        <v>9251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386776</v>
      </c>
      <c r="D273" s="1734">
        <f t="shared" si="10"/>
        <v>0</v>
      </c>
      <c r="E273" s="1734">
        <f t="shared" si="10"/>
        <v>0</v>
      </c>
      <c r="F273" s="1734">
        <f t="shared" si="10"/>
        <v>995</v>
      </c>
      <c r="G273" s="1734">
        <f t="shared" si="10"/>
        <v>11485</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386776</v>
      </c>
      <c r="D274" s="1734">
        <f>SUM(D178,D184,D273)</f>
        <v>0</v>
      </c>
      <c r="E274" s="1734">
        <f>SUM(E178,E273)</f>
        <v>0</v>
      </c>
      <c r="F274" s="1734">
        <f t="shared" ref="F274:K274" si="11">SUM(F178,F184,F273)</f>
        <v>995</v>
      </c>
      <c r="G274" s="1734">
        <f t="shared" si="11"/>
        <v>11485</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4945039</v>
      </c>
      <c r="D275" s="1734">
        <f t="shared" si="12"/>
        <v>603692</v>
      </c>
      <c r="E275" s="1734">
        <f t="shared" si="12"/>
        <v>646892</v>
      </c>
      <c r="F275" s="1734">
        <f t="shared" si="12"/>
        <v>423808</v>
      </c>
      <c r="G275" s="1734">
        <f t="shared" si="12"/>
        <v>220586</v>
      </c>
      <c r="H275" s="1734">
        <f t="shared" si="12"/>
        <v>153976</v>
      </c>
      <c r="I275" s="1734">
        <f t="shared" si="12"/>
        <v>38462</v>
      </c>
      <c r="J275" s="1734">
        <f t="shared" si="12"/>
        <v>219693</v>
      </c>
      <c r="K275" s="1721">
        <f t="shared" si="12"/>
        <v>35669</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S35" sqref="S35"/>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69"/>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5" t="s">
        <v>315</v>
      </c>
      <c r="B3" s="2176"/>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1319350</v>
      </c>
      <c r="D5" s="466">
        <v>348804</v>
      </c>
      <c r="E5" s="466">
        <v>42850</v>
      </c>
      <c r="F5" s="466">
        <v>25317</v>
      </c>
      <c r="G5" s="466">
        <v>1335</v>
      </c>
      <c r="H5" s="466">
        <v>2098</v>
      </c>
      <c r="I5" s="467">
        <v>0</v>
      </c>
      <c r="J5" s="467">
        <v>0</v>
      </c>
      <c r="K5" s="1690">
        <f>SUM(C5:J5)</f>
        <v>1739754</v>
      </c>
      <c r="L5" s="466">
        <v>1837535</v>
      </c>
    </row>
    <row r="6" spans="1:14" x14ac:dyDescent="0.2">
      <c r="A6" s="1524" t="s">
        <v>1508</v>
      </c>
      <c r="B6" s="613" t="s">
        <v>1506</v>
      </c>
      <c r="C6" s="476"/>
      <c r="D6" s="476"/>
      <c r="E6" s="466">
        <v>0</v>
      </c>
      <c r="F6" s="476"/>
      <c r="G6" s="476"/>
      <c r="H6" s="476"/>
      <c r="I6" s="476"/>
      <c r="J6" s="476"/>
      <c r="K6" s="1690">
        <f>SUM(C6,E6)</f>
        <v>0</v>
      </c>
      <c r="L6" s="466">
        <v>0</v>
      </c>
    </row>
    <row r="7" spans="1:14" x14ac:dyDescent="0.2">
      <c r="A7" s="1524" t="s">
        <v>165</v>
      </c>
      <c r="B7" s="613" t="s">
        <v>1024</v>
      </c>
      <c r="C7" s="467">
        <v>63059</v>
      </c>
      <c r="D7" s="467">
        <v>20699</v>
      </c>
      <c r="E7" s="467">
        <v>880</v>
      </c>
      <c r="F7" s="467">
        <v>5148</v>
      </c>
      <c r="G7" s="467">
        <v>0</v>
      </c>
      <c r="H7" s="467">
        <v>0</v>
      </c>
      <c r="I7" s="467">
        <v>0</v>
      </c>
      <c r="J7" s="467">
        <v>0</v>
      </c>
      <c r="K7" s="1690">
        <f t="shared" ref="K7:K32" si="0">SUM(C7:J7)</f>
        <v>89786</v>
      </c>
      <c r="L7" s="466">
        <v>72290</v>
      </c>
    </row>
    <row r="8" spans="1:14" x14ac:dyDescent="0.2">
      <c r="A8" s="1524" t="s">
        <v>166</v>
      </c>
      <c r="B8" s="613">
        <v>1200</v>
      </c>
      <c r="C8" s="466">
        <v>250262</v>
      </c>
      <c r="D8" s="466">
        <v>85411</v>
      </c>
      <c r="E8" s="466">
        <v>20386</v>
      </c>
      <c r="F8" s="466">
        <v>12409</v>
      </c>
      <c r="G8" s="466">
        <v>0</v>
      </c>
      <c r="H8" s="466">
        <v>0</v>
      </c>
      <c r="I8" s="467">
        <v>0</v>
      </c>
      <c r="J8" s="467">
        <v>0</v>
      </c>
      <c r="K8" s="1690">
        <f t="shared" si="0"/>
        <v>368468</v>
      </c>
      <c r="L8" s="466">
        <v>491055</v>
      </c>
    </row>
    <row r="9" spans="1:14" x14ac:dyDescent="0.2">
      <c r="A9" s="1524" t="s">
        <v>745</v>
      </c>
      <c r="B9" s="613" t="s">
        <v>1025</v>
      </c>
      <c r="C9" s="467">
        <v>0</v>
      </c>
      <c r="D9" s="467">
        <v>0</v>
      </c>
      <c r="E9" s="467">
        <v>0</v>
      </c>
      <c r="F9" s="467">
        <v>0</v>
      </c>
      <c r="G9" s="467">
        <v>0</v>
      </c>
      <c r="H9" s="467">
        <v>0</v>
      </c>
      <c r="I9" s="467">
        <v>0</v>
      </c>
      <c r="J9" s="467">
        <v>0</v>
      </c>
      <c r="K9" s="1690">
        <f t="shared" si="0"/>
        <v>0</v>
      </c>
      <c r="L9" s="466">
        <v>0</v>
      </c>
    </row>
    <row r="10" spans="1:14" x14ac:dyDescent="0.2">
      <c r="A10" s="1524" t="s">
        <v>746</v>
      </c>
      <c r="B10" s="613">
        <v>1250</v>
      </c>
      <c r="C10" s="466">
        <v>80562</v>
      </c>
      <c r="D10" s="466">
        <v>20854</v>
      </c>
      <c r="E10" s="466">
        <v>0</v>
      </c>
      <c r="F10" s="466">
        <v>3594</v>
      </c>
      <c r="G10" s="466">
        <v>0</v>
      </c>
      <c r="H10" s="466">
        <v>0</v>
      </c>
      <c r="I10" s="467">
        <v>0</v>
      </c>
      <c r="J10" s="467">
        <v>0</v>
      </c>
      <c r="K10" s="1690">
        <f t="shared" si="0"/>
        <v>105010</v>
      </c>
      <c r="L10" s="466">
        <v>113357</v>
      </c>
    </row>
    <row r="11" spans="1:14" x14ac:dyDescent="0.2">
      <c r="A11" s="1524"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4" t="s">
        <v>1019</v>
      </c>
      <c r="B12" s="613">
        <v>1300</v>
      </c>
      <c r="C12" s="466">
        <v>0</v>
      </c>
      <c r="D12" s="466">
        <v>0</v>
      </c>
      <c r="E12" s="466">
        <v>0</v>
      </c>
      <c r="F12" s="466">
        <v>0</v>
      </c>
      <c r="G12" s="466">
        <v>0</v>
      </c>
      <c r="H12" s="466">
        <v>0</v>
      </c>
      <c r="I12" s="467">
        <v>0</v>
      </c>
      <c r="J12" s="467">
        <v>0</v>
      </c>
      <c r="K12" s="1690">
        <f t="shared" si="0"/>
        <v>0</v>
      </c>
      <c r="L12" s="466">
        <v>0</v>
      </c>
    </row>
    <row r="13" spans="1:14" x14ac:dyDescent="0.2">
      <c r="A13" s="1524" t="s">
        <v>747</v>
      </c>
      <c r="B13" s="613">
        <v>1400</v>
      </c>
      <c r="C13" s="467">
        <v>40226</v>
      </c>
      <c r="D13" s="466">
        <v>13476</v>
      </c>
      <c r="E13" s="466">
        <v>0</v>
      </c>
      <c r="F13" s="466">
        <v>6471</v>
      </c>
      <c r="G13" s="466">
        <v>0</v>
      </c>
      <c r="H13" s="466">
        <v>0</v>
      </c>
      <c r="I13" s="467">
        <v>0</v>
      </c>
      <c r="J13" s="467">
        <v>0</v>
      </c>
      <c r="K13" s="1690">
        <f t="shared" si="0"/>
        <v>60173</v>
      </c>
      <c r="L13" s="466">
        <v>55372</v>
      </c>
    </row>
    <row r="14" spans="1:14" x14ac:dyDescent="0.2">
      <c r="A14" s="1524" t="s">
        <v>1020</v>
      </c>
      <c r="B14" s="613">
        <v>1500</v>
      </c>
      <c r="C14" s="467">
        <v>143473</v>
      </c>
      <c r="D14" s="466">
        <v>17290</v>
      </c>
      <c r="E14" s="466">
        <v>17922</v>
      </c>
      <c r="F14" s="466">
        <v>14861</v>
      </c>
      <c r="G14" s="466">
        <v>2059</v>
      </c>
      <c r="H14" s="466">
        <v>3110</v>
      </c>
      <c r="I14" s="467">
        <v>0</v>
      </c>
      <c r="J14" s="467">
        <v>0</v>
      </c>
      <c r="K14" s="1690">
        <f t="shared" si="0"/>
        <v>198715</v>
      </c>
      <c r="L14" s="466">
        <v>206853</v>
      </c>
    </row>
    <row r="15" spans="1:14" x14ac:dyDescent="0.2">
      <c r="A15" s="1524" t="s">
        <v>1021</v>
      </c>
      <c r="B15" s="613">
        <v>1600</v>
      </c>
      <c r="C15" s="466">
        <v>2100</v>
      </c>
      <c r="D15" s="466">
        <v>240</v>
      </c>
      <c r="E15" s="466">
        <v>0</v>
      </c>
      <c r="F15" s="466">
        <v>0</v>
      </c>
      <c r="G15" s="466">
        <v>0</v>
      </c>
      <c r="H15" s="466">
        <v>0</v>
      </c>
      <c r="I15" s="467">
        <v>0</v>
      </c>
      <c r="J15" s="467">
        <v>0</v>
      </c>
      <c r="K15" s="1690">
        <f t="shared" si="0"/>
        <v>2340</v>
      </c>
      <c r="L15" s="466">
        <v>1800</v>
      </c>
    </row>
    <row r="16" spans="1:14" x14ac:dyDescent="0.2">
      <c r="A16" s="1524"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4" t="s">
        <v>748</v>
      </c>
      <c r="B17" s="613" t="s">
        <v>164</v>
      </c>
      <c r="C17" s="467">
        <v>3238</v>
      </c>
      <c r="D17" s="467">
        <v>371</v>
      </c>
      <c r="E17" s="467">
        <v>80</v>
      </c>
      <c r="F17" s="467">
        <v>133</v>
      </c>
      <c r="G17" s="467">
        <v>0</v>
      </c>
      <c r="H17" s="467">
        <v>0</v>
      </c>
      <c r="I17" s="467">
        <v>0</v>
      </c>
      <c r="J17" s="467">
        <v>0</v>
      </c>
      <c r="K17" s="1690">
        <f t="shared" si="0"/>
        <v>3822</v>
      </c>
      <c r="L17" s="466">
        <v>6175</v>
      </c>
    </row>
    <row r="18" spans="1:12" x14ac:dyDescent="0.2">
      <c r="A18" s="1524" t="s">
        <v>1148</v>
      </c>
      <c r="B18" s="613">
        <v>1800</v>
      </c>
      <c r="C18" s="466">
        <v>0</v>
      </c>
      <c r="D18" s="466">
        <v>0</v>
      </c>
      <c r="E18" s="466">
        <v>0</v>
      </c>
      <c r="F18" s="466">
        <v>0</v>
      </c>
      <c r="G18" s="466">
        <v>0</v>
      </c>
      <c r="H18" s="466">
        <v>0</v>
      </c>
      <c r="I18" s="467">
        <v>0</v>
      </c>
      <c r="J18" s="467">
        <v>0</v>
      </c>
      <c r="K18" s="1690">
        <f t="shared" si="0"/>
        <v>0</v>
      </c>
      <c r="L18" s="466">
        <v>0</v>
      </c>
    </row>
    <row r="19" spans="1:12" x14ac:dyDescent="0.2">
      <c r="A19" s="1524" t="s">
        <v>136</v>
      </c>
      <c r="B19" s="613">
        <v>1900</v>
      </c>
      <c r="C19" s="466">
        <v>0</v>
      </c>
      <c r="D19" s="466">
        <v>0</v>
      </c>
      <c r="E19" s="466">
        <v>0</v>
      </c>
      <c r="F19" s="466">
        <v>0</v>
      </c>
      <c r="G19" s="466">
        <v>0</v>
      </c>
      <c r="H19" s="466">
        <v>0</v>
      </c>
      <c r="I19" s="467">
        <v>0</v>
      </c>
      <c r="J19" s="467">
        <v>0</v>
      </c>
      <c r="K19" s="1690">
        <f t="shared" si="0"/>
        <v>0</v>
      </c>
      <c r="L19" s="466">
        <v>0</v>
      </c>
    </row>
    <row r="20" spans="1:12" x14ac:dyDescent="0.2">
      <c r="A20" s="1525" t="s">
        <v>762</v>
      </c>
      <c r="B20" s="601" t="s">
        <v>749</v>
      </c>
      <c r="C20" s="476"/>
      <c r="D20" s="476"/>
      <c r="E20" s="476"/>
      <c r="F20" s="476"/>
      <c r="G20" s="476"/>
      <c r="H20" s="467">
        <v>0</v>
      </c>
      <c r="I20" s="615"/>
      <c r="J20" s="475"/>
      <c r="K20" s="1690">
        <f t="shared" si="0"/>
        <v>0</v>
      </c>
      <c r="L20" s="466">
        <v>0</v>
      </c>
    </row>
    <row r="21" spans="1:12" x14ac:dyDescent="0.2">
      <c r="A21" s="1525" t="s">
        <v>763</v>
      </c>
      <c r="B21" s="601" t="s">
        <v>750</v>
      </c>
      <c r="C21" s="476"/>
      <c r="D21" s="476"/>
      <c r="E21" s="476"/>
      <c r="F21" s="476"/>
      <c r="G21" s="476"/>
      <c r="H21" s="474">
        <v>0</v>
      </c>
      <c r="I21" s="615"/>
      <c r="J21" s="476"/>
      <c r="K21" s="1690">
        <f t="shared" si="0"/>
        <v>0</v>
      </c>
      <c r="L21" s="466">
        <v>0</v>
      </c>
    </row>
    <row r="22" spans="1:12" x14ac:dyDescent="0.2">
      <c r="A22" s="1525" t="s">
        <v>764</v>
      </c>
      <c r="B22" s="601" t="s">
        <v>751</v>
      </c>
      <c r="C22" s="476"/>
      <c r="D22" s="476"/>
      <c r="E22" s="476"/>
      <c r="F22" s="476"/>
      <c r="G22" s="476"/>
      <c r="H22" s="474">
        <v>192085</v>
      </c>
      <c r="I22" s="615"/>
      <c r="J22" s="476"/>
      <c r="K22" s="1690">
        <f t="shared" si="0"/>
        <v>192085</v>
      </c>
      <c r="L22" s="466">
        <v>200000</v>
      </c>
    </row>
    <row r="23" spans="1:12" x14ac:dyDescent="0.2">
      <c r="A23" s="1525" t="s">
        <v>765</v>
      </c>
      <c r="B23" s="601" t="s">
        <v>752</v>
      </c>
      <c r="C23" s="476"/>
      <c r="D23" s="476"/>
      <c r="E23" s="476"/>
      <c r="F23" s="476"/>
      <c r="G23" s="476"/>
      <c r="H23" s="474">
        <v>0</v>
      </c>
      <c r="I23" s="615"/>
      <c r="J23" s="476"/>
      <c r="K23" s="1690">
        <f t="shared" si="0"/>
        <v>0</v>
      </c>
      <c r="L23" s="466">
        <v>0</v>
      </c>
    </row>
    <row r="24" spans="1:12" ht="12.75" customHeight="1" x14ac:dyDescent="0.2">
      <c r="A24" s="1525" t="s">
        <v>766</v>
      </c>
      <c r="B24" s="601" t="s">
        <v>753</v>
      </c>
      <c r="C24" s="476"/>
      <c r="D24" s="476"/>
      <c r="E24" s="476"/>
      <c r="F24" s="476"/>
      <c r="G24" s="476"/>
      <c r="H24" s="474">
        <v>0</v>
      </c>
      <c r="I24" s="615"/>
      <c r="J24" s="476"/>
      <c r="K24" s="1690">
        <f t="shared" si="0"/>
        <v>0</v>
      </c>
      <c r="L24" s="466">
        <v>0</v>
      </c>
    </row>
    <row r="25" spans="1:12" ht="12.75" customHeight="1" x14ac:dyDescent="0.2">
      <c r="A25" s="1525" t="s">
        <v>835</v>
      </c>
      <c r="B25" s="601" t="s">
        <v>754</v>
      </c>
      <c r="C25" s="476"/>
      <c r="D25" s="476"/>
      <c r="E25" s="476"/>
      <c r="F25" s="476"/>
      <c r="G25" s="476"/>
      <c r="H25" s="474">
        <v>0</v>
      </c>
      <c r="I25" s="615"/>
      <c r="J25" s="476"/>
      <c r="K25" s="1690">
        <f t="shared" si="0"/>
        <v>0</v>
      </c>
      <c r="L25" s="466">
        <v>0</v>
      </c>
    </row>
    <row r="26" spans="1:12" x14ac:dyDescent="0.2">
      <c r="A26" s="1525" t="s">
        <v>643</v>
      </c>
      <c r="B26" s="601" t="s">
        <v>755</v>
      </c>
      <c r="C26" s="476"/>
      <c r="D26" s="476"/>
      <c r="E26" s="476"/>
      <c r="F26" s="476"/>
      <c r="G26" s="476"/>
      <c r="H26" s="474">
        <v>0</v>
      </c>
      <c r="I26" s="615"/>
      <c r="J26" s="476"/>
      <c r="K26" s="1690">
        <f t="shared" si="0"/>
        <v>0</v>
      </c>
      <c r="L26" s="466">
        <v>0</v>
      </c>
    </row>
    <row r="27" spans="1:12" x14ac:dyDescent="0.2">
      <c r="A27" s="1525" t="s">
        <v>644</v>
      </c>
      <c r="B27" s="601" t="s">
        <v>756</v>
      </c>
      <c r="C27" s="476"/>
      <c r="D27" s="476"/>
      <c r="E27" s="476"/>
      <c r="F27" s="476"/>
      <c r="G27" s="476"/>
      <c r="H27" s="474">
        <v>0</v>
      </c>
      <c r="I27" s="615"/>
      <c r="J27" s="476"/>
      <c r="K27" s="1690">
        <f t="shared" si="0"/>
        <v>0</v>
      </c>
      <c r="L27" s="466">
        <v>0</v>
      </c>
    </row>
    <row r="28" spans="1:12" x14ac:dyDescent="0.2">
      <c r="A28" s="1525" t="s">
        <v>152</v>
      </c>
      <c r="B28" s="601" t="s">
        <v>757</v>
      </c>
      <c r="C28" s="476"/>
      <c r="D28" s="476"/>
      <c r="E28" s="476"/>
      <c r="F28" s="476"/>
      <c r="G28" s="476"/>
      <c r="H28" s="474">
        <v>0</v>
      </c>
      <c r="I28" s="615"/>
      <c r="J28" s="476"/>
      <c r="K28" s="1690">
        <f t="shared" si="0"/>
        <v>0</v>
      </c>
      <c r="L28" s="466">
        <v>0</v>
      </c>
    </row>
    <row r="29" spans="1:12" x14ac:dyDescent="0.2">
      <c r="A29" s="1525" t="s">
        <v>153</v>
      </c>
      <c r="B29" s="601" t="s">
        <v>758</v>
      </c>
      <c r="C29" s="476"/>
      <c r="D29" s="476"/>
      <c r="E29" s="476"/>
      <c r="F29" s="476"/>
      <c r="G29" s="476"/>
      <c r="H29" s="474">
        <v>0</v>
      </c>
      <c r="I29" s="615"/>
      <c r="J29" s="476"/>
      <c r="K29" s="1690">
        <f t="shared" si="0"/>
        <v>0</v>
      </c>
      <c r="L29" s="466">
        <v>0</v>
      </c>
    </row>
    <row r="30" spans="1:12" x14ac:dyDescent="0.2">
      <c r="A30" s="1525" t="s">
        <v>154</v>
      </c>
      <c r="B30" s="601" t="s">
        <v>759</v>
      </c>
      <c r="C30" s="476"/>
      <c r="D30" s="476"/>
      <c r="E30" s="476"/>
      <c r="F30" s="476"/>
      <c r="G30" s="476"/>
      <c r="H30" s="474">
        <v>0</v>
      </c>
      <c r="I30" s="615"/>
      <c r="J30" s="476"/>
      <c r="K30" s="1690">
        <f t="shared" si="0"/>
        <v>0</v>
      </c>
      <c r="L30" s="466">
        <v>0</v>
      </c>
    </row>
    <row r="31" spans="1:12" x14ac:dyDescent="0.2">
      <c r="A31" s="1525" t="s">
        <v>155</v>
      </c>
      <c r="B31" s="601" t="s">
        <v>760</v>
      </c>
      <c r="C31" s="476"/>
      <c r="D31" s="476"/>
      <c r="E31" s="476"/>
      <c r="F31" s="476"/>
      <c r="G31" s="476"/>
      <c r="H31" s="474">
        <v>0</v>
      </c>
      <c r="I31" s="615"/>
      <c r="J31" s="476"/>
      <c r="K31" s="1690">
        <f t="shared" si="0"/>
        <v>0</v>
      </c>
      <c r="L31" s="466">
        <v>0</v>
      </c>
    </row>
    <row r="32" spans="1:12" x14ac:dyDescent="0.2">
      <c r="A32" s="1526"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1902270</v>
      </c>
      <c r="D33" s="1689">
        <f t="shared" ref="D33:L33" si="1">SUM(D5:D32)</f>
        <v>507145</v>
      </c>
      <c r="E33" s="1689">
        <f t="shared" si="1"/>
        <v>82118</v>
      </c>
      <c r="F33" s="1689">
        <f t="shared" si="1"/>
        <v>67933</v>
      </c>
      <c r="G33" s="1689">
        <f t="shared" si="1"/>
        <v>3394</v>
      </c>
      <c r="H33" s="1689">
        <f t="shared" si="1"/>
        <v>197293</v>
      </c>
      <c r="I33" s="1689">
        <f t="shared" si="1"/>
        <v>0</v>
      </c>
      <c r="J33" s="1689">
        <f t="shared" si="1"/>
        <v>0</v>
      </c>
      <c r="K33" s="1689">
        <f t="shared" si="1"/>
        <v>2760153</v>
      </c>
      <c r="L33" s="1689">
        <f t="shared" si="1"/>
        <v>2984437</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29214</v>
      </c>
      <c r="D36" s="480">
        <v>5037</v>
      </c>
      <c r="E36" s="480">
        <v>32</v>
      </c>
      <c r="F36" s="480">
        <v>510</v>
      </c>
      <c r="G36" s="480">
        <v>0</v>
      </c>
      <c r="H36" s="480">
        <v>0</v>
      </c>
      <c r="I36" s="467">
        <v>0</v>
      </c>
      <c r="J36" s="467">
        <v>0</v>
      </c>
      <c r="K36" s="1690">
        <f t="shared" ref="K36:K41" si="2">SUM(C36:J36)</f>
        <v>34793</v>
      </c>
      <c r="L36" s="466">
        <v>38370</v>
      </c>
    </row>
    <row r="37" spans="1:14" x14ac:dyDescent="0.2">
      <c r="A37" s="1524" t="s">
        <v>1151</v>
      </c>
      <c r="B37" s="613">
        <v>2120</v>
      </c>
      <c r="C37" s="466">
        <v>92373</v>
      </c>
      <c r="D37" s="466">
        <v>19351</v>
      </c>
      <c r="E37" s="466">
        <v>289</v>
      </c>
      <c r="F37" s="466">
        <v>771</v>
      </c>
      <c r="G37" s="466">
        <v>0</v>
      </c>
      <c r="H37" s="466">
        <v>0</v>
      </c>
      <c r="I37" s="467">
        <v>0</v>
      </c>
      <c r="J37" s="467">
        <v>0</v>
      </c>
      <c r="K37" s="1690">
        <f t="shared" si="2"/>
        <v>112784</v>
      </c>
      <c r="L37" s="466">
        <v>112748</v>
      </c>
    </row>
    <row r="38" spans="1:14" x14ac:dyDescent="0.2">
      <c r="A38" s="1524" t="s">
        <v>207</v>
      </c>
      <c r="B38" s="613">
        <v>2130</v>
      </c>
      <c r="C38" s="466">
        <v>37838</v>
      </c>
      <c r="D38" s="466">
        <v>3090</v>
      </c>
      <c r="E38" s="466">
        <v>533</v>
      </c>
      <c r="F38" s="466">
        <v>897</v>
      </c>
      <c r="G38" s="466">
        <v>0</v>
      </c>
      <c r="H38" s="466">
        <v>85</v>
      </c>
      <c r="I38" s="467">
        <v>0</v>
      </c>
      <c r="J38" s="467">
        <v>0</v>
      </c>
      <c r="K38" s="1690">
        <f t="shared" si="2"/>
        <v>42443</v>
      </c>
      <c r="L38" s="466">
        <v>46153</v>
      </c>
    </row>
    <row r="39" spans="1:14" x14ac:dyDescent="0.2">
      <c r="A39" s="1524" t="s">
        <v>208</v>
      </c>
      <c r="B39" s="613">
        <v>2140</v>
      </c>
      <c r="C39" s="466">
        <v>0</v>
      </c>
      <c r="D39" s="466">
        <v>0</v>
      </c>
      <c r="E39" s="466">
        <v>18960</v>
      </c>
      <c r="F39" s="466">
        <v>0</v>
      </c>
      <c r="G39" s="466">
        <v>0</v>
      </c>
      <c r="H39" s="466">
        <v>0</v>
      </c>
      <c r="I39" s="467">
        <v>0</v>
      </c>
      <c r="J39" s="467">
        <v>0</v>
      </c>
      <c r="K39" s="1690">
        <f t="shared" si="2"/>
        <v>18960</v>
      </c>
      <c r="L39" s="466">
        <v>29000</v>
      </c>
    </row>
    <row r="40" spans="1:14" x14ac:dyDescent="0.2">
      <c r="A40" s="1524" t="s">
        <v>209</v>
      </c>
      <c r="B40" s="613">
        <v>2150</v>
      </c>
      <c r="C40" s="466">
        <v>0</v>
      </c>
      <c r="D40" s="466">
        <v>0</v>
      </c>
      <c r="E40" s="466">
        <v>101246</v>
      </c>
      <c r="F40" s="466">
        <v>0</v>
      </c>
      <c r="G40" s="466">
        <v>0</v>
      </c>
      <c r="H40" s="466">
        <v>0</v>
      </c>
      <c r="I40" s="467">
        <v>0</v>
      </c>
      <c r="J40" s="467">
        <v>0</v>
      </c>
      <c r="K40" s="1690">
        <f t="shared" si="2"/>
        <v>101246</v>
      </c>
      <c r="L40" s="466">
        <v>74000</v>
      </c>
    </row>
    <row r="41" spans="1:14" x14ac:dyDescent="0.2">
      <c r="A41" s="1524" t="s">
        <v>1768</v>
      </c>
      <c r="B41" s="613">
        <v>2190</v>
      </c>
      <c r="C41" s="466">
        <v>0</v>
      </c>
      <c r="D41" s="466">
        <v>0</v>
      </c>
      <c r="E41" s="466">
        <v>0</v>
      </c>
      <c r="F41" s="466">
        <v>0</v>
      </c>
      <c r="G41" s="466">
        <v>0</v>
      </c>
      <c r="H41" s="466">
        <v>0</v>
      </c>
      <c r="I41" s="467">
        <v>0</v>
      </c>
      <c r="J41" s="467">
        <v>0</v>
      </c>
      <c r="K41" s="1690">
        <f t="shared" si="2"/>
        <v>0</v>
      </c>
      <c r="L41" s="466">
        <v>0</v>
      </c>
    </row>
    <row r="42" spans="1:14" ht="12.75" customHeight="1" thickBot="1" x14ac:dyDescent="0.25">
      <c r="A42" s="1687" t="s">
        <v>581</v>
      </c>
      <c r="B42" s="1688" t="s">
        <v>740</v>
      </c>
      <c r="C42" s="1689">
        <f>SUM(C36:C41)</f>
        <v>159425</v>
      </c>
      <c r="D42" s="1689">
        <f t="shared" ref="D42:L42" si="3">SUM(D36:D41)</f>
        <v>27478</v>
      </c>
      <c r="E42" s="1689">
        <f t="shared" si="3"/>
        <v>121060</v>
      </c>
      <c r="F42" s="1689">
        <f t="shared" si="3"/>
        <v>2178</v>
      </c>
      <c r="G42" s="1689">
        <f t="shared" si="3"/>
        <v>0</v>
      </c>
      <c r="H42" s="1689">
        <f t="shared" si="3"/>
        <v>85</v>
      </c>
      <c r="I42" s="1689">
        <f t="shared" si="3"/>
        <v>0</v>
      </c>
      <c r="J42" s="1689">
        <f t="shared" si="3"/>
        <v>0</v>
      </c>
      <c r="K42" s="1689">
        <f t="shared" si="3"/>
        <v>310226</v>
      </c>
      <c r="L42" s="1689">
        <f t="shared" si="3"/>
        <v>300271</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7671</v>
      </c>
      <c r="D44" s="480">
        <v>917</v>
      </c>
      <c r="E44" s="480">
        <v>14085</v>
      </c>
      <c r="F44" s="480">
        <v>2330</v>
      </c>
      <c r="G44" s="480">
        <v>0</v>
      </c>
      <c r="H44" s="480">
        <v>0</v>
      </c>
      <c r="I44" s="467">
        <v>0</v>
      </c>
      <c r="J44" s="467">
        <v>0</v>
      </c>
      <c r="K44" s="1691">
        <f>SUM(C44:J44)</f>
        <v>25003</v>
      </c>
      <c r="L44" s="480">
        <v>22920</v>
      </c>
    </row>
    <row r="45" spans="1:14" x14ac:dyDescent="0.2">
      <c r="A45" s="1524" t="s">
        <v>869</v>
      </c>
      <c r="B45" s="613">
        <v>2220</v>
      </c>
      <c r="C45" s="467">
        <v>92198</v>
      </c>
      <c r="D45" s="466">
        <v>27424</v>
      </c>
      <c r="E45" s="466">
        <v>293</v>
      </c>
      <c r="F45" s="466">
        <v>1504</v>
      </c>
      <c r="G45" s="466">
        <v>0</v>
      </c>
      <c r="H45" s="466">
        <v>0</v>
      </c>
      <c r="I45" s="467">
        <v>0</v>
      </c>
      <c r="J45" s="467">
        <v>0</v>
      </c>
      <c r="K45" s="1691">
        <f>SUM(C45:J45)</f>
        <v>121419</v>
      </c>
      <c r="L45" s="466">
        <v>117514</v>
      </c>
    </row>
    <row r="46" spans="1:14" x14ac:dyDescent="0.2">
      <c r="A46" s="1524" t="s">
        <v>870</v>
      </c>
      <c r="B46" s="613">
        <v>2230</v>
      </c>
      <c r="C46" s="467">
        <v>0</v>
      </c>
      <c r="D46" s="466">
        <v>0</v>
      </c>
      <c r="E46" s="466">
        <v>16755</v>
      </c>
      <c r="F46" s="466">
        <v>6982</v>
      </c>
      <c r="G46" s="466">
        <v>0</v>
      </c>
      <c r="H46" s="466">
        <v>0</v>
      </c>
      <c r="I46" s="467">
        <v>0</v>
      </c>
      <c r="J46" s="467">
        <v>0</v>
      </c>
      <c r="K46" s="1691">
        <f>SUM(C46:J46)</f>
        <v>23737</v>
      </c>
      <c r="L46" s="466">
        <v>13600</v>
      </c>
    </row>
    <row r="47" spans="1:14" ht="12.75" customHeight="1" thickBot="1" x14ac:dyDescent="0.25">
      <c r="A47" s="1687" t="s">
        <v>582</v>
      </c>
      <c r="B47" s="1688" t="s">
        <v>32</v>
      </c>
      <c r="C47" s="1689">
        <f>SUM(C44:C46)</f>
        <v>99869</v>
      </c>
      <c r="D47" s="1689">
        <f t="shared" ref="D47:K47" si="4">SUM(D44:D46)</f>
        <v>28341</v>
      </c>
      <c r="E47" s="1689">
        <f t="shared" si="4"/>
        <v>31133</v>
      </c>
      <c r="F47" s="1689">
        <f t="shared" si="4"/>
        <v>10816</v>
      </c>
      <c r="G47" s="1689">
        <f t="shared" si="4"/>
        <v>0</v>
      </c>
      <c r="H47" s="1689">
        <f t="shared" si="4"/>
        <v>0</v>
      </c>
      <c r="I47" s="1689">
        <f t="shared" si="4"/>
        <v>0</v>
      </c>
      <c r="J47" s="1689">
        <f t="shared" si="4"/>
        <v>0</v>
      </c>
      <c r="K47" s="1689">
        <f t="shared" si="4"/>
        <v>170159</v>
      </c>
      <c r="L47" s="1689">
        <f>SUM(L44:L46)</f>
        <v>154034</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37068</v>
      </c>
      <c r="F49" s="480">
        <v>1744</v>
      </c>
      <c r="G49" s="480">
        <v>0</v>
      </c>
      <c r="H49" s="480">
        <v>3195</v>
      </c>
      <c r="I49" s="467">
        <v>0</v>
      </c>
      <c r="J49" s="467">
        <v>0</v>
      </c>
      <c r="K49" s="1691">
        <f>SUM(C49:J49)</f>
        <v>42007</v>
      </c>
      <c r="L49" s="466">
        <v>64550</v>
      </c>
    </row>
    <row r="50" spans="1:14" x14ac:dyDescent="0.2">
      <c r="A50" s="1524" t="s">
        <v>872</v>
      </c>
      <c r="B50" s="613">
        <v>2320</v>
      </c>
      <c r="C50" s="466">
        <v>126916</v>
      </c>
      <c r="D50" s="466">
        <v>8864</v>
      </c>
      <c r="E50" s="466">
        <v>1093</v>
      </c>
      <c r="F50" s="466">
        <v>230</v>
      </c>
      <c r="G50" s="466">
        <v>0</v>
      </c>
      <c r="H50" s="466">
        <v>330</v>
      </c>
      <c r="I50" s="467">
        <v>0</v>
      </c>
      <c r="J50" s="467">
        <v>0</v>
      </c>
      <c r="K50" s="1691">
        <f>SUM(C50:J50)</f>
        <v>137433</v>
      </c>
      <c r="L50" s="466">
        <v>140210</v>
      </c>
    </row>
    <row r="51" spans="1:14" x14ac:dyDescent="0.2">
      <c r="A51" s="1524" t="s">
        <v>44</v>
      </c>
      <c r="B51" s="613">
        <v>2330</v>
      </c>
      <c r="C51" s="466">
        <v>92814</v>
      </c>
      <c r="D51" s="466">
        <v>22394</v>
      </c>
      <c r="E51" s="466">
        <v>5422</v>
      </c>
      <c r="F51" s="466">
        <v>64</v>
      </c>
      <c r="G51" s="466">
        <v>0</v>
      </c>
      <c r="H51" s="466">
        <v>130</v>
      </c>
      <c r="I51" s="467">
        <v>0</v>
      </c>
      <c r="J51" s="467">
        <v>0</v>
      </c>
      <c r="K51" s="1691">
        <f>SUM(C51:J51)</f>
        <v>120824</v>
      </c>
      <c r="L51" s="466">
        <v>0</v>
      </c>
    </row>
    <row r="52" spans="1:14" ht="22.5" x14ac:dyDescent="0.2">
      <c r="A52" s="1525"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219730</v>
      </c>
      <c r="D53" s="1689">
        <f t="shared" ref="D53:L53" si="5">SUM(D49:D52)</f>
        <v>31258</v>
      </c>
      <c r="E53" s="1689">
        <f t="shared" si="5"/>
        <v>43583</v>
      </c>
      <c r="F53" s="1689">
        <f t="shared" si="5"/>
        <v>2038</v>
      </c>
      <c r="G53" s="1689">
        <f t="shared" si="5"/>
        <v>0</v>
      </c>
      <c r="H53" s="1689">
        <f t="shared" si="5"/>
        <v>3655</v>
      </c>
      <c r="I53" s="1689">
        <f t="shared" si="5"/>
        <v>0</v>
      </c>
      <c r="J53" s="1689">
        <f t="shared" si="5"/>
        <v>0</v>
      </c>
      <c r="K53" s="1689">
        <f t="shared" si="5"/>
        <v>300264</v>
      </c>
      <c r="L53" s="1689">
        <f t="shared" si="5"/>
        <v>204760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233121</v>
      </c>
      <c r="D55" s="480">
        <v>50587</v>
      </c>
      <c r="E55" s="480">
        <v>817</v>
      </c>
      <c r="F55" s="480">
        <v>793</v>
      </c>
      <c r="G55" s="480">
        <v>0</v>
      </c>
      <c r="H55" s="480">
        <v>385</v>
      </c>
      <c r="I55" s="467">
        <v>0</v>
      </c>
      <c r="J55" s="467">
        <v>0</v>
      </c>
      <c r="K55" s="1691">
        <f>SUM(C55:J55)</f>
        <v>285703</v>
      </c>
      <c r="L55" s="480">
        <v>302324</v>
      </c>
    </row>
    <row r="56" spans="1:14" ht="12.75" customHeight="1" x14ac:dyDescent="0.2">
      <c r="A56" s="1528"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233121</v>
      </c>
      <c r="D57" s="1693">
        <f t="shared" ref="D57:K57" si="6">SUM(D55:D56)</f>
        <v>50587</v>
      </c>
      <c r="E57" s="1693">
        <f t="shared" si="6"/>
        <v>817</v>
      </c>
      <c r="F57" s="1693">
        <f t="shared" si="6"/>
        <v>793</v>
      </c>
      <c r="G57" s="1693">
        <f t="shared" si="6"/>
        <v>0</v>
      </c>
      <c r="H57" s="1693">
        <f t="shared" si="6"/>
        <v>385</v>
      </c>
      <c r="I57" s="1693">
        <f t="shared" si="6"/>
        <v>0</v>
      </c>
      <c r="J57" s="1693">
        <f t="shared" si="6"/>
        <v>0</v>
      </c>
      <c r="K57" s="1693">
        <f t="shared" si="6"/>
        <v>285703</v>
      </c>
      <c r="L57" s="1689">
        <f>SUM(L55:L56)</f>
        <v>302324</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4" t="s">
        <v>483</v>
      </c>
      <c r="B60" s="613">
        <v>2520</v>
      </c>
      <c r="C60" s="466">
        <v>43077</v>
      </c>
      <c r="D60" s="466">
        <v>8962</v>
      </c>
      <c r="E60" s="466">
        <v>4657</v>
      </c>
      <c r="F60" s="466">
        <v>350</v>
      </c>
      <c r="G60" s="466">
        <v>0</v>
      </c>
      <c r="H60" s="466">
        <v>1229</v>
      </c>
      <c r="I60" s="467">
        <v>0</v>
      </c>
      <c r="J60" s="467">
        <v>0</v>
      </c>
      <c r="K60" s="1691">
        <f t="shared" si="7"/>
        <v>58275</v>
      </c>
      <c r="L60" s="466">
        <v>60923</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1">
        <f t="shared" si="7"/>
        <v>0</v>
      </c>
      <c r="L61" s="466">
        <v>3100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1">
        <f t="shared" si="7"/>
        <v>0</v>
      </c>
      <c r="L62" s="466">
        <v>400</v>
      </c>
      <c r="M62" s="608"/>
      <c r="N62" s="608"/>
    </row>
    <row r="63" spans="1:14" s="608" customFormat="1" x14ac:dyDescent="0.2">
      <c r="A63" s="1524" t="s">
        <v>102</v>
      </c>
      <c r="B63" s="613">
        <v>2560</v>
      </c>
      <c r="C63" s="466">
        <v>74085</v>
      </c>
      <c r="D63" s="466">
        <v>16445</v>
      </c>
      <c r="E63" s="466">
        <v>433</v>
      </c>
      <c r="F63" s="466">
        <v>88198</v>
      </c>
      <c r="G63" s="466">
        <v>0</v>
      </c>
      <c r="H63" s="466">
        <v>1000</v>
      </c>
      <c r="I63" s="467">
        <v>0</v>
      </c>
      <c r="J63" s="467">
        <v>0</v>
      </c>
      <c r="K63" s="1691">
        <f t="shared" si="7"/>
        <v>180161</v>
      </c>
      <c r="L63" s="466">
        <v>206378</v>
      </c>
    </row>
    <row r="64" spans="1:14" s="608" customFormat="1" x14ac:dyDescent="0.2">
      <c r="A64" s="1529"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117162</v>
      </c>
      <c r="D65" s="1689">
        <f t="shared" ref="D65:L65" si="8">SUM(D59:D64)</f>
        <v>25407</v>
      </c>
      <c r="E65" s="1689">
        <f t="shared" si="8"/>
        <v>5090</v>
      </c>
      <c r="F65" s="1689">
        <f t="shared" si="8"/>
        <v>88548</v>
      </c>
      <c r="G65" s="1689">
        <f t="shared" si="8"/>
        <v>0</v>
      </c>
      <c r="H65" s="1689">
        <f t="shared" si="8"/>
        <v>2229</v>
      </c>
      <c r="I65" s="1689">
        <f t="shared" si="8"/>
        <v>0</v>
      </c>
      <c r="J65" s="1689">
        <f t="shared" si="8"/>
        <v>0</v>
      </c>
      <c r="K65" s="1689">
        <f t="shared" si="8"/>
        <v>238436</v>
      </c>
      <c r="L65" s="1689">
        <f t="shared" si="8"/>
        <v>270801</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4" t="s">
        <v>424</v>
      </c>
      <c r="B71" s="613">
        <v>2660</v>
      </c>
      <c r="C71" s="466">
        <v>46231</v>
      </c>
      <c r="D71" s="466">
        <v>10990</v>
      </c>
      <c r="E71" s="466">
        <v>132648</v>
      </c>
      <c r="F71" s="466">
        <v>11787</v>
      </c>
      <c r="G71" s="466">
        <v>29967</v>
      </c>
      <c r="H71" s="466">
        <v>0</v>
      </c>
      <c r="I71" s="467">
        <v>0</v>
      </c>
      <c r="J71" s="467">
        <v>0</v>
      </c>
      <c r="K71" s="1691">
        <f>SUM(C71:J71)</f>
        <v>231623</v>
      </c>
      <c r="L71" s="466">
        <v>235700</v>
      </c>
      <c r="M71" s="608"/>
      <c r="N71" s="608"/>
    </row>
    <row r="72" spans="1:14" s="343" customFormat="1" ht="12.75" customHeight="1" thickBot="1" x14ac:dyDescent="0.25">
      <c r="A72" s="1687" t="s">
        <v>37</v>
      </c>
      <c r="B72" s="1694" t="s">
        <v>36</v>
      </c>
      <c r="C72" s="1689">
        <f>SUM(C67:C71)</f>
        <v>46231</v>
      </c>
      <c r="D72" s="1689">
        <f t="shared" ref="D72:K72" si="9">SUM(D67:D71)</f>
        <v>10990</v>
      </c>
      <c r="E72" s="1689">
        <f t="shared" si="9"/>
        <v>132648</v>
      </c>
      <c r="F72" s="1689">
        <f t="shared" si="9"/>
        <v>11787</v>
      </c>
      <c r="G72" s="1689">
        <f t="shared" si="9"/>
        <v>29967</v>
      </c>
      <c r="H72" s="1689">
        <f t="shared" si="9"/>
        <v>0</v>
      </c>
      <c r="I72" s="1689">
        <f t="shared" si="9"/>
        <v>0</v>
      </c>
      <c r="J72" s="1689">
        <f t="shared" si="9"/>
        <v>0</v>
      </c>
      <c r="K72" s="1689">
        <f t="shared" si="9"/>
        <v>231623</v>
      </c>
      <c r="L72" s="1689">
        <f>SUM(L67:L71)</f>
        <v>235700</v>
      </c>
      <c r="M72" s="608"/>
      <c r="N72" s="608"/>
    </row>
    <row r="73" spans="1:14" s="343" customFormat="1" ht="14.25" thickTop="1" thickBot="1" x14ac:dyDescent="0.25">
      <c r="A73" s="1530" t="s">
        <v>1037</v>
      </c>
      <c r="B73" s="631" t="s">
        <v>595</v>
      </c>
      <c r="C73" s="571">
        <v>0</v>
      </c>
      <c r="D73" s="571">
        <v>0</v>
      </c>
      <c r="E73" s="571">
        <v>0</v>
      </c>
      <c r="F73" s="571">
        <v>154</v>
      </c>
      <c r="G73" s="571">
        <v>0</v>
      </c>
      <c r="H73" s="571">
        <v>0</v>
      </c>
      <c r="I73" s="529">
        <v>0</v>
      </c>
      <c r="J73" s="529">
        <v>0</v>
      </c>
      <c r="K73" s="1689">
        <f>SUM(C73:J73)</f>
        <v>154</v>
      </c>
      <c r="L73" s="574">
        <v>0</v>
      </c>
      <c r="M73" s="608"/>
      <c r="N73" s="608"/>
    </row>
    <row r="74" spans="1:14" ht="12.75" customHeight="1" thickTop="1" thickBot="1" x14ac:dyDescent="0.25">
      <c r="A74" s="1687" t="s">
        <v>865</v>
      </c>
      <c r="B74" s="1695">
        <v>2000</v>
      </c>
      <c r="C74" s="1696">
        <f>SUM(C42,C47,C53,C57,C65,C72,C73)</f>
        <v>875538</v>
      </c>
      <c r="D74" s="1696">
        <f t="shared" ref="D74:K74" si="10">SUM(D42,D47,D53,D57,D65,D72,D73)</f>
        <v>174061</v>
      </c>
      <c r="E74" s="1696">
        <f t="shared" si="10"/>
        <v>334331</v>
      </c>
      <c r="F74" s="1696">
        <f t="shared" si="10"/>
        <v>116314</v>
      </c>
      <c r="G74" s="1696">
        <f t="shared" si="10"/>
        <v>29967</v>
      </c>
      <c r="H74" s="1696">
        <f t="shared" si="10"/>
        <v>6354</v>
      </c>
      <c r="I74" s="1696">
        <f t="shared" si="10"/>
        <v>0</v>
      </c>
      <c r="J74" s="1696">
        <f t="shared" si="10"/>
        <v>0</v>
      </c>
      <c r="K74" s="1696">
        <f t="shared" si="10"/>
        <v>1536565</v>
      </c>
      <c r="L74" s="1696">
        <f>SUM(L42,L47,L53,L57,L65,L72,L73)</f>
        <v>1467890</v>
      </c>
    </row>
    <row r="75" spans="1:14" s="259" customFormat="1" ht="15.75" customHeight="1" thickTop="1" thickBot="1" x14ac:dyDescent="0.25">
      <c r="A75" s="1630" t="s">
        <v>49</v>
      </c>
      <c r="B75" s="1631" t="s">
        <v>596</v>
      </c>
      <c r="C75" s="571">
        <v>0</v>
      </c>
      <c r="D75" s="571">
        <v>0</v>
      </c>
      <c r="E75" s="571">
        <v>778</v>
      </c>
      <c r="F75" s="571">
        <v>385</v>
      </c>
      <c r="G75" s="571">
        <v>0</v>
      </c>
      <c r="H75" s="571">
        <v>0</v>
      </c>
      <c r="I75" s="529">
        <v>0</v>
      </c>
      <c r="J75" s="529">
        <v>0</v>
      </c>
      <c r="K75" s="1689">
        <f>SUM(C75:J75)</f>
        <v>1163</v>
      </c>
      <c r="L75" s="574">
        <v>2385</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0">
        <f t="shared" ref="K78:K83" si="11">SUM(C78:J78)</f>
        <v>0</v>
      </c>
      <c r="L78" s="480">
        <v>0</v>
      </c>
    </row>
    <row r="79" spans="1:14" x14ac:dyDescent="0.2">
      <c r="A79" s="1524" t="s">
        <v>322</v>
      </c>
      <c r="B79" s="613">
        <v>4120</v>
      </c>
      <c r="C79" s="615"/>
      <c r="D79" s="615"/>
      <c r="E79" s="466">
        <v>16548</v>
      </c>
      <c r="F79" s="615"/>
      <c r="G79" s="615"/>
      <c r="H79" s="466">
        <v>0</v>
      </c>
      <c r="I79" s="476"/>
      <c r="J79" s="476"/>
      <c r="K79" s="1690">
        <f t="shared" si="11"/>
        <v>16548</v>
      </c>
      <c r="L79" s="466">
        <v>19620</v>
      </c>
    </row>
    <row r="80" spans="1:14" x14ac:dyDescent="0.2">
      <c r="A80" s="1524" t="s">
        <v>323</v>
      </c>
      <c r="B80" s="613">
        <v>4130</v>
      </c>
      <c r="C80" s="615"/>
      <c r="D80" s="615"/>
      <c r="E80" s="466">
        <v>0</v>
      </c>
      <c r="F80" s="615"/>
      <c r="G80" s="615"/>
      <c r="H80" s="466">
        <v>0</v>
      </c>
      <c r="I80" s="476"/>
      <c r="J80" s="476"/>
      <c r="K80" s="1690">
        <f t="shared" si="11"/>
        <v>0</v>
      </c>
      <c r="L80" s="466">
        <v>0</v>
      </c>
    </row>
    <row r="81" spans="1:12" x14ac:dyDescent="0.2">
      <c r="A81" s="1524" t="s">
        <v>721</v>
      </c>
      <c r="B81" s="613">
        <v>4140</v>
      </c>
      <c r="C81" s="615"/>
      <c r="D81" s="615"/>
      <c r="E81" s="466">
        <v>7700</v>
      </c>
      <c r="F81" s="615"/>
      <c r="G81" s="615"/>
      <c r="H81" s="466">
        <v>32617</v>
      </c>
      <c r="I81" s="476"/>
      <c r="J81" s="476"/>
      <c r="K81" s="1690">
        <f t="shared" si="11"/>
        <v>40317</v>
      </c>
      <c r="L81" s="466">
        <v>40400</v>
      </c>
    </row>
    <row r="82" spans="1:12" x14ac:dyDescent="0.2">
      <c r="A82" s="1524" t="s">
        <v>88</v>
      </c>
      <c r="B82" s="613">
        <v>4170</v>
      </c>
      <c r="C82" s="615"/>
      <c r="D82" s="615"/>
      <c r="E82" s="466">
        <v>0</v>
      </c>
      <c r="F82" s="615"/>
      <c r="G82" s="615"/>
      <c r="H82" s="466">
        <v>0</v>
      </c>
      <c r="I82" s="476"/>
      <c r="J82" s="476"/>
      <c r="K82" s="1690">
        <f t="shared" si="11"/>
        <v>0</v>
      </c>
      <c r="L82" s="466">
        <v>0</v>
      </c>
    </row>
    <row r="83" spans="1:12" x14ac:dyDescent="0.2">
      <c r="A83" s="1528" t="s">
        <v>722</v>
      </c>
      <c r="B83" s="627">
        <v>4190</v>
      </c>
      <c r="C83" s="615"/>
      <c r="D83" s="615"/>
      <c r="E83" s="466">
        <v>0</v>
      </c>
      <c r="F83" s="615"/>
      <c r="G83" s="615"/>
      <c r="H83" s="466">
        <v>0</v>
      </c>
      <c r="I83" s="476"/>
      <c r="J83" s="476"/>
      <c r="K83" s="1690">
        <f t="shared" si="11"/>
        <v>0</v>
      </c>
      <c r="L83" s="466">
        <v>1100</v>
      </c>
    </row>
    <row r="84" spans="1:12" ht="13.5" thickBot="1" x14ac:dyDescent="0.25">
      <c r="A84" s="1687" t="s">
        <v>1565</v>
      </c>
      <c r="B84" s="1697">
        <v>4100</v>
      </c>
      <c r="C84" s="615"/>
      <c r="D84" s="615"/>
      <c r="E84" s="1689">
        <f>SUM(E78:E83)</f>
        <v>24248</v>
      </c>
      <c r="F84" s="615"/>
      <c r="G84" s="615"/>
      <c r="H84" s="1689">
        <f>SUM(H78:H83)</f>
        <v>32617</v>
      </c>
      <c r="I84" s="476"/>
      <c r="J84" s="476"/>
      <c r="K84" s="1689">
        <f>SUM(K78:K83)</f>
        <v>56865</v>
      </c>
      <c r="L84" s="1689">
        <f>SUM(L78:L83)</f>
        <v>61120</v>
      </c>
    </row>
    <row r="85" spans="1:12" ht="12.75" customHeight="1" thickTop="1" thickBot="1" x14ac:dyDescent="0.25">
      <c r="A85" s="1531" t="s">
        <v>273</v>
      </c>
      <c r="B85" s="634">
        <v>4210</v>
      </c>
      <c r="C85" s="615"/>
      <c r="D85" s="615"/>
      <c r="E85" s="635"/>
      <c r="F85" s="615"/>
      <c r="G85" s="615"/>
      <c r="H85" s="533">
        <v>0</v>
      </c>
      <c r="I85" s="476"/>
      <c r="J85" s="476"/>
      <c r="K85" s="1696">
        <f>H85</f>
        <v>0</v>
      </c>
      <c r="L85" s="528">
        <v>0</v>
      </c>
    </row>
    <row r="86" spans="1:12" ht="12.75" customHeight="1" thickTop="1" thickBot="1" x14ac:dyDescent="0.25">
      <c r="A86" s="1532" t="s">
        <v>723</v>
      </c>
      <c r="B86" s="636">
        <v>4220</v>
      </c>
      <c r="C86" s="615"/>
      <c r="D86" s="615"/>
      <c r="E86" s="637"/>
      <c r="F86" s="615"/>
      <c r="G86" s="615"/>
      <c r="H86" s="467">
        <v>32558</v>
      </c>
      <c r="I86" s="476"/>
      <c r="J86" s="476"/>
      <c r="K86" s="1696">
        <f t="shared" ref="K86:K98" si="12">H86</f>
        <v>32558</v>
      </c>
      <c r="L86" s="528">
        <v>30000</v>
      </c>
    </row>
    <row r="87" spans="1:12" ht="14.25" thickTop="1" thickBot="1" x14ac:dyDescent="0.25">
      <c r="A87" s="1533" t="s">
        <v>724</v>
      </c>
      <c r="B87" s="638">
        <v>4230</v>
      </c>
      <c r="C87" s="615"/>
      <c r="D87" s="615"/>
      <c r="E87" s="637"/>
      <c r="F87" s="615"/>
      <c r="G87" s="615"/>
      <c r="H87" s="467">
        <v>0</v>
      </c>
      <c r="I87" s="476"/>
      <c r="J87" s="476"/>
      <c r="K87" s="1696">
        <f t="shared" si="12"/>
        <v>0</v>
      </c>
      <c r="L87" s="528">
        <v>0</v>
      </c>
    </row>
    <row r="88" spans="1:12" ht="12.75" customHeight="1" thickTop="1" thickBot="1" x14ac:dyDescent="0.25">
      <c r="A88" s="1533" t="s">
        <v>789</v>
      </c>
      <c r="B88" s="638">
        <v>4240</v>
      </c>
      <c r="C88" s="615"/>
      <c r="D88" s="615"/>
      <c r="E88" s="637"/>
      <c r="F88" s="615"/>
      <c r="G88" s="615"/>
      <c r="H88" s="467">
        <v>52000</v>
      </c>
      <c r="I88" s="476"/>
      <c r="J88" s="476"/>
      <c r="K88" s="1696">
        <f t="shared" si="12"/>
        <v>52000</v>
      </c>
      <c r="L88" s="528">
        <v>52000</v>
      </c>
    </row>
    <row r="89" spans="1:12" ht="12.75" customHeight="1" thickTop="1" thickBot="1" x14ac:dyDescent="0.25">
      <c r="A89" s="1533" t="s">
        <v>725</v>
      </c>
      <c r="B89" s="638">
        <v>4270</v>
      </c>
      <c r="C89" s="615"/>
      <c r="D89" s="615"/>
      <c r="E89" s="637"/>
      <c r="F89" s="615"/>
      <c r="G89" s="615"/>
      <c r="H89" s="467">
        <v>0</v>
      </c>
      <c r="I89" s="476"/>
      <c r="J89" s="476"/>
      <c r="K89" s="1696">
        <f t="shared" si="12"/>
        <v>0</v>
      </c>
      <c r="L89" s="528">
        <v>0</v>
      </c>
    </row>
    <row r="90" spans="1:12" ht="12.75" customHeight="1" thickTop="1" thickBot="1" x14ac:dyDescent="0.25">
      <c r="A90" s="1533" t="s">
        <v>710</v>
      </c>
      <c r="B90" s="638">
        <v>4280</v>
      </c>
      <c r="C90" s="615"/>
      <c r="D90" s="615"/>
      <c r="E90" s="637"/>
      <c r="F90" s="615"/>
      <c r="G90" s="615"/>
      <c r="H90" s="467">
        <v>0</v>
      </c>
      <c r="I90" s="476"/>
      <c r="J90" s="476"/>
      <c r="K90" s="1696">
        <f t="shared" si="12"/>
        <v>0</v>
      </c>
      <c r="L90" s="528">
        <v>0</v>
      </c>
    </row>
    <row r="91" spans="1:12" ht="12.75" customHeight="1" thickTop="1" thickBot="1" x14ac:dyDescent="0.25">
      <c r="A91" s="1533"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84558</v>
      </c>
      <c r="I92" s="476"/>
      <c r="J92" s="476"/>
      <c r="K92" s="1696">
        <f t="shared" si="12"/>
        <v>84558</v>
      </c>
      <c r="L92" s="1689">
        <f>SUM(L85:L91)</f>
        <v>82000</v>
      </c>
    </row>
    <row r="93" spans="1:12" ht="14.25" thickTop="1" thickBot="1" x14ac:dyDescent="0.25">
      <c r="A93" s="1532" t="s">
        <v>712</v>
      </c>
      <c r="B93" s="639">
        <v>4310</v>
      </c>
      <c r="C93" s="615"/>
      <c r="D93" s="615"/>
      <c r="E93" s="637"/>
      <c r="F93" s="615"/>
      <c r="G93" s="615"/>
      <c r="H93" s="640">
        <v>0</v>
      </c>
      <c r="I93" s="476"/>
      <c r="J93" s="476"/>
      <c r="K93" s="1696">
        <f t="shared" si="12"/>
        <v>0</v>
      </c>
      <c r="L93" s="530">
        <v>0</v>
      </c>
    </row>
    <row r="94" spans="1:12" ht="12.75" customHeight="1" thickTop="1" thickBot="1" x14ac:dyDescent="0.25">
      <c r="A94" s="1533" t="s">
        <v>713</v>
      </c>
      <c r="B94" s="638">
        <v>4320</v>
      </c>
      <c r="C94" s="615"/>
      <c r="D94" s="615"/>
      <c r="E94" s="637"/>
      <c r="F94" s="615"/>
      <c r="G94" s="615"/>
      <c r="H94" s="467">
        <v>0</v>
      </c>
      <c r="I94" s="476"/>
      <c r="J94" s="476"/>
      <c r="K94" s="1696">
        <f t="shared" si="12"/>
        <v>0</v>
      </c>
      <c r="L94" s="528">
        <v>0</v>
      </c>
    </row>
    <row r="95" spans="1:12" ht="15" customHeight="1" thickTop="1" thickBot="1" x14ac:dyDescent="0.25">
      <c r="A95" s="1533" t="s">
        <v>1568</v>
      </c>
      <c r="B95" s="638">
        <v>4330</v>
      </c>
      <c r="C95" s="615"/>
      <c r="D95" s="615"/>
      <c r="E95" s="637"/>
      <c r="F95" s="615"/>
      <c r="G95" s="615"/>
      <c r="H95" s="467">
        <v>0</v>
      </c>
      <c r="I95" s="476"/>
      <c r="J95" s="476"/>
      <c r="K95" s="1696">
        <f t="shared" si="12"/>
        <v>0</v>
      </c>
      <c r="L95" s="528">
        <v>0</v>
      </c>
    </row>
    <row r="96" spans="1:12" ht="14.25" thickTop="1" thickBot="1" x14ac:dyDescent="0.25">
      <c r="A96" s="1533" t="s">
        <v>714</v>
      </c>
      <c r="B96" s="638">
        <v>4340</v>
      </c>
      <c r="C96" s="615"/>
      <c r="D96" s="615"/>
      <c r="E96" s="637"/>
      <c r="F96" s="615"/>
      <c r="G96" s="615"/>
      <c r="H96" s="467">
        <v>0</v>
      </c>
      <c r="I96" s="476"/>
      <c r="J96" s="476"/>
      <c r="K96" s="1696">
        <f t="shared" si="12"/>
        <v>0</v>
      </c>
      <c r="L96" s="528">
        <v>0</v>
      </c>
    </row>
    <row r="97" spans="1:14" ht="12.75" customHeight="1" thickTop="1" thickBot="1" x14ac:dyDescent="0.25">
      <c r="A97" s="1533" t="s">
        <v>787</v>
      </c>
      <c r="B97" s="638">
        <v>4370</v>
      </c>
      <c r="C97" s="615"/>
      <c r="D97" s="615"/>
      <c r="E97" s="637"/>
      <c r="F97" s="615"/>
      <c r="G97" s="615"/>
      <c r="H97" s="467">
        <v>0</v>
      </c>
      <c r="I97" s="476"/>
      <c r="J97" s="476"/>
      <c r="K97" s="1696">
        <f t="shared" si="12"/>
        <v>0</v>
      </c>
      <c r="L97" s="528">
        <v>0</v>
      </c>
    </row>
    <row r="98" spans="1:14" ht="14.25" thickTop="1" thickBot="1" x14ac:dyDescent="0.25">
      <c r="A98" s="1533" t="s">
        <v>788</v>
      </c>
      <c r="B98" s="638">
        <v>4380</v>
      </c>
      <c r="C98" s="615"/>
      <c r="D98" s="615"/>
      <c r="E98" s="641"/>
      <c r="F98" s="615"/>
      <c r="G98" s="615"/>
      <c r="H98" s="467">
        <v>0</v>
      </c>
      <c r="I98" s="476"/>
      <c r="J98" s="476"/>
      <c r="K98" s="1696">
        <f t="shared" si="12"/>
        <v>0</v>
      </c>
      <c r="L98" s="528">
        <v>0</v>
      </c>
    </row>
    <row r="99" spans="1:14" ht="14.25" thickTop="1" thickBot="1" x14ac:dyDescent="0.25">
      <c r="A99" s="1533"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30"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24248</v>
      </c>
      <c r="F102" s="615"/>
      <c r="G102" s="615"/>
      <c r="H102" s="1696">
        <f>SUM(H84,H92,H100,H101)</f>
        <v>117175</v>
      </c>
      <c r="I102" s="476"/>
      <c r="J102" s="476"/>
      <c r="K102" s="1696">
        <f>SUM(K84,K92,K100,K101)</f>
        <v>141423</v>
      </c>
      <c r="L102" s="1696">
        <f>SUM(L84,L92,L100,L101)</f>
        <v>143120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2777808</v>
      </c>
      <c r="D114" s="1689">
        <f t="shared" ref="D114:K114" si="13">SUM(D33,D74,D75,D102,D112,D113)</f>
        <v>681206</v>
      </c>
      <c r="E114" s="1689">
        <f t="shared" si="13"/>
        <v>441475</v>
      </c>
      <c r="F114" s="1689">
        <f t="shared" si="13"/>
        <v>184632</v>
      </c>
      <c r="G114" s="1689">
        <f t="shared" si="13"/>
        <v>33361</v>
      </c>
      <c r="H114" s="1689">
        <f>SUM(H33,H74,H75,H102,H112,H113)</f>
        <v>320822</v>
      </c>
      <c r="I114" s="1689">
        <f t="shared" si="13"/>
        <v>0</v>
      </c>
      <c r="J114" s="1689">
        <f t="shared" si="13"/>
        <v>0</v>
      </c>
      <c r="K114" s="1689">
        <f t="shared" si="13"/>
        <v>4439304</v>
      </c>
      <c r="L114" s="1689">
        <f>SUM(L33,L74,L75,L102,L112,L113)</f>
        <v>4597832</v>
      </c>
    </row>
    <row r="115" spans="1:14" ht="13.5" thickTop="1" x14ac:dyDescent="0.2">
      <c r="A115" s="2194" t="s">
        <v>1053</v>
      </c>
      <c r="B115" s="2195"/>
      <c r="C115" s="617"/>
      <c r="D115" s="617"/>
      <c r="E115" s="617"/>
      <c r="F115" s="617"/>
      <c r="G115" s="617"/>
      <c r="H115" s="617"/>
      <c r="I115" s="617"/>
      <c r="J115" s="617"/>
      <c r="K115" s="1703">
        <f>'Revenues 9-14'!C275-'Expenditures 15-22'!K114</f>
        <v>505735</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2" t="s">
        <v>314</v>
      </c>
      <c r="B117" s="2173"/>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4" t="s">
        <v>206</v>
      </c>
      <c r="B124" s="613">
        <v>2540</v>
      </c>
      <c r="C124" s="466">
        <v>211629</v>
      </c>
      <c r="D124" s="466">
        <v>72347</v>
      </c>
      <c r="E124" s="466">
        <v>55784</v>
      </c>
      <c r="F124" s="466">
        <v>123108</v>
      </c>
      <c r="G124" s="466">
        <v>12892</v>
      </c>
      <c r="H124" s="466">
        <v>0</v>
      </c>
      <c r="I124" s="467">
        <v>0</v>
      </c>
      <c r="J124" s="467">
        <v>0</v>
      </c>
      <c r="K124" s="1689">
        <f>SUM(C124:J124)</f>
        <v>475760</v>
      </c>
      <c r="L124" s="466">
        <v>524014</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211629</v>
      </c>
      <c r="D127" s="1689">
        <f t="shared" ref="D127:L127" si="14">SUM(D122:D126)</f>
        <v>72347</v>
      </c>
      <c r="E127" s="1689">
        <f t="shared" si="14"/>
        <v>55784</v>
      </c>
      <c r="F127" s="1689">
        <f t="shared" si="14"/>
        <v>123108</v>
      </c>
      <c r="G127" s="1689">
        <f t="shared" si="14"/>
        <v>12892</v>
      </c>
      <c r="H127" s="1689">
        <f t="shared" si="14"/>
        <v>0</v>
      </c>
      <c r="I127" s="1689">
        <f t="shared" si="14"/>
        <v>0</v>
      </c>
      <c r="J127" s="1689">
        <f t="shared" si="14"/>
        <v>0</v>
      </c>
      <c r="K127" s="1689">
        <f t="shared" si="14"/>
        <v>475760</v>
      </c>
      <c r="L127" s="1689">
        <f t="shared" si="14"/>
        <v>524014</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211629</v>
      </c>
      <c r="D129" s="1696">
        <f t="shared" ref="D129:L129" si="15">SUM(D120,D127,D128)</f>
        <v>72347</v>
      </c>
      <c r="E129" s="1696">
        <f t="shared" si="15"/>
        <v>55784</v>
      </c>
      <c r="F129" s="1696">
        <f t="shared" si="15"/>
        <v>123108</v>
      </c>
      <c r="G129" s="1696">
        <f t="shared" si="15"/>
        <v>12892</v>
      </c>
      <c r="H129" s="1696">
        <f t="shared" si="15"/>
        <v>0</v>
      </c>
      <c r="I129" s="1696">
        <f t="shared" si="15"/>
        <v>0</v>
      </c>
      <c r="J129" s="1696">
        <f t="shared" si="15"/>
        <v>0</v>
      </c>
      <c r="K129" s="1696">
        <f t="shared" si="15"/>
        <v>475760</v>
      </c>
      <c r="L129" s="1696">
        <f t="shared" si="15"/>
        <v>524014</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1" t="s">
        <v>1957</v>
      </c>
      <c r="C133" s="468"/>
      <c r="D133" s="468"/>
      <c r="E133" s="640">
        <v>0</v>
      </c>
      <c r="F133" s="468"/>
      <c r="G133" s="468"/>
      <c r="H133" s="640">
        <v>0</v>
      </c>
      <c r="I133" s="468"/>
      <c r="J133" s="468"/>
      <c r="K133" s="1841">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1">
        <f>SUM(E134,H134)</f>
        <v>0</v>
      </c>
      <c r="L134" s="640">
        <v>0</v>
      </c>
    </row>
    <row r="135" spans="1:14" x14ac:dyDescent="0.2">
      <c r="A135" s="1524" t="s">
        <v>721</v>
      </c>
      <c r="B135" s="613">
        <v>4140</v>
      </c>
      <c r="C135" s="615"/>
      <c r="D135" s="615"/>
      <c r="E135" s="467">
        <v>0</v>
      </c>
      <c r="F135" s="615"/>
      <c r="G135" s="615"/>
      <c r="H135" s="466">
        <v>0</v>
      </c>
      <c r="I135" s="476"/>
      <c r="J135" s="615"/>
      <c r="K135" s="1691">
        <f>SUM(E135,H135)</f>
        <v>0</v>
      </c>
      <c r="L135" s="466">
        <v>0</v>
      </c>
    </row>
    <row r="136" spans="1:14" x14ac:dyDescent="0.2">
      <c r="A136" s="1528"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30"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1">
        <f>SUM(H142)</f>
        <v>0</v>
      </c>
      <c r="L142" s="480">
        <v>0</v>
      </c>
    </row>
    <row r="143" spans="1:14" x14ac:dyDescent="0.2">
      <c r="A143" s="1524" t="s">
        <v>90</v>
      </c>
      <c r="B143" s="613">
        <v>5120</v>
      </c>
      <c r="C143" s="615"/>
      <c r="D143" s="615"/>
      <c r="E143" s="615"/>
      <c r="F143" s="615"/>
      <c r="G143" s="615"/>
      <c r="H143" s="466">
        <v>0</v>
      </c>
      <c r="I143" s="468"/>
      <c r="J143" s="615"/>
      <c r="K143" s="1691">
        <f>SUM(H143)</f>
        <v>0</v>
      </c>
      <c r="L143" s="466">
        <v>0</v>
      </c>
    </row>
    <row r="144" spans="1:14" ht="12.75" customHeight="1" x14ac:dyDescent="0.2">
      <c r="A144" s="1524" t="s">
        <v>1232</v>
      </c>
      <c r="B144" s="627" t="s">
        <v>638</v>
      </c>
      <c r="C144" s="615"/>
      <c r="D144" s="615"/>
      <c r="E144" s="615"/>
      <c r="F144" s="615"/>
      <c r="G144" s="615"/>
      <c r="H144" s="466">
        <v>0</v>
      </c>
      <c r="I144" s="468"/>
      <c r="J144" s="615"/>
      <c r="K144" s="1691">
        <f>SUM(H144)</f>
        <v>0</v>
      </c>
      <c r="L144" s="466">
        <v>0</v>
      </c>
    </row>
    <row r="145" spans="1:14" x14ac:dyDescent="0.2">
      <c r="A145" s="1524" t="s">
        <v>91</v>
      </c>
      <c r="B145" s="613" t="s">
        <v>610</v>
      </c>
      <c r="C145" s="615"/>
      <c r="D145" s="615"/>
      <c r="E145" s="615"/>
      <c r="F145" s="615"/>
      <c r="G145" s="615"/>
      <c r="H145" s="466">
        <v>0</v>
      </c>
      <c r="I145" s="468"/>
      <c r="J145" s="615"/>
      <c r="K145" s="1691">
        <f>SUM(H145)</f>
        <v>0</v>
      </c>
      <c r="L145" s="466">
        <v>0</v>
      </c>
    </row>
    <row r="146" spans="1:14" ht="12.75" customHeight="1" x14ac:dyDescent="0.2">
      <c r="A146" s="1524" t="s">
        <v>640</v>
      </c>
      <c r="B146" s="613" t="s">
        <v>639</v>
      </c>
      <c r="C146" s="615"/>
      <c r="D146" s="615"/>
      <c r="E146" s="615"/>
      <c r="F146" s="615"/>
      <c r="G146" s="615"/>
      <c r="H146" s="466">
        <v>0</v>
      </c>
      <c r="I146" s="468"/>
      <c r="J146" s="615"/>
      <c r="K146" s="1691">
        <f>SUM(H146)</f>
        <v>0</v>
      </c>
      <c r="L146" s="466">
        <v>0</v>
      </c>
    </row>
    <row r="147" spans="1:14" ht="12.75" customHeight="1" thickBot="1" x14ac:dyDescent="0.25">
      <c r="A147" s="1535"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7"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4" t="s">
        <v>641</v>
      </c>
      <c r="B151" s="2166"/>
      <c r="C151" s="1689">
        <f>SUM(C129,C130,C139,C149,C150)</f>
        <v>211629</v>
      </c>
      <c r="D151" s="1689">
        <f t="shared" ref="D151:K151" si="16">SUM(D129,D130,D139,D149,D150)</f>
        <v>72347</v>
      </c>
      <c r="E151" s="1689">
        <f t="shared" si="16"/>
        <v>55784</v>
      </c>
      <c r="F151" s="1689">
        <f t="shared" si="16"/>
        <v>123108</v>
      </c>
      <c r="G151" s="1689">
        <f t="shared" si="16"/>
        <v>12892</v>
      </c>
      <c r="H151" s="1689">
        <f t="shared" si="16"/>
        <v>0</v>
      </c>
      <c r="I151" s="1689">
        <f t="shared" si="16"/>
        <v>0</v>
      </c>
      <c r="J151" s="1689">
        <f t="shared" si="16"/>
        <v>0</v>
      </c>
      <c r="K151" s="1689">
        <f t="shared" si="16"/>
        <v>475760</v>
      </c>
      <c r="L151" s="1689">
        <f>SUM(L129,L130,L139,L149,L150)</f>
        <v>524014</v>
      </c>
    </row>
    <row r="152" spans="1:14" ht="12.75" customHeight="1" thickTop="1" x14ac:dyDescent="0.2">
      <c r="A152" s="2187" t="s">
        <v>1240</v>
      </c>
      <c r="B152" s="2188"/>
      <c r="C152" s="617"/>
      <c r="D152" s="617"/>
      <c r="E152" s="617"/>
      <c r="F152" s="617"/>
      <c r="G152" s="617"/>
      <c r="H152" s="617"/>
      <c r="I152" s="617"/>
      <c r="J152" s="615"/>
      <c r="K152" s="1703">
        <f>'Revenues 9-14'!D275-'Expenditures 15-22'!K151</f>
        <v>127932</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2" t="s">
        <v>642</v>
      </c>
      <c r="B154" s="2174"/>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1958</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1957</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1959</v>
      </c>
      <c r="C158" s="615"/>
      <c r="D158" s="615"/>
      <c r="E158" s="615"/>
      <c r="F158" s="615"/>
      <c r="G158" s="615"/>
      <c r="H158" s="467">
        <v>0</v>
      </c>
      <c r="I158" s="615"/>
      <c r="J158" s="615"/>
      <c r="K158" s="1690">
        <f>H158</f>
        <v>0</v>
      </c>
      <c r="L158" s="467">
        <v>0</v>
      </c>
      <c r="M158" s="618"/>
      <c r="N158" s="618"/>
    </row>
    <row r="159" spans="1:14" s="619" customFormat="1" ht="12" x14ac:dyDescent="0.2">
      <c r="A159" s="1846" t="s">
        <v>1960</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1961</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0">
        <f>SUM(C163:J163)</f>
        <v>0</v>
      </c>
      <c r="L163" s="640">
        <v>0</v>
      </c>
    </row>
    <row r="164" spans="1:14" x14ac:dyDescent="0.2">
      <c r="A164" s="1524" t="s">
        <v>90</v>
      </c>
      <c r="B164" s="613">
        <v>5120</v>
      </c>
      <c r="C164" s="615"/>
      <c r="D164" s="615"/>
      <c r="E164" s="615"/>
      <c r="F164" s="615"/>
      <c r="G164" s="615"/>
      <c r="H164" s="466">
        <v>0</v>
      </c>
      <c r="I164" s="615"/>
      <c r="J164" s="615"/>
      <c r="K164" s="1690">
        <f>SUM(C164:J164)</f>
        <v>0</v>
      </c>
      <c r="L164" s="466">
        <v>0</v>
      </c>
    </row>
    <row r="165" spans="1:14" ht="12.75" customHeight="1" x14ac:dyDescent="0.2">
      <c r="A165" s="1524" t="s">
        <v>1232</v>
      </c>
      <c r="B165" s="613" t="s">
        <v>638</v>
      </c>
      <c r="C165" s="615"/>
      <c r="D165" s="615"/>
      <c r="E165" s="615"/>
      <c r="F165" s="615"/>
      <c r="G165" s="615"/>
      <c r="H165" s="466">
        <v>0</v>
      </c>
      <c r="I165" s="615"/>
      <c r="J165" s="615"/>
      <c r="K165" s="1690">
        <f>SUM(C165:J165)</f>
        <v>0</v>
      </c>
      <c r="L165" s="466">
        <v>0</v>
      </c>
    </row>
    <row r="166" spans="1:14" x14ac:dyDescent="0.2">
      <c r="A166" s="1524" t="s">
        <v>91</v>
      </c>
      <c r="B166" s="627" t="s">
        <v>610</v>
      </c>
      <c r="C166" s="615"/>
      <c r="D166" s="615"/>
      <c r="E166" s="615"/>
      <c r="F166" s="615"/>
      <c r="G166" s="615"/>
      <c r="H166" s="466">
        <v>0</v>
      </c>
      <c r="I166" s="615"/>
      <c r="J166" s="615"/>
      <c r="K166" s="1690">
        <f>SUM(C166:J166)</f>
        <v>0</v>
      </c>
      <c r="L166" s="466">
        <v>0</v>
      </c>
    </row>
    <row r="167" spans="1:14" ht="12.75" customHeight="1" x14ac:dyDescent="0.2">
      <c r="A167" s="1524"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300603</v>
      </c>
      <c r="I169" s="615"/>
      <c r="J169" s="615"/>
      <c r="K169" s="1690">
        <f>SUM(C169:H169)</f>
        <v>300603</v>
      </c>
      <c r="L169" s="655">
        <v>300613</v>
      </c>
    </row>
    <row r="170" spans="1:14" ht="33.75" customHeight="1" x14ac:dyDescent="0.2">
      <c r="A170" s="668" t="s">
        <v>1769</v>
      </c>
      <c r="B170" s="670" t="s">
        <v>31</v>
      </c>
      <c r="C170" s="615"/>
      <c r="D170" s="615"/>
      <c r="E170" s="615"/>
      <c r="F170" s="615"/>
      <c r="G170" s="615"/>
      <c r="H170" s="567">
        <v>330000</v>
      </c>
      <c r="I170" s="615"/>
      <c r="J170" s="615"/>
      <c r="K170" s="1690">
        <f>SUM(C170:J170)</f>
        <v>330000</v>
      </c>
      <c r="L170" s="567">
        <v>330000</v>
      </c>
    </row>
    <row r="171" spans="1:14" ht="15.75" customHeight="1" x14ac:dyDescent="0.2">
      <c r="A171" s="620" t="s">
        <v>790</v>
      </c>
      <c r="B171" s="671" t="s">
        <v>86</v>
      </c>
      <c r="C171" s="615"/>
      <c r="D171" s="615"/>
      <c r="E171" s="466">
        <v>800</v>
      </c>
      <c r="F171" s="615"/>
      <c r="G171" s="615"/>
      <c r="H171" s="567">
        <v>0</v>
      </c>
      <c r="I171" s="476"/>
      <c r="J171" s="615"/>
      <c r="K171" s="1690">
        <f>SUM(C171:J171)</f>
        <v>800</v>
      </c>
      <c r="L171" s="567">
        <v>900</v>
      </c>
    </row>
    <row r="172" spans="1:14" ht="12.75" customHeight="1" thickBot="1" x14ac:dyDescent="0.25">
      <c r="A172" s="1687" t="s">
        <v>659</v>
      </c>
      <c r="B172" s="1688" t="s">
        <v>513</v>
      </c>
      <c r="C172" s="615"/>
      <c r="D172" s="615"/>
      <c r="E172" s="1696">
        <f>SUM(E168,E169,E170,E171)</f>
        <v>800</v>
      </c>
      <c r="F172" s="615"/>
      <c r="G172" s="615"/>
      <c r="H172" s="1696">
        <f>SUM(H168,H169,H170,H171)</f>
        <v>630603</v>
      </c>
      <c r="I172" s="637"/>
      <c r="J172" s="615"/>
      <c r="K172" s="1696">
        <f>SUM(K168,K169,K170,K171)</f>
        <v>631403</v>
      </c>
      <c r="L172" s="1696">
        <f>SUM(L168,L169,L170,L171)</f>
        <v>631513</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800</v>
      </c>
      <c r="F174" s="615"/>
      <c r="G174" s="615"/>
      <c r="H174" s="1696">
        <f>SUM(H160,H172,H173)</f>
        <v>630603</v>
      </c>
      <c r="I174" s="637"/>
      <c r="J174" s="615"/>
      <c r="K174" s="1696">
        <f>SUM(K160,K172,K173)</f>
        <v>631403</v>
      </c>
      <c r="L174" s="1696">
        <f>SUM(L160,L172,L173)</f>
        <v>631513</v>
      </c>
    </row>
    <row r="175" spans="1:14" ht="13.5" thickTop="1" x14ac:dyDescent="0.2">
      <c r="A175" s="2194" t="s">
        <v>1053</v>
      </c>
      <c r="B175" s="2195"/>
      <c r="C175" s="615"/>
      <c r="D175" s="615"/>
      <c r="E175" s="615"/>
      <c r="F175" s="615"/>
      <c r="G175" s="615"/>
      <c r="H175" s="617"/>
      <c r="I175" s="615"/>
      <c r="J175" s="615"/>
      <c r="K175" s="1703">
        <f>'Revenues 9-14'!E275-'Expenditures 15-22'!K174</f>
        <v>15489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185366</v>
      </c>
      <c r="D182" s="467">
        <v>28687</v>
      </c>
      <c r="E182" s="467">
        <v>55380</v>
      </c>
      <c r="F182" s="467">
        <v>38859</v>
      </c>
      <c r="G182" s="467">
        <v>0</v>
      </c>
      <c r="H182" s="466">
        <v>4051</v>
      </c>
      <c r="I182" s="467">
        <v>0</v>
      </c>
      <c r="J182" s="467">
        <v>0</v>
      </c>
      <c r="K182" s="1690">
        <f>SUM(C182:J182)</f>
        <v>312343</v>
      </c>
      <c r="L182" s="466">
        <v>325667</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185366</v>
      </c>
      <c r="D184" s="1696">
        <f t="shared" ref="D184:J184" si="17">SUM(D180,D182,D183)</f>
        <v>28687</v>
      </c>
      <c r="E184" s="1696">
        <f t="shared" si="17"/>
        <v>55380</v>
      </c>
      <c r="F184" s="1696">
        <f t="shared" si="17"/>
        <v>38859</v>
      </c>
      <c r="G184" s="1696">
        <f t="shared" si="17"/>
        <v>0</v>
      </c>
      <c r="H184" s="1696">
        <f t="shared" si="17"/>
        <v>4051</v>
      </c>
      <c r="I184" s="1696">
        <f t="shared" si="17"/>
        <v>0</v>
      </c>
      <c r="J184" s="1696">
        <f t="shared" si="17"/>
        <v>0</v>
      </c>
      <c r="K184" s="1696">
        <f>SUM(K180,K182,K183)</f>
        <v>312343</v>
      </c>
      <c r="L184" s="1696">
        <f>SUM(L180, L182:L183)</f>
        <v>325667</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0">
        <f t="shared" ref="K188:K193" si="18">SUM(E188,H188)</f>
        <v>0</v>
      </c>
      <c r="L188" s="466">
        <v>0</v>
      </c>
    </row>
    <row r="189" spans="1:14" x14ac:dyDescent="0.2">
      <c r="A189" s="1524" t="s">
        <v>322</v>
      </c>
      <c r="B189" s="613">
        <v>4120</v>
      </c>
      <c r="C189" s="615"/>
      <c r="D189" s="615"/>
      <c r="E189" s="466">
        <v>0</v>
      </c>
      <c r="F189" s="615"/>
      <c r="G189" s="615"/>
      <c r="H189" s="466">
        <v>0</v>
      </c>
      <c r="I189" s="476"/>
      <c r="J189" s="615"/>
      <c r="K189" s="1690">
        <f t="shared" si="18"/>
        <v>0</v>
      </c>
      <c r="L189" s="466">
        <v>0</v>
      </c>
    </row>
    <row r="190" spans="1:14" x14ac:dyDescent="0.2">
      <c r="A190" s="1524" t="s">
        <v>323</v>
      </c>
      <c r="B190" s="627">
        <v>4130</v>
      </c>
      <c r="C190" s="615"/>
      <c r="D190" s="615"/>
      <c r="E190" s="466">
        <v>0</v>
      </c>
      <c r="F190" s="615"/>
      <c r="G190" s="615"/>
      <c r="H190" s="466">
        <v>0</v>
      </c>
      <c r="I190" s="476"/>
      <c r="J190" s="615"/>
      <c r="K190" s="1690">
        <f t="shared" si="18"/>
        <v>0</v>
      </c>
      <c r="L190" s="466">
        <v>0</v>
      </c>
    </row>
    <row r="191" spans="1:14" x14ac:dyDescent="0.2">
      <c r="A191" s="1524" t="s">
        <v>721</v>
      </c>
      <c r="B191" s="613">
        <v>4140</v>
      </c>
      <c r="C191" s="615"/>
      <c r="D191" s="615"/>
      <c r="E191" s="466">
        <v>0</v>
      </c>
      <c r="F191" s="615"/>
      <c r="G191" s="615"/>
      <c r="H191" s="466">
        <v>0</v>
      </c>
      <c r="I191" s="476"/>
      <c r="J191" s="615"/>
      <c r="K191" s="1690">
        <f t="shared" si="18"/>
        <v>0</v>
      </c>
      <c r="L191" s="466">
        <v>0</v>
      </c>
    </row>
    <row r="192" spans="1:14" x14ac:dyDescent="0.2">
      <c r="A192" s="1524" t="s">
        <v>88</v>
      </c>
      <c r="B192" s="613">
        <v>4170</v>
      </c>
      <c r="C192" s="615"/>
      <c r="D192" s="615"/>
      <c r="E192" s="466">
        <v>0</v>
      </c>
      <c r="F192" s="615"/>
      <c r="G192" s="615"/>
      <c r="H192" s="466">
        <v>0</v>
      </c>
      <c r="I192" s="476"/>
      <c r="J192" s="615"/>
      <c r="K192" s="1690">
        <f t="shared" si="18"/>
        <v>0</v>
      </c>
      <c r="L192" s="466">
        <v>0</v>
      </c>
    </row>
    <row r="193" spans="1:14" x14ac:dyDescent="0.2">
      <c r="A193" s="1528"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0">
        <f>SUM(H199)</f>
        <v>0</v>
      </c>
      <c r="L199" s="466">
        <v>0</v>
      </c>
    </row>
    <row r="200" spans="1:14" x14ac:dyDescent="0.2">
      <c r="A200" s="1524" t="s">
        <v>90</v>
      </c>
      <c r="B200" s="613">
        <v>5120</v>
      </c>
      <c r="C200" s="615"/>
      <c r="D200" s="615"/>
      <c r="E200" s="615"/>
      <c r="F200" s="615"/>
      <c r="G200" s="615"/>
      <c r="H200" s="466">
        <v>0</v>
      </c>
      <c r="I200" s="615"/>
      <c r="J200" s="615"/>
      <c r="K200" s="1690">
        <f>SUM(H200)</f>
        <v>0</v>
      </c>
      <c r="L200" s="466">
        <v>0</v>
      </c>
    </row>
    <row r="201" spans="1:14" ht="12.75" customHeight="1" x14ac:dyDescent="0.2">
      <c r="A201" s="1524" t="s">
        <v>1232</v>
      </c>
      <c r="B201" s="627" t="s">
        <v>638</v>
      </c>
      <c r="C201" s="615"/>
      <c r="D201" s="615"/>
      <c r="E201" s="615"/>
      <c r="F201" s="615"/>
      <c r="G201" s="615"/>
      <c r="H201" s="466">
        <v>0</v>
      </c>
      <c r="I201" s="615"/>
      <c r="J201" s="615"/>
      <c r="K201" s="1690">
        <f>SUM(H201)</f>
        <v>0</v>
      </c>
      <c r="L201" s="466">
        <v>0</v>
      </c>
    </row>
    <row r="202" spans="1:14" x14ac:dyDescent="0.2">
      <c r="A202" s="1524" t="s">
        <v>91</v>
      </c>
      <c r="B202" s="613" t="s">
        <v>610</v>
      </c>
      <c r="C202" s="615"/>
      <c r="D202" s="615"/>
      <c r="E202" s="615"/>
      <c r="F202" s="615"/>
      <c r="G202" s="615"/>
      <c r="H202" s="466">
        <v>0</v>
      </c>
      <c r="I202" s="615"/>
      <c r="J202" s="615"/>
      <c r="K202" s="1690">
        <f>SUM(H202)</f>
        <v>0</v>
      </c>
      <c r="L202" s="466">
        <v>0</v>
      </c>
    </row>
    <row r="203" spans="1:14" x14ac:dyDescent="0.2">
      <c r="A203" s="1536"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185366</v>
      </c>
      <c r="D210" s="1689">
        <f>SUM(D184,D185)</f>
        <v>28687</v>
      </c>
      <c r="E210" s="1689">
        <f>SUM(E184,E185,E196)</f>
        <v>55380</v>
      </c>
      <c r="F210" s="1689">
        <f>SUM(F184,F185)</f>
        <v>38859</v>
      </c>
      <c r="G210" s="1689">
        <f>SUM(G184,G185)</f>
        <v>0</v>
      </c>
      <c r="H210" s="1689">
        <f>SUM(H184,H185,H196,H208,H209)</f>
        <v>4051</v>
      </c>
      <c r="I210" s="1689">
        <f>SUM(I184,I185)</f>
        <v>0</v>
      </c>
      <c r="J210" s="1689">
        <f>SUM(J184,J185)</f>
        <v>0</v>
      </c>
      <c r="K210" s="1690">
        <f>SUM(K184,K185,K196,K208,K209)</f>
        <v>312343</v>
      </c>
      <c r="L210" s="1689">
        <f>SUM(L184,L185,L196,L208,L209)</f>
        <v>325667</v>
      </c>
    </row>
    <row r="211" spans="1:14" ht="13.5" thickTop="1" x14ac:dyDescent="0.2">
      <c r="A211" s="2194" t="s">
        <v>1053</v>
      </c>
      <c r="B211" s="2195"/>
      <c r="C211" s="617"/>
      <c r="D211" s="617"/>
      <c r="E211" s="617"/>
      <c r="F211" s="617"/>
      <c r="G211" s="617"/>
      <c r="H211" s="617"/>
      <c r="I211" s="615"/>
      <c r="J211" s="615"/>
      <c r="K211" s="1703">
        <f>'Revenues 9-14'!F275-'Expenditures 15-22'!K210</f>
        <v>111465</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89" t="s">
        <v>1022</v>
      </c>
      <c r="B213" s="2190"/>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19332</v>
      </c>
      <c r="E215" s="615"/>
      <c r="F215" s="615"/>
      <c r="G215" s="615"/>
      <c r="H215" s="615"/>
      <c r="I215" s="615"/>
      <c r="J215" s="615"/>
      <c r="K215" s="1690">
        <f>D215</f>
        <v>19332</v>
      </c>
      <c r="L215" s="466">
        <v>28090</v>
      </c>
    </row>
    <row r="216" spans="1:14" x14ac:dyDescent="0.2">
      <c r="A216" s="1524" t="s">
        <v>165</v>
      </c>
      <c r="B216" s="613" t="s">
        <v>1024</v>
      </c>
      <c r="C216" s="615"/>
      <c r="D216" s="467">
        <v>5186</v>
      </c>
      <c r="E216" s="615"/>
      <c r="F216" s="615"/>
      <c r="G216" s="615"/>
      <c r="H216" s="615"/>
      <c r="I216" s="615"/>
      <c r="J216" s="615"/>
      <c r="K216" s="1690">
        <f t="shared" ref="K216:K228" si="19">D216</f>
        <v>5186</v>
      </c>
      <c r="L216" s="466">
        <v>3400</v>
      </c>
    </row>
    <row r="217" spans="1:14" x14ac:dyDescent="0.2">
      <c r="A217" s="1524" t="s">
        <v>166</v>
      </c>
      <c r="B217" s="613">
        <v>1200</v>
      </c>
      <c r="C217" s="615"/>
      <c r="D217" s="466">
        <v>17239</v>
      </c>
      <c r="E217" s="615"/>
      <c r="F217" s="615"/>
      <c r="G217" s="615"/>
      <c r="H217" s="615"/>
      <c r="I217" s="615"/>
      <c r="J217" s="615"/>
      <c r="K217" s="1690">
        <f t="shared" si="19"/>
        <v>17239</v>
      </c>
      <c r="L217" s="466">
        <v>22150</v>
      </c>
    </row>
    <row r="218" spans="1:14" x14ac:dyDescent="0.2">
      <c r="A218" s="1524" t="s">
        <v>296</v>
      </c>
      <c r="B218" s="613" t="s">
        <v>1025</v>
      </c>
      <c r="C218" s="615"/>
      <c r="D218" s="467">
        <v>0</v>
      </c>
      <c r="E218" s="615"/>
      <c r="F218" s="615"/>
      <c r="G218" s="615"/>
      <c r="H218" s="615"/>
      <c r="I218" s="615"/>
      <c r="J218" s="615"/>
      <c r="K218" s="1690">
        <f t="shared" si="19"/>
        <v>0</v>
      </c>
      <c r="L218" s="466">
        <v>0</v>
      </c>
    </row>
    <row r="219" spans="1:14" x14ac:dyDescent="0.2">
      <c r="A219" s="1524" t="s">
        <v>297</v>
      </c>
      <c r="B219" s="613">
        <v>1250</v>
      </c>
      <c r="C219" s="615"/>
      <c r="D219" s="466">
        <v>3594</v>
      </c>
      <c r="E219" s="615"/>
      <c r="F219" s="615"/>
      <c r="G219" s="615"/>
      <c r="H219" s="615"/>
      <c r="I219" s="615"/>
      <c r="J219" s="615"/>
      <c r="K219" s="1690">
        <f t="shared" si="19"/>
        <v>3594</v>
      </c>
      <c r="L219" s="466">
        <v>3990</v>
      </c>
    </row>
    <row r="220" spans="1:14" x14ac:dyDescent="0.2">
      <c r="A220" s="1524" t="s">
        <v>298</v>
      </c>
      <c r="B220" s="613" t="s">
        <v>163</v>
      </c>
      <c r="C220" s="615"/>
      <c r="D220" s="467">
        <v>0</v>
      </c>
      <c r="E220" s="615"/>
      <c r="F220" s="615"/>
      <c r="G220" s="615"/>
      <c r="H220" s="615"/>
      <c r="I220" s="615"/>
      <c r="J220" s="615"/>
      <c r="K220" s="1690">
        <f t="shared" si="19"/>
        <v>0</v>
      </c>
      <c r="L220" s="466">
        <v>0</v>
      </c>
    </row>
    <row r="221" spans="1:14" x14ac:dyDescent="0.2">
      <c r="A221" s="1524" t="s">
        <v>1019</v>
      </c>
      <c r="B221" s="613">
        <v>1300</v>
      </c>
      <c r="C221" s="615"/>
      <c r="D221" s="466">
        <v>0</v>
      </c>
      <c r="E221" s="615"/>
      <c r="F221" s="615"/>
      <c r="G221" s="615"/>
      <c r="H221" s="615"/>
      <c r="I221" s="615"/>
      <c r="J221" s="615"/>
      <c r="K221" s="1690">
        <f t="shared" si="19"/>
        <v>0</v>
      </c>
      <c r="L221" s="466">
        <v>0</v>
      </c>
    </row>
    <row r="222" spans="1:14" x14ac:dyDescent="0.2">
      <c r="A222" s="1524" t="s">
        <v>747</v>
      </c>
      <c r="B222" s="613">
        <v>1400</v>
      </c>
      <c r="C222" s="615"/>
      <c r="D222" s="466">
        <v>564</v>
      </c>
      <c r="E222" s="615"/>
      <c r="F222" s="615"/>
      <c r="G222" s="615"/>
      <c r="H222" s="615"/>
      <c r="I222" s="615"/>
      <c r="J222" s="615"/>
      <c r="K222" s="1690">
        <f t="shared" si="19"/>
        <v>564</v>
      </c>
      <c r="L222" s="466">
        <v>600</v>
      </c>
    </row>
    <row r="223" spans="1:14" x14ac:dyDescent="0.2">
      <c r="A223" s="1524" t="s">
        <v>1020</v>
      </c>
      <c r="B223" s="613">
        <v>1500</v>
      </c>
      <c r="C223" s="615"/>
      <c r="D223" s="466">
        <v>11018</v>
      </c>
      <c r="E223" s="615"/>
      <c r="F223" s="615"/>
      <c r="G223" s="615"/>
      <c r="H223" s="615"/>
      <c r="I223" s="615"/>
      <c r="J223" s="615"/>
      <c r="K223" s="1690">
        <f t="shared" si="19"/>
        <v>11018</v>
      </c>
      <c r="L223" s="466">
        <v>10770</v>
      </c>
    </row>
    <row r="224" spans="1:14" x14ac:dyDescent="0.2">
      <c r="A224" s="1524" t="s">
        <v>1021</v>
      </c>
      <c r="B224" s="613">
        <v>1600</v>
      </c>
      <c r="C224" s="615"/>
      <c r="D224" s="466">
        <v>31</v>
      </c>
      <c r="E224" s="615"/>
      <c r="F224" s="615"/>
      <c r="G224" s="615"/>
      <c r="H224" s="615"/>
      <c r="I224" s="615"/>
      <c r="J224" s="615"/>
      <c r="K224" s="1690">
        <f t="shared" si="19"/>
        <v>31</v>
      </c>
      <c r="L224" s="466">
        <v>0</v>
      </c>
    </row>
    <row r="225" spans="1:12" x14ac:dyDescent="0.2">
      <c r="A225" s="1524" t="s">
        <v>1044</v>
      </c>
      <c r="B225" s="613">
        <v>1650</v>
      </c>
      <c r="C225" s="615"/>
      <c r="D225" s="466">
        <v>0</v>
      </c>
      <c r="E225" s="615"/>
      <c r="F225" s="615"/>
      <c r="G225" s="615"/>
      <c r="H225" s="615"/>
      <c r="I225" s="615"/>
      <c r="J225" s="615"/>
      <c r="K225" s="1690">
        <f t="shared" si="19"/>
        <v>0</v>
      </c>
      <c r="L225" s="466">
        <v>0</v>
      </c>
    </row>
    <row r="226" spans="1:12" x14ac:dyDescent="0.2">
      <c r="A226" s="1524" t="s">
        <v>748</v>
      </c>
      <c r="B226" s="613" t="s">
        <v>164</v>
      </c>
      <c r="C226" s="615"/>
      <c r="D226" s="467">
        <v>47</v>
      </c>
      <c r="E226" s="615"/>
      <c r="F226" s="615"/>
      <c r="G226" s="615"/>
      <c r="H226" s="615"/>
      <c r="I226" s="615"/>
      <c r="J226" s="615"/>
      <c r="K226" s="1690">
        <f t="shared" si="19"/>
        <v>47</v>
      </c>
      <c r="L226" s="466">
        <v>80</v>
      </c>
    </row>
    <row r="227" spans="1:12" x14ac:dyDescent="0.2">
      <c r="A227" s="1524" t="s">
        <v>1148</v>
      </c>
      <c r="B227" s="613">
        <v>1800</v>
      </c>
      <c r="C227" s="615"/>
      <c r="D227" s="466">
        <v>0</v>
      </c>
      <c r="E227" s="615"/>
      <c r="F227" s="615"/>
      <c r="G227" s="615"/>
      <c r="H227" s="615"/>
      <c r="I227" s="615"/>
      <c r="J227" s="615"/>
      <c r="K227" s="1690">
        <f t="shared" si="19"/>
        <v>0</v>
      </c>
      <c r="L227" s="466">
        <v>0</v>
      </c>
    </row>
    <row r="228" spans="1:12" x14ac:dyDescent="0.2">
      <c r="A228" s="1524"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57011</v>
      </c>
      <c r="E229" s="615"/>
      <c r="F229" s="615"/>
      <c r="G229" s="615"/>
      <c r="H229" s="615"/>
      <c r="I229" s="615"/>
      <c r="J229" s="615"/>
      <c r="K229" s="1689">
        <f>SUM(K215:K228)</f>
        <v>57011</v>
      </c>
      <c r="L229" s="1689">
        <f>SUM(L215:L228)</f>
        <v>69080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424</v>
      </c>
      <c r="E232" s="615"/>
      <c r="F232" s="615"/>
      <c r="G232" s="615"/>
      <c r="H232" s="615"/>
      <c r="I232" s="615"/>
      <c r="J232" s="615"/>
      <c r="K232" s="1690">
        <f t="shared" ref="K232:K237" si="20">D232</f>
        <v>424</v>
      </c>
      <c r="L232" s="466">
        <v>0</v>
      </c>
    </row>
    <row r="233" spans="1:12" x14ac:dyDescent="0.2">
      <c r="A233" s="1524" t="s">
        <v>1151</v>
      </c>
      <c r="B233" s="613">
        <v>2120</v>
      </c>
      <c r="C233" s="615"/>
      <c r="D233" s="466">
        <v>1320</v>
      </c>
      <c r="E233" s="615"/>
      <c r="F233" s="615"/>
      <c r="G233" s="615"/>
      <c r="H233" s="615"/>
      <c r="I233" s="615"/>
      <c r="J233" s="615"/>
      <c r="K233" s="1690">
        <f t="shared" si="20"/>
        <v>1320</v>
      </c>
      <c r="L233" s="466">
        <v>1420</v>
      </c>
    </row>
    <row r="234" spans="1:12" x14ac:dyDescent="0.2">
      <c r="A234" s="1524" t="s">
        <v>207</v>
      </c>
      <c r="B234" s="613">
        <v>2130</v>
      </c>
      <c r="C234" s="615"/>
      <c r="D234" s="466">
        <v>6776</v>
      </c>
      <c r="E234" s="615"/>
      <c r="F234" s="615"/>
      <c r="G234" s="615"/>
      <c r="H234" s="615"/>
      <c r="I234" s="615"/>
      <c r="J234" s="615"/>
      <c r="K234" s="1690">
        <f t="shared" si="20"/>
        <v>6776</v>
      </c>
      <c r="L234" s="466">
        <v>6800</v>
      </c>
    </row>
    <row r="235" spans="1:12" x14ac:dyDescent="0.2">
      <c r="A235" s="1524" t="s">
        <v>208</v>
      </c>
      <c r="B235" s="613">
        <v>2140</v>
      </c>
      <c r="C235" s="615"/>
      <c r="D235" s="466">
        <v>0</v>
      </c>
      <c r="E235" s="615"/>
      <c r="F235" s="615"/>
      <c r="G235" s="615"/>
      <c r="H235" s="615"/>
      <c r="I235" s="615"/>
      <c r="J235" s="615"/>
      <c r="K235" s="1690">
        <f t="shared" si="20"/>
        <v>0</v>
      </c>
      <c r="L235" s="466">
        <v>0</v>
      </c>
    </row>
    <row r="236" spans="1:12" x14ac:dyDescent="0.2">
      <c r="A236" s="1524" t="s">
        <v>209</v>
      </c>
      <c r="B236" s="613">
        <v>2150</v>
      </c>
      <c r="C236" s="615"/>
      <c r="D236" s="466">
        <v>0</v>
      </c>
      <c r="E236" s="615"/>
      <c r="F236" s="615"/>
      <c r="G236" s="615"/>
      <c r="H236" s="615"/>
      <c r="I236" s="615"/>
      <c r="J236" s="615"/>
      <c r="K236" s="1690">
        <f t="shared" si="20"/>
        <v>0</v>
      </c>
      <c r="L236" s="466">
        <v>0</v>
      </c>
    </row>
    <row r="237" spans="1:12" x14ac:dyDescent="0.2">
      <c r="A237" s="1524"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8520</v>
      </c>
      <c r="E238" s="615"/>
      <c r="F238" s="615"/>
      <c r="G238" s="615"/>
      <c r="H238" s="615"/>
      <c r="I238" s="615"/>
      <c r="J238" s="615"/>
      <c r="K238" s="1689">
        <f>SUM(K232:K237)</f>
        <v>8520</v>
      </c>
      <c r="L238" s="1689">
        <f>SUM(L232:L237)</f>
        <v>8220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140</v>
      </c>
      <c r="E240" s="615"/>
      <c r="F240" s="615"/>
      <c r="G240" s="615"/>
      <c r="H240" s="615"/>
      <c r="I240" s="615"/>
      <c r="J240" s="615"/>
      <c r="K240" s="1691">
        <f>D240</f>
        <v>140</v>
      </c>
      <c r="L240" s="480">
        <v>25</v>
      </c>
    </row>
    <row r="241" spans="1:12" x14ac:dyDescent="0.2">
      <c r="A241" s="1524" t="s">
        <v>869</v>
      </c>
      <c r="B241" s="613">
        <v>2220</v>
      </c>
      <c r="C241" s="615"/>
      <c r="D241" s="466">
        <v>5994</v>
      </c>
      <c r="E241" s="615"/>
      <c r="F241" s="615"/>
      <c r="G241" s="615"/>
      <c r="H241" s="615"/>
      <c r="I241" s="615"/>
      <c r="J241" s="615"/>
      <c r="K241" s="1691">
        <f>D241</f>
        <v>5994</v>
      </c>
      <c r="L241" s="466">
        <v>6100</v>
      </c>
    </row>
    <row r="242" spans="1:12" x14ac:dyDescent="0.2">
      <c r="A242" s="1524"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6134</v>
      </c>
      <c r="E243" s="615"/>
      <c r="F243" s="615"/>
      <c r="G243" s="615"/>
      <c r="H243" s="615"/>
      <c r="I243" s="615"/>
      <c r="J243" s="615"/>
      <c r="K243" s="1689">
        <f>SUM(K240:K242)</f>
        <v>6134</v>
      </c>
      <c r="L243" s="1689">
        <f>SUM(L240:L242)</f>
        <v>6125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1">
        <f>D245</f>
        <v>0</v>
      </c>
      <c r="L245" s="480">
        <v>215</v>
      </c>
    </row>
    <row r="246" spans="1:12" x14ac:dyDescent="0.2">
      <c r="A246" s="1524" t="s">
        <v>872</v>
      </c>
      <c r="B246" s="613">
        <v>2320</v>
      </c>
      <c r="C246" s="615"/>
      <c r="D246" s="466">
        <v>10407</v>
      </c>
      <c r="E246" s="615"/>
      <c r="F246" s="615"/>
      <c r="G246" s="615"/>
      <c r="H246" s="615"/>
      <c r="I246" s="615"/>
      <c r="J246" s="615"/>
      <c r="K246" s="1691">
        <f t="shared" ref="K246:K256" si="21">D246</f>
        <v>10407</v>
      </c>
      <c r="L246" s="466">
        <v>11200</v>
      </c>
    </row>
    <row r="247" spans="1:12" x14ac:dyDescent="0.2">
      <c r="A247" s="1524" t="s">
        <v>873</v>
      </c>
      <c r="B247" s="613">
        <v>2330</v>
      </c>
      <c r="C247" s="615"/>
      <c r="D247" s="466">
        <v>2680</v>
      </c>
      <c r="E247" s="615"/>
      <c r="F247" s="615"/>
      <c r="G247" s="615"/>
      <c r="H247" s="615"/>
      <c r="I247" s="615"/>
      <c r="J247" s="615"/>
      <c r="K247" s="1691">
        <f t="shared" si="21"/>
        <v>2680</v>
      </c>
      <c r="L247" s="466">
        <v>0</v>
      </c>
    </row>
    <row r="248" spans="1:12" x14ac:dyDescent="0.2">
      <c r="A248" s="1525" t="s">
        <v>317</v>
      </c>
      <c r="B248" s="601" t="s">
        <v>299</v>
      </c>
      <c r="C248" s="615"/>
      <c r="D248" s="474">
        <v>0</v>
      </c>
      <c r="E248" s="615"/>
      <c r="F248" s="615"/>
      <c r="G248" s="615"/>
      <c r="H248" s="615"/>
      <c r="I248" s="615"/>
      <c r="J248" s="615"/>
      <c r="K248" s="1691">
        <f t="shared" si="21"/>
        <v>0</v>
      </c>
      <c r="L248" s="466">
        <v>0</v>
      </c>
    </row>
    <row r="249" spans="1:12" x14ac:dyDescent="0.2">
      <c r="A249" s="1526" t="s">
        <v>1908</v>
      </c>
      <c r="B249" s="682" t="s">
        <v>300</v>
      </c>
      <c r="C249" s="615"/>
      <c r="D249" s="474">
        <v>0</v>
      </c>
      <c r="E249" s="615"/>
      <c r="F249" s="615"/>
      <c r="G249" s="615"/>
      <c r="H249" s="615"/>
      <c r="I249" s="615"/>
      <c r="J249" s="615"/>
      <c r="K249" s="1691">
        <f t="shared" si="21"/>
        <v>0</v>
      </c>
      <c r="L249" s="466">
        <v>0</v>
      </c>
    </row>
    <row r="250" spans="1:12" x14ac:dyDescent="0.2">
      <c r="A250" s="1525" t="s">
        <v>1909</v>
      </c>
      <c r="B250" s="601" t="s">
        <v>301</v>
      </c>
      <c r="C250" s="615"/>
      <c r="D250" s="474">
        <v>0</v>
      </c>
      <c r="E250" s="615"/>
      <c r="F250" s="615"/>
      <c r="G250" s="615"/>
      <c r="H250" s="615"/>
      <c r="I250" s="615"/>
      <c r="J250" s="615"/>
      <c r="K250" s="1691">
        <f t="shared" si="21"/>
        <v>0</v>
      </c>
      <c r="L250" s="466">
        <v>0</v>
      </c>
    </row>
    <row r="251" spans="1:12" x14ac:dyDescent="0.2">
      <c r="A251" s="1525" t="s">
        <v>256</v>
      </c>
      <c r="B251" s="601" t="s">
        <v>302</v>
      </c>
      <c r="C251" s="615"/>
      <c r="D251" s="474">
        <v>0</v>
      </c>
      <c r="E251" s="615"/>
      <c r="F251" s="615"/>
      <c r="G251" s="615"/>
      <c r="H251" s="615"/>
      <c r="I251" s="615"/>
      <c r="J251" s="615"/>
      <c r="K251" s="1691">
        <f t="shared" si="21"/>
        <v>0</v>
      </c>
      <c r="L251" s="466">
        <v>0</v>
      </c>
    </row>
    <row r="252" spans="1:12" x14ac:dyDescent="0.2">
      <c r="A252" s="1525" t="s">
        <v>726</v>
      </c>
      <c r="B252" s="601" t="s">
        <v>303</v>
      </c>
      <c r="C252" s="615"/>
      <c r="D252" s="474">
        <v>0</v>
      </c>
      <c r="E252" s="615"/>
      <c r="F252" s="615"/>
      <c r="G252" s="615"/>
      <c r="H252" s="615"/>
      <c r="I252" s="615"/>
      <c r="J252" s="615"/>
      <c r="K252" s="1691">
        <f t="shared" si="21"/>
        <v>0</v>
      </c>
      <c r="L252" s="466">
        <v>0</v>
      </c>
    </row>
    <row r="253" spans="1:12" x14ac:dyDescent="0.2">
      <c r="A253" s="1525" t="s">
        <v>257</v>
      </c>
      <c r="B253" s="601" t="s">
        <v>304</v>
      </c>
      <c r="C253" s="615"/>
      <c r="D253" s="474">
        <v>0</v>
      </c>
      <c r="E253" s="615"/>
      <c r="F253" s="615"/>
      <c r="G253" s="615"/>
      <c r="H253" s="615"/>
      <c r="I253" s="615"/>
      <c r="J253" s="615"/>
      <c r="K253" s="1691">
        <f t="shared" si="21"/>
        <v>0</v>
      </c>
      <c r="L253" s="466">
        <v>0</v>
      </c>
    </row>
    <row r="254" spans="1:12" ht="22.5" x14ac:dyDescent="0.2">
      <c r="A254" s="1525" t="s">
        <v>1087</v>
      </c>
      <c r="B254" s="682" t="s">
        <v>305</v>
      </c>
      <c r="C254" s="615"/>
      <c r="D254" s="474">
        <v>2398</v>
      </c>
      <c r="E254" s="615"/>
      <c r="F254" s="615"/>
      <c r="G254" s="615"/>
      <c r="H254" s="615"/>
      <c r="I254" s="615"/>
      <c r="J254" s="615"/>
      <c r="K254" s="1691">
        <f t="shared" si="21"/>
        <v>2398</v>
      </c>
      <c r="L254" s="466">
        <v>2300</v>
      </c>
    </row>
    <row r="255" spans="1:12" x14ac:dyDescent="0.2">
      <c r="A255" s="1525" t="s">
        <v>1088</v>
      </c>
      <c r="B255" s="601" t="s">
        <v>306</v>
      </c>
      <c r="C255" s="615"/>
      <c r="D255" s="474">
        <v>0</v>
      </c>
      <c r="E255" s="615"/>
      <c r="F255" s="615"/>
      <c r="G255" s="615"/>
      <c r="H255" s="615"/>
      <c r="I255" s="615"/>
      <c r="J255" s="615"/>
      <c r="K255" s="1691">
        <f t="shared" si="21"/>
        <v>0</v>
      </c>
      <c r="L255" s="466">
        <v>0</v>
      </c>
    </row>
    <row r="256" spans="1:12" x14ac:dyDescent="0.2">
      <c r="A256" s="1525"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15485</v>
      </c>
      <c r="E257" s="615"/>
      <c r="F257" s="615"/>
      <c r="G257" s="615"/>
      <c r="H257" s="615"/>
      <c r="I257" s="615"/>
      <c r="J257" s="615"/>
      <c r="K257" s="1689">
        <f>SUM(K245:K256)</f>
        <v>15485</v>
      </c>
      <c r="L257" s="1689">
        <f>SUM(L245:L256)</f>
        <v>13715</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10570</v>
      </c>
      <c r="E259" s="615"/>
      <c r="F259" s="615"/>
      <c r="G259" s="615"/>
      <c r="H259" s="615"/>
      <c r="I259" s="615"/>
      <c r="J259" s="615"/>
      <c r="K259" s="1691">
        <f>D259</f>
        <v>10570</v>
      </c>
      <c r="L259" s="480">
        <v>12420</v>
      </c>
    </row>
    <row r="260" spans="1:14" s="596" customFormat="1" x14ac:dyDescent="0.2">
      <c r="A260" s="1542" t="s">
        <v>1907</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10570</v>
      </c>
      <c r="E261" s="615"/>
      <c r="F261" s="615"/>
      <c r="G261" s="615"/>
      <c r="H261" s="615"/>
      <c r="I261" s="615"/>
      <c r="J261" s="615"/>
      <c r="K261" s="1689">
        <f>SUM(K259:K260)</f>
        <v>10570</v>
      </c>
      <c r="L261" s="1689">
        <f>SUM(L259:L260)</f>
        <v>12420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1">
        <f>D263</f>
        <v>0</v>
      </c>
      <c r="L263" s="480">
        <v>0</v>
      </c>
    </row>
    <row r="264" spans="1:14" x14ac:dyDescent="0.2">
      <c r="A264" s="1524" t="s">
        <v>483</v>
      </c>
      <c r="B264" s="684">
        <v>2520</v>
      </c>
      <c r="C264" s="615"/>
      <c r="D264" s="466">
        <v>7796</v>
      </c>
      <c r="E264" s="615"/>
      <c r="F264" s="615"/>
      <c r="G264" s="615"/>
      <c r="H264" s="615"/>
      <c r="I264" s="615"/>
      <c r="J264" s="615"/>
      <c r="K264" s="1691">
        <f t="shared" ref="K264:K269" si="22">D264</f>
        <v>7796</v>
      </c>
      <c r="L264" s="466">
        <v>7900</v>
      </c>
    </row>
    <row r="265" spans="1:14" x14ac:dyDescent="0.2">
      <c r="A265" s="1524" t="s">
        <v>4</v>
      </c>
      <c r="B265" s="613">
        <v>2530</v>
      </c>
      <c r="C265" s="615"/>
      <c r="D265" s="466">
        <v>0</v>
      </c>
      <c r="E265" s="615"/>
      <c r="F265" s="615"/>
      <c r="G265" s="615"/>
      <c r="H265" s="615"/>
      <c r="I265" s="615"/>
      <c r="J265" s="615"/>
      <c r="K265" s="1691">
        <f t="shared" si="22"/>
        <v>0</v>
      </c>
      <c r="L265" s="466">
        <v>0</v>
      </c>
    </row>
    <row r="266" spans="1:14" x14ac:dyDescent="0.2">
      <c r="A266" s="1524" t="s">
        <v>206</v>
      </c>
      <c r="B266" s="613">
        <v>2540</v>
      </c>
      <c r="C266" s="615"/>
      <c r="D266" s="466">
        <v>37562</v>
      </c>
      <c r="E266" s="615"/>
      <c r="F266" s="615"/>
      <c r="G266" s="615"/>
      <c r="H266" s="615"/>
      <c r="I266" s="615"/>
      <c r="J266" s="615"/>
      <c r="K266" s="1691">
        <f t="shared" si="22"/>
        <v>37562</v>
      </c>
      <c r="L266" s="466">
        <v>40800</v>
      </c>
    </row>
    <row r="267" spans="1:14" x14ac:dyDescent="0.2">
      <c r="A267" s="1524" t="s">
        <v>1010</v>
      </c>
      <c r="B267" s="613">
        <v>2550</v>
      </c>
      <c r="C267" s="615"/>
      <c r="D267" s="466">
        <v>31840</v>
      </c>
      <c r="E267" s="615"/>
      <c r="F267" s="615"/>
      <c r="G267" s="615"/>
      <c r="H267" s="615"/>
      <c r="I267" s="615"/>
      <c r="J267" s="615"/>
      <c r="K267" s="1691">
        <f t="shared" si="22"/>
        <v>31840</v>
      </c>
      <c r="L267" s="466">
        <v>32850</v>
      </c>
    </row>
    <row r="268" spans="1:14" x14ac:dyDescent="0.2">
      <c r="A268" s="1524" t="s">
        <v>102</v>
      </c>
      <c r="B268" s="613">
        <v>2560</v>
      </c>
      <c r="C268" s="615"/>
      <c r="D268" s="466">
        <v>13403</v>
      </c>
      <c r="E268" s="615"/>
      <c r="F268" s="615"/>
      <c r="G268" s="615"/>
      <c r="H268" s="615"/>
      <c r="I268" s="615"/>
      <c r="J268" s="615"/>
      <c r="K268" s="1691">
        <f t="shared" si="22"/>
        <v>13403</v>
      </c>
      <c r="L268" s="466">
        <v>13600</v>
      </c>
    </row>
    <row r="269" spans="1:14" x14ac:dyDescent="0.2">
      <c r="A269" s="1524"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90601</v>
      </c>
      <c r="E270" s="615"/>
      <c r="F270" s="615"/>
      <c r="G270" s="615"/>
      <c r="H270" s="615"/>
      <c r="I270" s="615"/>
      <c r="J270" s="615"/>
      <c r="K270" s="1689">
        <f>SUM(K263:K269)</f>
        <v>90601</v>
      </c>
      <c r="L270" s="1689">
        <f>SUM(L263:L269)</f>
        <v>95150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1">
        <f>D272</f>
        <v>0</v>
      </c>
      <c r="L272" s="480">
        <v>0</v>
      </c>
    </row>
    <row r="273" spans="1:12" x14ac:dyDescent="0.2">
      <c r="A273" s="1524" t="s">
        <v>628</v>
      </c>
      <c r="B273" s="627">
        <v>2620</v>
      </c>
      <c r="C273" s="615"/>
      <c r="D273" s="466">
        <v>0</v>
      </c>
      <c r="E273" s="615"/>
      <c r="F273" s="615"/>
      <c r="G273" s="615"/>
      <c r="H273" s="615"/>
      <c r="I273" s="615"/>
      <c r="J273" s="615"/>
      <c r="K273" s="1691">
        <f>D273</f>
        <v>0</v>
      </c>
      <c r="L273" s="466">
        <v>0</v>
      </c>
    </row>
    <row r="274" spans="1:12" ht="12" customHeight="1" x14ac:dyDescent="0.2">
      <c r="A274" s="1524" t="s">
        <v>1121</v>
      </c>
      <c r="B274" s="613">
        <v>2630</v>
      </c>
      <c r="C274" s="615"/>
      <c r="D274" s="466">
        <v>0</v>
      </c>
      <c r="E274" s="615"/>
      <c r="F274" s="615"/>
      <c r="G274" s="615"/>
      <c r="H274" s="615"/>
      <c r="I274" s="615"/>
      <c r="J274" s="615"/>
      <c r="K274" s="1691">
        <f>D274</f>
        <v>0</v>
      </c>
      <c r="L274" s="466">
        <v>0</v>
      </c>
    </row>
    <row r="275" spans="1:12" x14ac:dyDescent="0.2">
      <c r="A275" s="1524" t="s">
        <v>423</v>
      </c>
      <c r="B275" s="613">
        <v>2640</v>
      </c>
      <c r="C275" s="615"/>
      <c r="D275" s="466">
        <v>0</v>
      </c>
      <c r="E275" s="615"/>
      <c r="F275" s="615"/>
      <c r="G275" s="615"/>
      <c r="H275" s="615"/>
      <c r="I275" s="615"/>
      <c r="J275" s="615"/>
      <c r="K275" s="1691">
        <f>D275</f>
        <v>0</v>
      </c>
      <c r="L275" s="466">
        <v>0</v>
      </c>
    </row>
    <row r="276" spans="1:12" x14ac:dyDescent="0.2">
      <c r="A276" s="1524" t="s">
        <v>424</v>
      </c>
      <c r="B276" s="613">
        <v>2660</v>
      </c>
      <c r="C276" s="615"/>
      <c r="D276" s="466">
        <v>8369</v>
      </c>
      <c r="E276" s="615"/>
      <c r="F276" s="615"/>
      <c r="G276" s="615"/>
      <c r="H276" s="615"/>
      <c r="I276" s="615"/>
      <c r="J276" s="615"/>
      <c r="K276" s="1691">
        <f>D276</f>
        <v>8369</v>
      </c>
      <c r="L276" s="466">
        <v>8400</v>
      </c>
    </row>
    <row r="277" spans="1:12" ht="12.75" customHeight="1" thickBot="1" x14ac:dyDescent="0.25">
      <c r="A277" s="1710" t="s">
        <v>37</v>
      </c>
      <c r="B277" s="1688" t="s">
        <v>36</v>
      </c>
      <c r="C277" s="615"/>
      <c r="D277" s="1689">
        <f>SUM(D272:D276)</f>
        <v>8369</v>
      </c>
      <c r="E277" s="615"/>
      <c r="F277" s="615"/>
      <c r="G277" s="615"/>
      <c r="H277" s="615"/>
      <c r="I277" s="615"/>
      <c r="J277" s="615"/>
      <c r="K277" s="1689">
        <f>SUM(K272:K276)</f>
        <v>8369</v>
      </c>
      <c r="L277" s="1689">
        <f>SUM(L272:L276)</f>
        <v>8400</v>
      </c>
    </row>
    <row r="278" spans="1:12" ht="13.5" customHeight="1" thickTop="1" x14ac:dyDescent="0.2">
      <c r="A278" s="1530"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139679</v>
      </c>
      <c r="E279" s="615"/>
      <c r="F279" s="615"/>
      <c r="G279" s="615"/>
      <c r="H279" s="615"/>
      <c r="I279" s="615"/>
      <c r="J279" s="615"/>
      <c r="K279" s="1696">
        <f>SUM(K238,K243,K257,K261,K270,K277,K278)</f>
        <v>139679</v>
      </c>
      <c r="L279" s="1696">
        <f>SUM(L238,L243,L257,L261,L270,L277,L278)</f>
        <v>144030</v>
      </c>
    </row>
    <row r="280" spans="1:12" ht="15.75" customHeight="1" thickTop="1" thickBot="1" x14ac:dyDescent="0.25">
      <c r="A280" s="1644" t="s">
        <v>930</v>
      </c>
      <c r="B280" s="1633">
        <v>3000</v>
      </c>
      <c r="C280" s="615"/>
      <c r="D280" s="574">
        <v>0</v>
      </c>
      <c r="E280" s="615"/>
      <c r="F280" s="615"/>
      <c r="G280" s="615"/>
      <c r="H280" s="615"/>
      <c r="I280" s="615"/>
      <c r="J280" s="615"/>
      <c r="K280" s="1698">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0" t="s">
        <v>517</v>
      </c>
      <c r="B282" s="689" t="s">
        <v>1957</v>
      </c>
      <c r="C282" s="615"/>
      <c r="D282" s="467">
        <v>0</v>
      </c>
      <c r="E282" s="615"/>
      <c r="F282" s="615"/>
      <c r="G282" s="615"/>
      <c r="H282" s="615"/>
      <c r="I282" s="615"/>
      <c r="J282" s="615"/>
      <c r="K282" s="1690">
        <f>D282</f>
        <v>0</v>
      </c>
      <c r="L282" s="467">
        <v>0</v>
      </c>
    </row>
    <row r="283" spans="1:12" x14ac:dyDescent="0.2">
      <c r="A283" s="1524" t="s">
        <v>322</v>
      </c>
      <c r="B283" s="613">
        <v>4120</v>
      </c>
      <c r="C283" s="615"/>
      <c r="D283" s="466">
        <v>0</v>
      </c>
      <c r="E283" s="615"/>
      <c r="F283" s="615"/>
      <c r="G283" s="615"/>
      <c r="H283" s="615"/>
      <c r="I283" s="615"/>
      <c r="J283" s="615"/>
      <c r="K283" s="1690">
        <f>D283</f>
        <v>0</v>
      </c>
      <c r="L283" s="466">
        <v>0</v>
      </c>
    </row>
    <row r="284" spans="1:12" x14ac:dyDescent="0.2">
      <c r="A284" s="1524"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0">
        <f>H288</f>
        <v>0</v>
      </c>
      <c r="L288" s="466">
        <v>0</v>
      </c>
    </row>
    <row r="289" spans="1:14" x14ac:dyDescent="0.2">
      <c r="A289" s="1524" t="s">
        <v>90</v>
      </c>
      <c r="B289" s="613">
        <v>5120</v>
      </c>
      <c r="C289" s="615"/>
      <c r="D289" s="615"/>
      <c r="E289" s="615"/>
      <c r="F289" s="615"/>
      <c r="G289" s="615"/>
      <c r="H289" s="466">
        <v>0</v>
      </c>
      <c r="I289" s="615"/>
      <c r="J289" s="615"/>
      <c r="K289" s="1690">
        <f>H289</f>
        <v>0</v>
      </c>
      <c r="L289" s="466">
        <v>0</v>
      </c>
    </row>
    <row r="290" spans="1:14" ht="12.75" customHeight="1" x14ac:dyDescent="0.2">
      <c r="A290" s="1524" t="s">
        <v>1232</v>
      </c>
      <c r="B290" s="627" t="s">
        <v>638</v>
      </c>
      <c r="C290" s="615"/>
      <c r="D290" s="615"/>
      <c r="E290" s="615"/>
      <c r="F290" s="615"/>
      <c r="G290" s="615"/>
      <c r="H290" s="466">
        <v>0</v>
      </c>
      <c r="I290" s="615"/>
      <c r="J290" s="615"/>
      <c r="K290" s="1690">
        <f>H290</f>
        <v>0</v>
      </c>
      <c r="L290" s="466">
        <v>0</v>
      </c>
    </row>
    <row r="291" spans="1:14" x14ac:dyDescent="0.2">
      <c r="A291" s="1524" t="s">
        <v>91</v>
      </c>
      <c r="B291" s="613" t="s">
        <v>610</v>
      </c>
      <c r="C291" s="615"/>
      <c r="D291" s="615"/>
      <c r="E291" s="615"/>
      <c r="F291" s="615"/>
      <c r="G291" s="615"/>
      <c r="H291" s="466">
        <v>0</v>
      </c>
      <c r="I291" s="615"/>
      <c r="J291" s="615"/>
      <c r="K291" s="1690">
        <f>H291</f>
        <v>0</v>
      </c>
      <c r="L291" s="466">
        <v>0</v>
      </c>
    </row>
    <row r="292" spans="1:14" x14ac:dyDescent="0.2">
      <c r="A292" s="1524"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5" t="s">
        <v>526</v>
      </c>
      <c r="B295" s="2186"/>
      <c r="C295" s="615"/>
      <c r="D295" s="1689">
        <f>SUM(D229,D279,D280,D285)</f>
        <v>196690</v>
      </c>
      <c r="E295" s="615"/>
      <c r="F295" s="615"/>
      <c r="G295" s="615"/>
      <c r="H295" s="1689">
        <f>H293</f>
        <v>0</v>
      </c>
      <c r="I295" s="615"/>
      <c r="J295" s="615"/>
      <c r="K295" s="1689">
        <f>SUM(K229,K279,K280,K285,K293,K294)</f>
        <v>196690</v>
      </c>
      <c r="L295" s="1689">
        <f>SUM(L229,L279,L280,L285,L293,L294)</f>
        <v>213110</v>
      </c>
    </row>
    <row r="296" spans="1:14" ht="13.5" thickTop="1" x14ac:dyDescent="0.2">
      <c r="A296" s="2194" t="s">
        <v>1053</v>
      </c>
      <c r="B296" s="2195"/>
      <c r="C296" s="615"/>
      <c r="D296" s="617"/>
      <c r="E296" s="615"/>
      <c r="F296" s="615"/>
      <c r="G296" s="615"/>
      <c r="H296" s="686"/>
      <c r="I296" s="615"/>
      <c r="J296" s="615"/>
      <c r="K296" s="1703">
        <f>'Revenues 9-14'!G275-'Expenditures 15-22'!K295</f>
        <v>23896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7" t="s">
        <v>145</v>
      </c>
      <c r="B298" s="2171"/>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7875</v>
      </c>
      <c r="H301" s="466">
        <v>0</v>
      </c>
      <c r="I301" s="467">
        <v>0</v>
      </c>
      <c r="J301" s="467">
        <v>0</v>
      </c>
      <c r="K301" s="1690">
        <f>SUM(C301:J301)</f>
        <v>7875</v>
      </c>
      <c r="L301" s="467">
        <v>121000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7875</v>
      </c>
      <c r="H303" s="1696">
        <f t="shared" si="23"/>
        <v>0</v>
      </c>
      <c r="I303" s="1696">
        <f t="shared" si="23"/>
        <v>0</v>
      </c>
      <c r="J303" s="1696">
        <f t="shared" si="23"/>
        <v>0</v>
      </c>
      <c r="K303" s="1696">
        <f t="shared" si="23"/>
        <v>7875</v>
      </c>
      <c r="L303" s="1696">
        <f t="shared" si="23"/>
        <v>121000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0">
        <f>SUM(E306,H306)</f>
        <v>0</v>
      </c>
      <c r="L306" s="467">
        <v>0</v>
      </c>
    </row>
    <row r="307" spans="1:14" x14ac:dyDescent="0.2">
      <c r="A307" s="1524" t="s">
        <v>322</v>
      </c>
      <c r="B307" s="613">
        <v>4120</v>
      </c>
      <c r="C307" s="615"/>
      <c r="D307" s="615"/>
      <c r="E307" s="467">
        <v>0</v>
      </c>
      <c r="F307" s="615"/>
      <c r="G307" s="615"/>
      <c r="H307" s="467">
        <v>0</v>
      </c>
      <c r="I307" s="476"/>
      <c r="J307" s="615"/>
      <c r="K307" s="1690">
        <f>SUM(E307,H307)</f>
        <v>0</v>
      </c>
      <c r="L307" s="466">
        <v>0</v>
      </c>
    </row>
    <row r="308" spans="1:14" x14ac:dyDescent="0.2">
      <c r="A308" s="1524" t="s">
        <v>721</v>
      </c>
      <c r="B308" s="613">
        <v>4140</v>
      </c>
      <c r="C308" s="615"/>
      <c r="D308" s="615"/>
      <c r="E308" s="467">
        <v>0</v>
      </c>
      <c r="F308" s="615"/>
      <c r="G308" s="615"/>
      <c r="H308" s="467">
        <v>0</v>
      </c>
      <c r="I308" s="476"/>
      <c r="J308" s="615"/>
      <c r="K308" s="1690">
        <f>SUM(E308,H308)</f>
        <v>0</v>
      </c>
      <c r="L308" s="466">
        <v>0</v>
      </c>
    </row>
    <row r="309" spans="1:14" ht="12.75" customHeight="1" x14ac:dyDescent="0.2">
      <c r="A309" s="1528"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2" t="s">
        <v>295</v>
      </c>
      <c r="B312" s="2183"/>
      <c r="C312" s="1689">
        <f>SUM(C303)</f>
        <v>0</v>
      </c>
      <c r="D312" s="1689">
        <f>SUM(D303)</f>
        <v>0</v>
      </c>
      <c r="E312" s="1689">
        <f>SUM(E303,E310)</f>
        <v>0</v>
      </c>
      <c r="F312" s="1689">
        <f>SUM(F303)</f>
        <v>0</v>
      </c>
      <c r="G312" s="1689">
        <f>SUM(G303)</f>
        <v>7875</v>
      </c>
      <c r="H312" s="1689">
        <f>SUM(H303,H310)</f>
        <v>0</v>
      </c>
      <c r="I312" s="1689">
        <f>SUM(I303)</f>
        <v>0</v>
      </c>
      <c r="J312" s="1689">
        <f>SUM(J303)</f>
        <v>0</v>
      </c>
      <c r="K312" s="1689">
        <f>SUM(K303,K310,K311)</f>
        <v>7875</v>
      </c>
      <c r="L312" s="1689">
        <f>SUM(L303,L310,L311)</f>
        <v>121000</v>
      </c>
      <c r="M312" s="664"/>
      <c r="N312" s="664"/>
    </row>
    <row r="313" spans="1:14" ht="13.5" thickTop="1" x14ac:dyDescent="0.2">
      <c r="A313" s="2178" t="s">
        <v>1053</v>
      </c>
      <c r="B313" s="2179"/>
      <c r="C313" s="625"/>
      <c r="D313" s="625"/>
      <c r="E313" s="625"/>
      <c r="F313" s="625"/>
      <c r="G313" s="625"/>
      <c r="H313" s="625"/>
      <c r="I313" s="625"/>
      <c r="J313" s="625"/>
      <c r="K313" s="1704">
        <f>'Revenues 9-14'!H275-'Expenditures 15-22'!K312</f>
        <v>146101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1" t="s">
        <v>151</v>
      </c>
      <c r="B315" s="2192"/>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3" t="s">
        <v>954</v>
      </c>
      <c r="B317" s="2192"/>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3" t="s">
        <v>1908</v>
      </c>
      <c r="B320" s="697" t="s">
        <v>300</v>
      </c>
      <c r="C320" s="467">
        <v>0</v>
      </c>
      <c r="D320" s="467">
        <v>0</v>
      </c>
      <c r="E320" s="467">
        <v>30927</v>
      </c>
      <c r="F320" s="467">
        <v>0</v>
      </c>
      <c r="G320" s="467">
        <v>0</v>
      </c>
      <c r="H320" s="467">
        <v>0</v>
      </c>
      <c r="I320" s="467">
        <v>0</v>
      </c>
      <c r="J320" s="467">
        <v>0</v>
      </c>
      <c r="K320" s="1690">
        <f t="shared" ref="K320:K327" si="24">SUM(C320:J320)</f>
        <v>30927</v>
      </c>
      <c r="L320" s="467">
        <v>39000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0">
        <f t="shared" si="24"/>
        <v>0</v>
      </c>
      <c r="L321" s="467">
        <v>2000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0">
        <f t="shared" si="24"/>
        <v>0</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9" t="s">
        <v>1087</v>
      </c>
      <c r="B325" s="697" t="s">
        <v>305</v>
      </c>
      <c r="C325" s="467">
        <v>74411</v>
      </c>
      <c r="D325" s="467">
        <v>18704</v>
      </c>
      <c r="E325" s="467">
        <v>935</v>
      </c>
      <c r="F325" s="467">
        <v>0</v>
      </c>
      <c r="G325" s="467">
        <v>0</v>
      </c>
      <c r="H325" s="467">
        <v>0</v>
      </c>
      <c r="I325" s="467">
        <v>0</v>
      </c>
      <c r="J325" s="467">
        <v>0</v>
      </c>
      <c r="K325" s="1690">
        <f t="shared" si="24"/>
        <v>94050</v>
      </c>
      <c r="L325" s="467">
        <v>101000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9" t="s">
        <v>1028</v>
      </c>
      <c r="B327" s="696" t="s">
        <v>307</v>
      </c>
      <c r="C327" s="467">
        <v>0</v>
      </c>
      <c r="D327" s="467">
        <v>0</v>
      </c>
      <c r="E327" s="467">
        <v>4588</v>
      </c>
      <c r="F327" s="467">
        <v>0</v>
      </c>
      <c r="G327" s="467">
        <v>0</v>
      </c>
      <c r="H327" s="467">
        <v>0</v>
      </c>
      <c r="I327" s="467">
        <v>0</v>
      </c>
      <c r="J327" s="467">
        <v>0</v>
      </c>
      <c r="K327" s="1690">
        <f t="shared" si="24"/>
        <v>4588</v>
      </c>
      <c r="L327" s="467">
        <v>4500</v>
      </c>
      <c r="M327" s="664"/>
      <c r="N327" s="664"/>
    </row>
    <row r="328" spans="1:14" s="673" customFormat="1" x14ac:dyDescent="0.2">
      <c r="A328" s="1540" t="s">
        <v>492</v>
      </c>
      <c r="B328" s="689" t="s">
        <v>1194</v>
      </c>
      <c r="C328" s="474">
        <v>0</v>
      </c>
      <c r="D328" s="474">
        <v>0</v>
      </c>
      <c r="E328" s="474">
        <v>22970</v>
      </c>
      <c r="F328" s="474">
        <v>0</v>
      </c>
      <c r="G328" s="474">
        <v>0</v>
      </c>
      <c r="H328" s="474">
        <v>0</v>
      </c>
      <c r="I328" s="474">
        <v>0</v>
      </c>
      <c r="J328" s="474">
        <v>0</v>
      </c>
      <c r="K328" s="1718">
        <f>SUM(C328:J328)</f>
        <v>22970</v>
      </c>
      <c r="L328" s="474">
        <v>29000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74411</v>
      </c>
      <c r="D330" s="1689">
        <f t="shared" ref="D330:J330" si="25">SUM(D319:D329)</f>
        <v>18704</v>
      </c>
      <c r="E330" s="1689">
        <f t="shared" si="25"/>
        <v>59420</v>
      </c>
      <c r="F330" s="1689">
        <f t="shared" si="25"/>
        <v>0</v>
      </c>
      <c r="G330" s="1689">
        <f t="shared" si="25"/>
        <v>0</v>
      </c>
      <c r="H330" s="1689">
        <f t="shared" si="25"/>
        <v>0</v>
      </c>
      <c r="I330" s="1689">
        <f t="shared" si="25"/>
        <v>0</v>
      </c>
      <c r="J330" s="1689">
        <f t="shared" si="25"/>
        <v>0</v>
      </c>
      <c r="K330" s="1689">
        <f>SUM(K319:K329)</f>
        <v>152535</v>
      </c>
      <c r="L330" s="1689">
        <f>SUM(L319:L329)</f>
        <v>175500</v>
      </c>
      <c r="M330" s="664"/>
      <c r="N330" s="664"/>
    </row>
    <row r="331" spans="1:14" s="673" customFormat="1" ht="12.75" customHeight="1" thickTop="1" x14ac:dyDescent="0.2">
      <c r="A331" s="1851" t="s">
        <v>1963</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1957</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1959</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0">
        <f>H337</f>
        <v>0</v>
      </c>
      <c r="L337" s="477">
        <v>0</v>
      </c>
    </row>
    <row r="338" spans="1:14" ht="12.75" customHeight="1" x14ac:dyDescent="0.2">
      <c r="A338" s="1538" t="s">
        <v>1232</v>
      </c>
      <c r="B338" s="689" t="s">
        <v>638</v>
      </c>
      <c r="C338" s="637"/>
      <c r="D338" s="637"/>
      <c r="E338" s="637"/>
      <c r="F338" s="637"/>
      <c r="G338" s="637"/>
      <c r="H338" s="477">
        <v>0</v>
      </c>
      <c r="I338" s="637"/>
      <c r="J338" s="637"/>
      <c r="K338" s="1690">
        <f>H338</f>
        <v>0</v>
      </c>
      <c r="L338" s="477">
        <v>0</v>
      </c>
    </row>
    <row r="339" spans="1:14" x14ac:dyDescent="0.2">
      <c r="A339" s="1524"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74411</v>
      </c>
      <c r="D342" s="1689">
        <f>SUM(D330)</f>
        <v>18704</v>
      </c>
      <c r="E342" s="1689">
        <f>SUM(E330)</f>
        <v>59420</v>
      </c>
      <c r="F342" s="1689">
        <f>SUM(F330)</f>
        <v>0</v>
      </c>
      <c r="G342" s="1689">
        <f>SUM(G330)</f>
        <v>0</v>
      </c>
      <c r="H342" s="1689">
        <f>SUM(H330,H334,H340)</f>
        <v>0</v>
      </c>
      <c r="I342" s="1689">
        <f>SUM(I330)</f>
        <v>0</v>
      </c>
      <c r="J342" s="1689">
        <f>SUM(J330)</f>
        <v>0</v>
      </c>
      <c r="K342" s="1689">
        <f>SUM(K330,K334,K340)</f>
        <v>152535</v>
      </c>
      <c r="L342" s="1696">
        <f>SUM(L330,L340,L341)</f>
        <v>175500</v>
      </c>
    </row>
    <row r="343" spans="1:14" ht="12.75" customHeight="1" thickTop="1" x14ac:dyDescent="0.2">
      <c r="A343" s="2180" t="s">
        <v>1053</v>
      </c>
      <c r="B343" s="2181"/>
      <c r="C343" s="615"/>
      <c r="D343" s="615"/>
      <c r="E343" s="615"/>
      <c r="F343" s="615"/>
      <c r="G343" s="615"/>
      <c r="H343" s="615"/>
      <c r="I343" s="615"/>
      <c r="J343" s="615"/>
      <c r="K343" s="1703">
        <f>'Revenues 9-14'!J275-'Expenditures 15-22'!K342</f>
        <v>67158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0" t="s">
        <v>1023</v>
      </c>
      <c r="B345" s="2171"/>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23092</v>
      </c>
      <c r="H348" s="466">
        <v>0</v>
      </c>
      <c r="I348" s="467">
        <v>0</v>
      </c>
      <c r="J348" s="467">
        <v>0</v>
      </c>
      <c r="K348" s="1690">
        <f>SUM(C348:J348)</f>
        <v>23092</v>
      </c>
      <c r="L348" s="466">
        <v>20000</v>
      </c>
    </row>
    <row r="349" spans="1:14" x14ac:dyDescent="0.2">
      <c r="A349" s="1524"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23092</v>
      </c>
      <c r="H350" s="1689">
        <f t="shared" si="26"/>
        <v>0</v>
      </c>
      <c r="I350" s="1689">
        <f t="shared" si="26"/>
        <v>0</v>
      </c>
      <c r="J350" s="1689">
        <f t="shared" si="26"/>
        <v>0</v>
      </c>
      <c r="K350" s="1689">
        <f t="shared" si="26"/>
        <v>23092</v>
      </c>
      <c r="L350" s="1689">
        <f t="shared" si="26"/>
        <v>20000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23092</v>
      </c>
      <c r="H352" s="1689">
        <f t="shared" si="27"/>
        <v>0</v>
      </c>
      <c r="I352" s="1689">
        <f t="shared" si="27"/>
        <v>0</v>
      </c>
      <c r="J352" s="1689">
        <f t="shared" si="27"/>
        <v>0</v>
      </c>
      <c r="K352" s="1689">
        <f t="shared" si="27"/>
        <v>23092</v>
      </c>
      <c r="L352" s="1689">
        <f t="shared" si="27"/>
        <v>20000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4" t="s">
        <v>1965</v>
      </c>
      <c r="B354" s="682" t="s">
        <v>1957</v>
      </c>
      <c r="C354" s="615"/>
      <c r="D354" s="615"/>
      <c r="E354" s="615"/>
      <c r="F354" s="615"/>
      <c r="G354" s="615"/>
      <c r="H354" s="474">
        <v>0</v>
      </c>
      <c r="I354" s="700"/>
      <c r="J354" s="615"/>
      <c r="K354" s="1718">
        <f>H354</f>
        <v>0</v>
      </c>
      <c r="L354" s="471">
        <v>0</v>
      </c>
    </row>
    <row r="355" spans="1:14" ht="12.75" customHeight="1" x14ac:dyDescent="0.2">
      <c r="A355" s="1533" t="s">
        <v>1966</v>
      </c>
      <c r="B355" s="689" t="s">
        <v>1959</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0">
        <f>SUM(C360:J360)</f>
        <v>0</v>
      </c>
      <c r="L360" s="466">
        <v>0</v>
      </c>
    </row>
    <row r="361" spans="1:14" ht="12.75" customHeight="1" x14ac:dyDescent="0.2">
      <c r="A361" s="1525"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1"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23092</v>
      </c>
      <c r="H367" s="1689">
        <f t="shared" si="28"/>
        <v>0</v>
      </c>
      <c r="I367" s="1689">
        <f t="shared" si="28"/>
        <v>0</v>
      </c>
      <c r="J367" s="1689">
        <f t="shared" si="28"/>
        <v>0</v>
      </c>
      <c r="K367" s="1689">
        <f t="shared" si="28"/>
        <v>23092</v>
      </c>
      <c r="L367" s="1689">
        <f t="shared" si="28"/>
        <v>20000</v>
      </c>
    </row>
    <row r="368" spans="1:14" ht="13.5" thickTop="1" x14ac:dyDescent="0.2">
      <c r="A368" s="2194" t="s">
        <v>1053</v>
      </c>
      <c r="B368" s="2195"/>
      <c r="C368" s="653"/>
      <c r="D368" s="653"/>
      <c r="E368" s="625"/>
      <c r="F368" s="625"/>
      <c r="G368" s="625"/>
      <c r="H368" s="625"/>
      <c r="I368" s="625"/>
      <c r="J368" s="622"/>
      <c r="K368" s="1690">
        <f>'Revenues 9-14'!K275-'Expenditures 15-22'!K367</f>
        <v>12577</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196" t="s">
        <v>1905</v>
      </c>
      <c r="B2" s="1548" t="s">
        <v>2037</v>
      </c>
      <c r="C2" s="713" t="s">
        <v>1910</v>
      </c>
      <c r="D2" s="713" t="s">
        <v>1911</v>
      </c>
      <c r="E2" s="713" t="s">
        <v>1912</v>
      </c>
      <c r="F2" s="713" t="s">
        <v>1913</v>
      </c>
    </row>
    <row r="3" spans="1:6" ht="12" customHeight="1" x14ac:dyDescent="0.2">
      <c r="A3" s="2197"/>
      <c r="B3" s="1545"/>
      <c r="C3" s="1546"/>
      <c r="D3" s="1547" t="s">
        <v>274</v>
      </c>
      <c r="E3" s="1546"/>
      <c r="F3" s="1547" t="s">
        <v>275</v>
      </c>
    </row>
    <row r="4" spans="1:6" ht="13.7" customHeight="1" x14ac:dyDescent="0.2">
      <c r="A4" s="714" t="s">
        <v>1217</v>
      </c>
      <c r="B4" s="1768">
        <f>'Revenues 9-14'!C5</f>
        <v>2606098</v>
      </c>
      <c r="C4" s="1544">
        <v>1442146</v>
      </c>
      <c r="D4" s="1771">
        <f>B4-C4</f>
        <v>1163952</v>
      </c>
      <c r="E4" s="1544">
        <v>2678692</v>
      </c>
      <c r="F4" s="1771">
        <f>E4-C4</f>
        <v>1236546</v>
      </c>
    </row>
    <row r="5" spans="1:6" ht="13.7" customHeight="1" x14ac:dyDescent="0.2">
      <c r="A5" s="714" t="s">
        <v>925</v>
      </c>
      <c r="B5" s="1769">
        <f>'Revenues 9-14'!D5</f>
        <v>520521</v>
      </c>
      <c r="C5" s="583">
        <v>288042</v>
      </c>
      <c r="D5" s="1772">
        <f t="shared" ref="D5:D18" si="0">B5-C5</f>
        <v>232479</v>
      </c>
      <c r="E5" s="583">
        <v>535020</v>
      </c>
      <c r="F5" s="1772">
        <f>E5-C5</f>
        <v>246978</v>
      </c>
    </row>
    <row r="6" spans="1:6" ht="13.7" customHeight="1" x14ac:dyDescent="0.2">
      <c r="A6" s="714" t="s">
        <v>431</v>
      </c>
      <c r="B6" s="1769">
        <f>'Revenues 9-14'!E5</f>
        <v>643976</v>
      </c>
      <c r="C6" s="583">
        <v>352680</v>
      </c>
      <c r="D6" s="1772">
        <f t="shared" si="0"/>
        <v>291296</v>
      </c>
      <c r="E6" s="583">
        <v>655080</v>
      </c>
      <c r="F6" s="1772">
        <f t="shared" ref="F6:F18" si="1">E6-C6</f>
        <v>302400</v>
      </c>
    </row>
    <row r="7" spans="1:6" ht="13.7" customHeight="1" x14ac:dyDescent="0.2">
      <c r="A7" s="714" t="s">
        <v>157</v>
      </c>
      <c r="B7" s="1769">
        <f>'Revenues 9-14'!F5</f>
        <v>139737</v>
      </c>
      <c r="C7" s="583">
        <v>77327</v>
      </c>
      <c r="D7" s="1772">
        <f t="shared" si="0"/>
        <v>62410</v>
      </c>
      <c r="E7" s="583">
        <v>143630</v>
      </c>
      <c r="F7" s="1772">
        <f t="shared" si="1"/>
        <v>66303</v>
      </c>
    </row>
    <row r="8" spans="1:6" ht="13.7" customHeight="1" x14ac:dyDescent="0.2">
      <c r="A8" s="714" t="s">
        <v>1241</v>
      </c>
      <c r="B8" s="1769">
        <f>'Revenues 9-14'!G5</f>
        <v>86697</v>
      </c>
      <c r="C8" s="583">
        <v>47278</v>
      </c>
      <c r="D8" s="1772">
        <f t="shared" si="0"/>
        <v>39419</v>
      </c>
      <c r="E8" s="583">
        <v>87815</v>
      </c>
      <c r="F8" s="1772">
        <f t="shared" si="1"/>
        <v>40537</v>
      </c>
    </row>
    <row r="9" spans="1:6" ht="13.7" customHeight="1" x14ac:dyDescent="0.2">
      <c r="A9" s="714" t="s">
        <v>428</v>
      </c>
      <c r="B9" s="1769">
        <f>'Revenues 9-14'!H5</f>
        <v>0</v>
      </c>
      <c r="C9" s="583">
        <v>0</v>
      </c>
      <c r="D9" s="1772">
        <f t="shared" si="0"/>
        <v>0</v>
      </c>
      <c r="E9" s="583">
        <v>0</v>
      </c>
      <c r="F9" s="1772">
        <f t="shared" si="1"/>
        <v>0</v>
      </c>
    </row>
    <row r="10" spans="1:6" ht="13.7" customHeight="1" x14ac:dyDescent="0.2">
      <c r="A10" s="714" t="s">
        <v>427</v>
      </c>
      <c r="B10" s="1769">
        <f>'Revenues 9-14'!I5</f>
        <v>34935</v>
      </c>
      <c r="C10" s="583">
        <v>19332</v>
      </c>
      <c r="D10" s="1772">
        <f t="shared" si="0"/>
        <v>15603</v>
      </c>
      <c r="E10" s="583">
        <v>35907</v>
      </c>
      <c r="F10" s="1772">
        <f t="shared" si="1"/>
        <v>16575</v>
      </c>
    </row>
    <row r="11" spans="1:6" x14ac:dyDescent="0.2">
      <c r="A11" s="714" t="s">
        <v>429</v>
      </c>
      <c r="B11" s="1769">
        <f>'Revenues 9-14'!J5</f>
        <v>217231</v>
      </c>
      <c r="C11" s="583">
        <v>99446</v>
      </c>
      <c r="D11" s="1772">
        <f t="shared" si="0"/>
        <v>117785</v>
      </c>
      <c r="E11" s="583">
        <v>184715</v>
      </c>
      <c r="F11" s="1772">
        <f t="shared" si="1"/>
        <v>85269</v>
      </c>
    </row>
    <row r="12" spans="1:6" ht="13.7" customHeight="1" x14ac:dyDescent="0.2">
      <c r="A12" s="714" t="s">
        <v>159</v>
      </c>
      <c r="B12" s="1769">
        <f>'Revenues 9-14'!K5</f>
        <v>34932</v>
      </c>
      <c r="C12" s="583">
        <v>19332</v>
      </c>
      <c r="D12" s="1772">
        <f t="shared" si="0"/>
        <v>15600</v>
      </c>
      <c r="E12" s="583">
        <v>35907</v>
      </c>
      <c r="F12" s="1772">
        <f t="shared" si="1"/>
        <v>16575</v>
      </c>
    </row>
    <row r="13" spans="1:6" ht="13.7" customHeight="1" x14ac:dyDescent="0.2">
      <c r="A13" s="714" t="s">
        <v>993</v>
      </c>
      <c r="B13" s="1769">
        <f>SUM('Revenues 9-14'!C6:D6)</f>
        <v>34936</v>
      </c>
      <c r="C13" s="583">
        <v>19331</v>
      </c>
      <c r="D13" s="1772">
        <f t="shared" si="0"/>
        <v>15605</v>
      </c>
      <c r="E13" s="583">
        <v>35907</v>
      </c>
      <c r="F13" s="1772">
        <f t="shared" si="1"/>
        <v>16576</v>
      </c>
    </row>
    <row r="14" spans="1:6" ht="13.7" customHeight="1" x14ac:dyDescent="0.2">
      <c r="A14" s="714" t="s">
        <v>430</v>
      </c>
      <c r="B14" s="1769">
        <f>SUM('Revenues 9-14'!C7:D7,'Revenues 9-14'!F7:H7)</f>
        <v>27947</v>
      </c>
      <c r="C14" s="583">
        <v>15465</v>
      </c>
      <c r="D14" s="1772">
        <f t="shared" si="0"/>
        <v>12482</v>
      </c>
      <c r="E14" s="583">
        <v>28726</v>
      </c>
      <c r="F14" s="1772">
        <f t="shared" si="1"/>
        <v>13261</v>
      </c>
    </row>
    <row r="15" spans="1:6" ht="13.7" customHeight="1" x14ac:dyDescent="0.2">
      <c r="A15" s="714" t="s">
        <v>1220</v>
      </c>
      <c r="B15" s="1769">
        <f>'Revenues 9-14'!E9</f>
        <v>0</v>
      </c>
      <c r="C15" s="583">
        <v>0</v>
      </c>
      <c r="D15" s="1772">
        <f t="shared" si="0"/>
        <v>0</v>
      </c>
      <c r="E15" s="583">
        <v>0</v>
      </c>
      <c r="F15" s="1772">
        <f t="shared" si="1"/>
        <v>0</v>
      </c>
    </row>
    <row r="16" spans="1:6" ht="13.7" customHeight="1" x14ac:dyDescent="0.2">
      <c r="A16" s="714" t="s">
        <v>1221</v>
      </c>
      <c r="B16" s="1769">
        <f>'Revenues 9-14'!G8</f>
        <v>102201</v>
      </c>
      <c r="C16" s="583">
        <v>59159</v>
      </c>
      <c r="D16" s="1772">
        <f t="shared" si="0"/>
        <v>43042</v>
      </c>
      <c r="E16" s="583">
        <v>109884</v>
      </c>
      <c r="F16" s="1772">
        <f t="shared" si="1"/>
        <v>50725</v>
      </c>
    </row>
    <row r="17" spans="1:6" ht="13.7" customHeight="1" x14ac:dyDescent="0.2">
      <c r="A17" s="714" t="s">
        <v>1222</v>
      </c>
      <c r="B17" s="1769">
        <f>'Revenues 9-14'!C10</f>
        <v>0</v>
      </c>
      <c r="C17" s="583">
        <v>0</v>
      </c>
      <c r="D17" s="1772">
        <f t="shared" si="0"/>
        <v>0</v>
      </c>
      <c r="E17" s="583">
        <v>0</v>
      </c>
      <c r="F17" s="1772">
        <f t="shared" si="1"/>
        <v>0</v>
      </c>
    </row>
    <row r="18" spans="1:6" ht="13.7" customHeight="1" x14ac:dyDescent="0.2">
      <c r="A18" s="714" t="s">
        <v>786</v>
      </c>
      <c r="B18" s="1769">
        <f>SUM('Revenues 9-14'!C11:K11)</f>
        <v>0</v>
      </c>
      <c r="C18" s="583">
        <v>0</v>
      </c>
      <c r="D18" s="1772">
        <f t="shared" si="0"/>
        <v>0</v>
      </c>
      <c r="E18" s="583">
        <v>0</v>
      </c>
      <c r="F18" s="1772">
        <f t="shared" si="1"/>
        <v>0</v>
      </c>
    </row>
    <row r="19" spans="1:6" ht="13.7" customHeight="1" thickBot="1" x14ac:dyDescent="0.25">
      <c r="A19" s="1773" t="s">
        <v>1223</v>
      </c>
      <c r="B19" s="1770">
        <f>SUM(B4:B18)</f>
        <v>4449211</v>
      </c>
      <c r="C19" s="1770">
        <f>SUM(C4:C18)</f>
        <v>2439538</v>
      </c>
      <c r="D19" s="1770">
        <f>SUM(D4:D18)</f>
        <v>2009673</v>
      </c>
      <c r="E19" s="1770">
        <f>SUM(E4:E18)</f>
        <v>4531283</v>
      </c>
      <c r="F19" s="1770">
        <f>SUM(F4:F18)</f>
        <v>2091745</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650</v>
      </c>
      <c r="B1" s="2203"/>
      <c r="C1" s="720"/>
    </row>
    <row r="2" spans="1:7" ht="33.75" x14ac:dyDescent="0.2">
      <c r="A2" s="2211" t="s">
        <v>1905</v>
      </c>
      <c r="B2" s="2212"/>
      <c r="C2" s="1906" t="s">
        <v>2038</v>
      </c>
      <c r="D2" s="722" t="s">
        <v>2045</v>
      </c>
      <c r="E2" s="722" t="s">
        <v>2046</v>
      </c>
      <c r="F2" s="1906" t="s">
        <v>2039</v>
      </c>
    </row>
    <row r="3" spans="1:7" ht="15.75" customHeight="1" x14ac:dyDescent="0.2">
      <c r="A3" s="2215" t="s">
        <v>1176</v>
      </c>
      <c r="B3" s="2216"/>
      <c r="C3" s="2204"/>
      <c r="D3" s="2205"/>
      <c r="E3" s="2205"/>
      <c r="F3" s="2206"/>
    </row>
    <row r="4" spans="1:7" ht="12.75" customHeight="1" thickBot="1" x14ac:dyDescent="0.25">
      <c r="A4" s="2213" t="s">
        <v>651</v>
      </c>
      <c r="B4" s="2214"/>
      <c r="C4" s="579"/>
      <c r="D4" s="579"/>
      <c r="E4" s="579"/>
      <c r="F4" s="1774">
        <f>SUM(C4+D4)-E4</f>
        <v>0</v>
      </c>
    </row>
    <row r="5" spans="1:7" ht="15.75" customHeight="1" thickTop="1" x14ac:dyDescent="0.2">
      <c r="A5" s="2198" t="s">
        <v>1172</v>
      </c>
      <c r="B5" s="2199"/>
      <c r="C5" s="2207"/>
      <c r="D5" s="2208"/>
      <c r="E5" s="2208"/>
      <c r="F5" s="2209"/>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00" t="s">
        <v>652</v>
      </c>
      <c r="B15" s="2201"/>
      <c r="C15" s="1774">
        <f>SUM(C6:C14)</f>
        <v>0</v>
      </c>
      <c r="D15" s="1774">
        <f>SUM(D6:D14)</f>
        <v>0</v>
      </c>
      <c r="E15" s="1774">
        <f>SUM(E6:E14)</f>
        <v>0</v>
      </c>
      <c r="F15" s="1774">
        <f>SUM(F6:F14)</f>
        <v>0</v>
      </c>
      <c r="G15" s="550"/>
    </row>
    <row r="16" spans="1:7" s="202" customFormat="1" ht="15.75" customHeight="1" thickTop="1" x14ac:dyDescent="0.2">
      <c r="A16" s="2210" t="s">
        <v>1173</v>
      </c>
      <c r="B16" s="2199"/>
      <c r="C16" s="2207"/>
      <c r="D16" s="2208"/>
      <c r="E16" s="2208"/>
      <c r="F16" s="2209"/>
    </row>
    <row r="17" spans="1:11" ht="12.75" customHeight="1" thickBot="1" x14ac:dyDescent="0.25">
      <c r="A17" s="2223" t="s">
        <v>66</v>
      </c>
      <c r="B17" s="2224"/>
      <c r="C17" s="725"/>
      <c r="D17" s="583"/>
      <c r="E17" s="725"/>
      <c r="F17" s="1774">
        <f>SUM(C17+D17)-E17</f>
        <v>0</v>
      </c>
    </row>
    <row r="18" spans="1:11" ht="12.75" customHeight="1" thickTop="1" thickBot="1" x14ac:dyDescent="0.25">
      <c r="A18" s="2223" t="s">
        <v>6</v>
      </c>
      <c r="B18" s="2224"/>
      <c r="C18" s="725"/>
      <c r="D18" s="583"/>
      <c r="E18" s="725"/>
      <c r="F18" s="1774">
        <f>SUM(C18+D18)-E18</f>
        <v>0</v>
      </c>
    </row>
    <row r="19" spans="1:11" ht="12.75" customHeight="1" thickTop="1" thickBot="1" x14ac:dyDescent="0.25">
      <c r="A19" s="2223" t="s">
        <v>406</v>
      </c>
      <c r="B19" s="2224"/>
      <c r="C19" s="725"/>
      <c r="D19" s="583"/>
      <c r="E19" s="725"/>
      <c r="F19" s="1774">
        <f>SUM(C19+D19)-E19</f>
        <v>0</v>
      </c>
    </row>
    <row r="20" spans="1:11" ht="12.75" customHeight="1" thickTop="1" thickBot="1" x14ac:dyDescent="0.25">
      <c r="A20" s="2223" t="s">
        <v>468</v>
      </c>
      <c r="B20" s="2224"/>
      <c r="C20" s="725"/>
      <c r="D20" s="583"/>
      <c r="E20" s="725"/>
      <c r="F20" s="1774">
        <f>SUM(C20+D20)-E20</f>
        <v>0</v>
      </c>
    </row>
    <row r="21" spans="1:11" ht="14.25" thickTop="1" thickBot="1" x14ac:dyDescent="0.25">
      <c r="A21" s="2200" t="s">
        <v>653</v>
      </c>
      <c r="B21" s="2201"/>
      <c r="C21" s="1774">
        <f>SUM(C17:C20)</f>
        <v>0</v>
      </c>
      <c r="D21" s="1774">
        <f>SUM(D17:D20)</f>
        <v>0</v>
      </c>
      <c r="E21" s="1774">
        <f>SUM(E17:E20)</f>
        <v>0</v>
      </c>
      <c r="F21" s="1774">
        <f>SUM(F17:F20)</f>
        <v>0</v>
      </c>
      <c r="G21" s="550"/>
    </row>
    <row r="22" spans="1:11" ht="15.75" customHeight="1" thickTop="1" x14ac:dyDescent="0.2">
      <c r="A22" s="2225" t="s">
        <v>1174</v>
      </c>
      <c r="B22" s="2199"/>
      <c r="C22" s="2207"/>
      <c r="D22" s="2208"/>
      <c r="E22" s="2208"/>
      <c r="F22" s="2209"/>
    </row>
    <row r="23" spans="1:11" ht="13.5" thickBot="1" x14ac:dyDescent="0.25">
      <c r="A23" s="2213" t="s">
        <v>654</v>
      </c>
      <c r="B23" s="2214"/>
      <c r="C23" s="579"/>
      <c r="D23" s="579"/>
      <c r="E23" s="579"/>
      <c r="F23" s="1774">
        <f>SUM(C23+D23)-E23</f>
        <v>0</v>
      </c>
      <c r="G23" s="550"/>
    </row>
    <row r="24" spans="1:11" ht="15.75" customHeight="1" thickTop="1" x14ac:dyDescent="0.2">
      <c r="A24" s="2225" t="s">
        <v>1175</v>
      </c>
      <c r="B24" s="2199"/>
      <c r="C24" s="2207"/>
      <c r="D24" s="2208"/>
      <c r="E24" s="2208"/>
      <c r="F24" s="2209"/>
    </row>
    <row r="25" spans="1:11" ht="13.5" thickBot="1" x14ac:dyDescent="0.25">
      <c r="A25" s="2213" t="s">
        <v>655</v>
      </c>
      <c r="B25" s="2214"/>
      <c r="C25" s="579"/>
      <c r="D25" s="579"/>
      <c r="E25" s="579"/>
      <c r="F25" s="1774">
        <f>SUM(C25+D25)-E25</f>
        <v>0</v>
      </c>
      <c r="G25" s="550"/>
    </row>
    <row r="26" spans="1:11" ht="15.75" customHeight="1" thickTop="1" x14ac:dyDescent="0.2">
      <c r="A26" s="2198" t="s">
        <v>678</v>
      </c>
      <c r="B26" s="2199"/>
      <c r="C26" s="726"/>
      <c r="D26" s="726"/>
      <c r="E26" s="726"/>
      <c r="F26" s="727"/>
    </row>
    <row r="27" spans="1:11" ht="13.5" thickBot="1" x14ac:dyDescent="0.25">
      <c r="A27" s="2200" t="s">
        <v>1130</v>
      </c>
      <c r="B27" s="2201"/>
      <c r="C27" s="583"/>
      <c r="D27" s="583"/>
      <c r="E27" s="583"/>
      <c r="F27" s="1774">
        <f>SUM(C27+D27)-E27</f>
        <v>0</v>
      </c>
      <c r="G27" s="550"/>
    </row>
    <row r="28" spans="1:11" ht="7.5" customHeight="1" thickTop="1" x14ac:dyDescent="0.2">
      <c r="A28" s="592"/>
    </row>
    <row r="29" spans="1:11" ht="23.25" customHeight="1" x14ac:dyDescent="0.2">
      <c r="A29" s="2226" t="s">
        <v>603</v>
      </c>
      <c r="B29" s="2203"/>
      <c r="C29" s="728"/>
      <c r="D29" s="728"/>
      <c r="E29" s="728"/>
      <c r="F29" s="728"/>
      <c r="G29" s="728"/>
      <c r="H29" s="728"/>
      <c r="I29" s="728"/>
      <c r="J29" s="728"/>
    </row>
    <row r="30" spans="1:11" ht="33.75" x14ac:dyDescent="0.2">
      <c r="A30" s="1549" t="s">
        <v>1131</v>
      </c>
      <c r="B30" s="729" t="s">
        <v>1186</v>
      </c>
      <c r="C30" s="1907" t="s">
        <v>604</v>
      </c>
      <c r="D30" s="1907" t="s">
        <v>1772</v>
      </c>
      <c r="E30" s="1907" t="s">
        <v>2040</v>
      </c>
      <c r="F30" s="1907" t="s">
        <v>2041</v>
      </c>
      <c r="G30" s="1907" t="s">
        <v>2044</v>
      </c>
      <c r="H30" s="1907" t="s">
        <v>2042</v>
      </c>
      <c r="I30" s="1907" t="s">
        <v>2043</v>
      </c>
      <c r="J30" s="1908" t="s">
        <v>2</v>
      </c>
      <c r="K30" s="730"/>
    </row>
    <row r="31" spans="1:11" ht="12" customHeight="1" x14ac:dyDescent="0.2">
      <c r="A31" s="731" t="s">
        <v>2092</v>
      </c>
      <c r="B31" s="732">
        <v>39630</v>
      </c>
      <c r="C31" s="733">
        <v>3700000</v>
      </c>
      <c r="D31" s="734">
        <v>4</v>
      </c>
      <c r="E31" s="733">
        <v>2775000</v>
      </c>
      <c r="F31" s="733"/>
      <c r="G31" s="733"/>
      <c r="H31" s="733">
        <v>170000</v>
      </c>
      <c r="I31" s="1775">
        <f>((E31+F31)-H31)+G31</f>
        <v>2605000</v>
      </c>
      <c r="J31" s="733">
        <f>I31-137424</f>
        <v>2467576</v>
      </c>
      <c r="K31" s="735"/>
    </row>
    <row r="32" spans="1:11" ht="12" customHeight="1" x14ac:dyDescent="0.2">
      <c r="A32" s="731" t="s">
        <v>2094</v>
      </c>
      <c r="B32" s="732">
        <v>40066</v>
      </c>
      <c r="C32" s="733">
        <v>1335000</v>
      </c>
      <c r="D32" s="734">
        <v>4</v>
      </c>
      <c r="E32" s="733">
        <v>510000</v>
      </c>
      <c r="F32" s="733"/>
      <c r="G32" s="733"/>
      <c r="H32" s="733">
        <v>160000</v>
      </c>
      <c r="I32" s="1775">
        <f>((E32+F32)-H32)+G32</f>
        <v>350000</v>
      </c>
      <c r="J32" s="733">
        <f>I32-88820</f>
        <v>261180</v>
      </c>
      <c r="K32" s="735"/>
    </row>
    <row r="33" spans="1:11" ht="12" customHeight="1" x14ac:dyDescent="0.2">
      <c r="A33" s="731" t="s">
        <v>2093</v>
      </c>
      <c r="B33" s="732">
        <v>40066</v>
      </c>
      <c r="C33" s="733">
        <v>2665000</v>
      </c>
      <c r="D33" s="734">
        <v>4</v>
      </c>
      <c r="E33" s="733">
        <v>2665000</v>
      </c>
      <c r="F33" s="733"/>
      <c r="G33" s="733"/>
      <c r="H33" s="733"/>
      <c r="I33" s="1775">
        <f t="shared" ref="I33:I48" si="1">((E33+F33)-H33)+G33</f>
        <v>2665000</v>
      </c>
      <c r="J33" s="733">
        <f>I33-27498</f>
        <v>2637502</v>
      </c>
      <c r="K33" s="735"/>
    </row>
    <row r="34" spans="1:11" ht="12" customHeight="1" x14ac:dyDescent="0.2">
      <c r="A34" s="731"/>
      <c r="B34" s="732"/>
      <c r="C34" s="733"/>
      <c r="D34" s="734"/>
      <c r="E34" s="733"/>
      <c r="F34" s="733"/>
      <c r="G34" s="733"/>
      <c r="H34" s="733"/>
      <c r="I34" s="1775">
        <f t="shared" si="1"/>
        <v>0</v>
      </c>
      <c r="J34" s="733"/>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7700000</v>
      </c>
      <c r="D49" s="744"/>
      <c r="E49" s="1775">
        <f t="shared" ref="E49:J49" si="2">SUM(E31:E48)</f>
        <v>5950000</v>
      </c>
      <c r="F49" s="1775">
        <f t="shared" si="2"/>
        <v>0</v>
      </c>
      <c r="G49" s="1775">
        <f t="shared" si="2"/>
        <v>0</v>
      </c>
      <c r="H49" s="1775">
        <f t="shared" si="2"/>
        <v>330000</v>
      </c>
      <c r="I49" s="1775">
        <f t="shared" si="2"/>
        <v>5620000</v>
      </c>
      <c r="J49" s="1775">
        <f t="shared" si="2"/>
        <v>5366258</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17" t="s">
        <v>605</v>
      </c>
      <c r="C52" s="2218"/>
      <c r="D52" s="2218"/>
      <c r="E52" s="748" t="s">
        <v>900</v>
      </c>
      <c r="F52" s="2219"/>
      <c r="G52" s="2220"/>
      <c r="H52" s="735"/>
      <c r="I52" s="735"/>
      <c r="J52" s="745"/>
    </row>
    <row r="53" spans="1:11" ht="11.25" customHeight="1" x14ac:dyDescent="0.2">
      <c r="A53" s="749" t="s">
        <v>969</v>
      </c>
      <c r="B53" s="750" t="s">
        <v>1008</v>
      </c>
      <c r="C53" s="745"/>
      <c r="D53" s="736"/>
      <c r="E53" s="748" t="s">
        <v>518</v>
      </c>
      <c r="F53" s="2221"/>
      <c r="G53" s="2222"/>
      <c r="H53" s="735"/>
      <c r="I53" s="735"/>
      <c r="J53" s="745"/>
    </row>
    <row r="54" spans="1:11" ht="11.25" customHeight="1" x14ac:dyDescent="0.2">
      <c r="A54" s="751" t="s">
        <v>970</v>
      </c>
      <c r="B54" s="746" t="s">
        <v>1009</v>
      </c>
      <c r="C54" s="745"/>
      <c r="D54" s="736"/>
      <c r="E54" s="748" t="s">
        <v>519</v>
      </c>
      <c r="F54" s="2221"/>
      <c r="G54" s="222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911</v>
      </c>
      <c r="B1" s="2252"/>
      <c r="C1" s="2252"/>
      <c r="D1" s="2252"/>
      <c r="E1" s="2252"/>
      <c r="F1" s="2252"/>
      <c r="G1" s="2253"/>
      <c r="H1" s="1550"/>
      <c r="I1" s="759"/>
      <c r="J1" s="433"/>
    </row>
    <row r="2" spans="1:11" ht="26.25" x14ac:dyDescent="0.2">
      <c r="A2" s="2230" t="s">
        <v>1776</v>
      </c>
      <c r="B2" s="2231"/>
      <c r="C2" s="2231"/>
      <c r="D2" s="2231"/>
      <c r="E2" s="2232"/>
      <c r="F2" s="760" t="s">
        <v>960</v>
      </c>
      <c r="G2" s="761" t="s">
        <v>1773</v>
      </c>
      <c r="H2" s="761" t="s">
        <v>430</v>
      </c>
      <c r="I2" s="761" t="s">
        <v>1220</v>
      </c>
      <c r="J2" s="761" t="s">
        <v>1919</v>
      </c>
      <c r="K2" s="761" t="s">
        <v>140</v>
      </c>
    </row>
    <row r="3" spans="1:11" x14ac:dyDescent="0.2">
      <c r="A3" s="2233" t="s">
        <v>1698</v>
      </c>
      <c r="B3" s="2234"/>
      <c r="C3" s="2234"/>
      <c r="D3" s="2234"/>
      <c r="E3" s="2235"/>
      <c r="F3" s="762"/>
      <c r="G3" s="763"/>
      <c r="H3" s="763"/>
      <c r="I3" s="763"/>
      <c r="J3" s="764">
        <v>7507</v>
      </c>
      <c r="K3" s="764">
        <v>6739</v>
      </c>
    </row>
    <row r="4" spans="1:11" x14ac:dyDescent="0.2">
      <c r="A4" s="2236" t="s">
        <v>387</v>
      </c>
      <c r="B4" s="2237"/>
      <c r="C4" s="2237"/>
      <c r="D4" s="2237"/>
      <c r="E4" s="2218"/>
      <c r="F4" s="765"/>
      <c r="G4" s="766"/>
      <c r="H4" s="767"/>
      <c r="I4" s="766"/>
      <c r="J4" s="768"/>
      <c r="K4" s="768"/>
    </row>
    <row r="5" spans="1:11" x14ac:dyDescent="0.2">
      <c r="A5" s="2254" t="s">
        <v>1129</v>
      </c>
      <c r="B5" s="2227"/>
      <c r="C5" s="2227"/>
      <c r="D5" s="2227"/>
      <c r="E5" s="2255"/>
      <c r="F5" s="769" t="s">
        <v>903</v>
      </c>
      <c r="G5" s="770"/>
      <c r="H5" s="763">
        <v>27947</v>
      </c>
      <c r="I5" s="771"/>
      <c r="J5" s="772"/>
      <c r="K5" s="772"/>
    </row>
    <row r="6" spans="1:11" x14ac:dyDescent="0.2">
      <c r="A6" s="773" t="s">
        <v>744</v>
      </c>
      <c r="B6" s="774"/>
      <c r="C6" s="774"/>
      <c r="D6" s="774"/>
      <c r="E6" s="775"/>
      <c r="F6" s="776" t="s">
        <v>904</v>
      </c>
      <c r="G6" s="763"/>
      <c r="H6" s="763">
        <v>10</v>
      </c>
      <c r="I6" s="763"/>
      <c r="J6" s="764">
        <v>3</v>
      </c>
      <c r="K6" s="764">
        <v>4</v>
      </c>
    </row>
    <row r="7" spans="1:11" x14ac:dyDescent="0.2">
      <c r="A7" s="777" t="s">
        <v>264</v>
      </c>
      <c r="B7" s="778"/>
      <c r="C7" s="778"/>
      <c r="D7" s="778"/>
      <c r="E7" s="779"/>
      <c r="F7" s="769" t="s">
        <v>905</v>
      </c>
      <c r="G7" s="766"/>
      <c r="H7" s="766"/>
      <c r="I7" s="766"/>
      <c r="J7" s="780"/>
      <c r="K7" s="764">
        <v>2500</v>
      </c>
    </row>
    <row r="8" spans="1:11" x14ac:dyDescent="0.2">
      <c r="A8" s="777" t="s">
        <v>363</v>
      </c>
      <c r="B8" s="778"/>
      <c r="C8" s="778"/>
      <c r="D8" s="778"/>
      <c r="E8" s="779"/>
      <c r="F8" s="769" t="s">
        <v>906</v>
      </c>
      <c r="G8" s="781"/>
      <c r="H8" s="781"/>
      <c r="I8" s="781"/>
      <c r="J8" s="764">
        <v>3975</v>
      </c>
      <c r="K8" s="768"/>
    </row>
    <row r="9" spans="1:11" x14ac:dyDescent="0.2">
      <c r="A9" s="777" t="s">
        <v>140</v>
      </c>
      <c r="B9" s="778"/>
      <c r="C9" s="778"/>
      <c r="D9" s="778"/>
      <c r="E9" s="779"/>
      <c r="F9" s="776" t="s">
        <v>908</v>
      </c>
      <c r="G9" s="781"/>
      <c r="H9" s="770"/>
      <c r="I9" s="770"/>
      <c r="J9" s="780"/>
      <c r="K9" s="764">
        <v>2189</v>
      </c>
    </row>
    <row r="10" spans="1:11" x14ac:dyDescent="0.2">
      <c r="A10" s="2254" t="s">
        <v>1920</v>
      </c>
      <c r="B10" s="2227"/>
      <c r="C10" s="2227"/>
      <c r="D10" s="2227"/>
      <c r="E10" s="2256"/>
      <c r="F10" s="782" t="s">
        <v>917</v>
      </c>
      <c r="G10" s="781"/>
      <c r="H10" s="783"/>
      <c r="I10" s="763"/>
      <c r="J10" s="764"/>
      <c r="K10" s="764"/>
    </row>
    <row r="11" spans="1:11" x14ac:dyDescent="0.2">
      <c r="A11" s="2254" t="s">
        <v>162</v>
      </c>
      <c r="B11" s="2227"/>
      <c r="C11" s="2227"/>
      <c r="D11" s="2227"/>
      <c r="E11" s="2255"/>
      <c r="F11" s="769" t="s">
        <v>907</v>
      </c>
      <c r="G11" s="770"/>
      <c r="H11" s="763"/>
      <c r="I11" s="763"/>
      <c r="J11" s="764"/>
      <c r="K11" s="772"/>
    </row>
    <row r="12" spans="1:11" ht="13.5" thickBot="1" x14ac:dyDescent="0.25">
      <c r="A12" s="2244" t="s">
        <v>961</v>
      </c>
      <c r="B12" s="2245"/>
      <c r="C12" s="2245"/>
      <c r="D12" s="2245"/>
      <c r="E12" s="2246"/>
      <c r="F12" s="1776"/>
      <c r="G12" s="1777">
        <f>SUM(G5:G11)</f>
        <v>0</v>
      </c>
      <c r="H12" s="1777">
        <f>SUM(H5:H11)</f>
        <v>27957</v>
      </c>
      <c r="I12" s="1777">
        <f>SUM(I5:I11)</f>
        <v>0</v>
      </c>
      <c r="J12" s="1777">
        <f>SUM(J5:J11)</f>
        <v>3978</v>
      </c>
      <c r="K12" s="1777">
        <f>SUM(K5:K11)</f>
        <v>4693</v>
      </c>
    </row>
    <row r="13" spans="1:11" ht="13.5" thickTop="1" x14ac:dyDescent="0.2">
      <c r="A13" s="2238" t="s">
        <v>388</v>
      </c>
      <c r="B13" s="2239"/>
      <c r="C13" s="2239"/>
      <c r="D13" s="2239"/>
      <c r="E13" s="2240"/>
      <c r="F13" s="784"/>
      <c r="G13" s="785"/>
      <c r="H13" s="786"/>
      <c r="I13" s="787"/>
      <c r="J13" s="787"/>
      <c r="K13" s="787"/>
    </row>
    <row r="14" spans="1:11" x14ac:dyDescent="0.2">
      <c r="A14" s="2260" t="s">
        <v>476</v>
      </c>
      <c r="B14" s="2260"/>
      <c r="C14" s="2260"/>
      <c r="D14" s="2260"/>
      <c r="E14" s="2261"/>
      <c r="F14" s="788" t="s">
        <v>909</v>
      </c>
      <c r="G14" s="781"/>
      <c r="H14" s="763">
        <v>27957</v>
      </c>
      <c r="I14" s="770"/>
      <c r="J14" s="772"/>
      <c r="K14" s="764">
        <v>3822</v>
      </c>
    </row>
    <row r="15" spans="1:11" x14ac:dyDescent="0.2">
      <c r="A15" s="2227" t="s">
        <v>4</v>
      </c>
      <c r="B15" s="2227"/>
      <c r="C15" s="2227"/>
      <c r="D15" s="2227"/>
      <c r="E15" s="2255"/>
      <c r="F15" s="788" t="s">
        <v>910</v>
      </c>
      <c r="G15" s="770"/>
      <c r="H15" s="763"/>
      <c r="I15" s="763"/>
      <c r="J15" s="764">
        <v>7875</v>
      </c>
      <c r="K15" s="764"/>
    </row>
    <row r="16" spans="1:11" x14ac:dyDescent="0.2">
      <c r="A16" s="2227" t="s">
        <v>316</v>
      </c>
      <c r="B16" s="2227"/>
      <c r="C16" s="2227"/>
      <c r="D16" s="2227"/>
      <c r="E16" s="2255"/>
      <c r="F16" s="788" t="s">
        <v>980</v>
      </c>
      <c r="G16" s="771"/>
      <c r="H16" s="766"/>
      <c r="I16" s="766"/>
      <c r="J16" s="768"/>
      <c r="K16" s="768"/>
    </row>
    <row r="17" spans="1:11" x14ac:dyDescent="0.2">
      <c r="A17" s="2249" t="s">
        <v>992</v>
      </c>
      <c r="B17" s="2249"/>
      <c r="C17" s="2249"/>
      <c r="D17" s="2249"/>
      <c r="E17" s="2250"/>
      <c r="F17" s="789"/>
      <c r="G17" s="790"/>
      <c r="H17" s="791"/>
      <c r="I17" s="791"/>
      <c r="J17" s="792"/>
      <c r="K17" s="793"/>
    </row>
    <row r="18" spans="1:11" x14ac:dyDescent="0.2">
      <c r="A18" s="2241" t="s">
        <v>386</v>
      </c>
      <c r="B18" s="2242"/>
      <c r="C18" s="2242"/>
      <c r="D18" s="2242"/>
      <c r="E18" s="2243"/>
      <c r="F18" s="788" t="s">
        <v>989</v>
      </c>
      <c r="G18" s="781"/>
      <c r="H18" s="781"/>
      <c r="I18" s="781"/>
      <c r="J18" s="764"/>
      <c r="K18" s="794"/>
    </row>
    <row r="19" spans="1:11" ht="21.75" customHeight="1" x14ac:dyDescent="0.2">
      <c r="A19" s="2262" t="s">
        <v>1916</v>
      </c>
      <c r="B19" s="2262"/>
      <c r="C19" s="2262"/>
      <c r="D19" s="2262"/>
      <c r="E19" s="2263"/>
      <c r="F19" s="788" t="s">
        <v>990</v>
      </c>
      <c r="G19" s="781"/>
      <c r="H19" s="781"/>
      <c r="I19" s="781"/>
      <c r="J19" s="764"/>
      <c r="K19" s="794"/>
    </row>
    <row r="20" spans="1:11" x14ac:dyDescent="0.2">
      <c r="A20" s="2241" t="s">
        <v>1921</v>
      </c>
      <c r="B20" s="2242"/>
      <c r="C20" s="2242"/>
      <c r="D20" s="2242"/>
      <c r="E20" s="2243"/>
      <c r="F20" s="788" t="s">
        <v>991</v>
      </c>
      <c r="G20" s="781"/>
      <c r="H20" s="781"/>
      <c r="I20" s="781"/>
      <c r="J20" s="764"/>
      <c r="K20" s="794"/>
    </row>
    <row r="21" spans="1:11" ht="13.5" thickBot="1" x14ac:dyDescent="0.25">
      <c r="A21" s="2247" t="s">
        <v>659</v>
      </c>
      <c r="B21" s="2247"/>
      <c r="C21" s="2247"/>
      <c r="D21" s="2247"/>
      <c r="E21" s="2247"/>
      <c r="F21" s="1778"/>
      <c r="G21" s="791"/>
      <c r="H21" s="795"/>
      <c r="I21" s="795"/>
      <c r="J21" s="1779">
        <f>SUM(J18:J20)</f>
        <v>0</v>
      </c>
      <c r="K21" s="792"/>
    </row>
    <row r="22" spans="1:11" ht="13.5" thickTop="1" x14ac:dyDescent="0.2">
      <c r="A22" s="2227" t="s">
        <v>1922</v>
      </c>
      <c r="B22" s="2227"/>
      <c r="C22" s="2227"/>
      <c r="D22" s="2227"/>
      <c r="E22" s="2255"/>
      <c r="F22" s="788" t="s">
        <v>917</v>
      </c>
      <c r="G22" s="781"/>
      <c r="H22" s="763"/>
      <c r="I22" s="763"/>
      <c r="J22" s="796"/>
      <c r="K22" s="764"/>
    </row>
    <row r="23" spans="1:11" ht="13.5" thickBot="1" x14ac:dyDescent="0.25">
      <c r="A23" s="2248" t="s">
        <v>962</v>
      </c>
      <c r="B23" s="2247"/>
      <c r="C23" s="2247"/>
      <c r="D23" s="2247"/>
      <c r="E23" s="2247"/>
      <c r="F23" s="1780"/>
      <c r="G23" s="1777">
        <f>SUM(G14:G16,G21,G22)</f>
        <v>0</v>
      </c>
      <c r="H23" s="1777">
        <f>SUM(H14:H16,H21,H22)</f>
        <v>27957</v>
      </c>
      <c r="I23" s="1777">
        <f>SUM(I14:I16,I21,I22)</f>
        <v>0</v>
      </c>
      <c r="J23" s="1777">
        <f>SUM(J14:J16,J21,J22)</f>
        <v>7875</v>
      </c>
      <c r="K23" s="1777">
        <f>SUM(K14:K16,K21,K22)</f>
        <v>3822</v>
      </c>
    </row>
    <row r="24" spans="1:11" ht="14.25" thickTop="1" thickBot="1" x14ac:dyDescent="0.25">
      <c r="A24" s="2248" t="s">
        <v>2026</v>
      </c>
      <c r="B24" s="2247"/>
      <c r="C24" s="2247"/>
      <c r="D24" s="2247"/>
      <c r="E24" s="2247"/>
      <c r="F24" s="1781"/>
      <c r="G24" s="1782">
        <f>SUM(G3,G12)-G23</f>
        <v>0</v>
      </c>
      <c r="H24" s="1782">
        <f>SUM(H3,H12)-H23</f>
        <v>0</v>
      </c>
      <c r="I24" s="1782">
        <f>SUM(I3,I12)-I23</f>
        <v>0</v>
      </c>
      <c r="J24" s="1782">
        <f>SUM(J3,J12)-J23</f>
        <v>3610</v>
      </c>
      <c r="K24" s="1782">
        <f>SUM(K3,K12)-K23</f>
        <v>7610</v>
      </c>
    </row>
    <row r="25" spans="1:11" ht="13.5" thickTop="1" x14ac:dyDescent="0.2">
      <c r="A25" s="797" t="s">
        <v>440</v>
      </c>
      <c r="B25" s="798"/>
      <c r="C25" s="798"/>
      <c r="D25" s="798"/>
      <c r="E25" s="799"/>
      <c r="F25" s="800">
        <v>714</v>
      </c>
      <c r="G25" s="801"/>
      <c r="H25" s="801"/>
      <c r="I25" s="801"/>
      <c r="J25" s="796">
        <v>3610</v>
      </c>
      <c r="K25" s="796">
        <v>7610</v>
      </c>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2036</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57"/>
      <c r="I31" s="2258"/>
      <c r="J31" s="2258"/>
      <c r="K31" s="2258"/>
    </row>
    <row r="32" spans="1:11" x14ac:dyDescent="0.2">
      <c r="A32" s="808"/>
      <c r="B32" s="237"/>
      <c r="C32" s="237"/>
      <c r="D32" s="237"/>
      <c r="E32" s="804"/>
      <c r="F32" s="810" t="s">
        <v>561</v>
      </c>
      <c r="G32" s="763"/>
      <c r="H32" s="2259"/>
      <c r="I32" s="2258"/>
      <c r="J32" s="2258"/>
      <c r="K32" s="2258"/>
    </row>
    <row r="33" spans="1:11" ht="1.5" customHeight="1" x14ac:dyDescent="0.2">
      <c r="A33" s="811" t="s">
        <v>1231</v>
      </c>
      <c r="B33" s="364"/>
      <c r="C33" s="364"/>
      <c r="D33" s="364"/>
      <c r="E33" s="364"/>
      <c r="F33" s="364"/>
      <c r="G33" s="812"/>
      <c r="H33" s="2259"/>
      <c r="I33" s="2258"/>
      <c r="J33" s="2258"/>
      <c r="K33" s="2258"/>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27" t="s">
        <v>562</v>
      </c>
      <c r="B41" s="2228"/>
      <c r="C41" s="2228"/>
      <c r="D41" s="2228"/>
      <c r="E41" s="2228"/>
      <c r="F41" s="2229"/>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5"/>
      <c r="E1" s="826"/>
      <c r="F1" s="826"/>
      <c r="G1" s="827"/>
      <c r="H1" s="828"/>
      <c r="I1" s="829"/>
      <c r="J1" s="2264"/>
      <c r="K1" s="2265"/>
      <c r="L1" s="2265"/>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79">
        <f>(C3+D3)-E3</f>
        <v>0</v>
      </c>
      <c r="G3" s="835"/>
      <c r="H3" s="834">
        <v>0</v>
      </c>
      <c r="I3" s="834">
        <v>0</v>
      </c>
      <c r="J3" s="834">
        <v>0</v>
      </c>
      <c r="K3" s="1788">
        <f>(H3+I3)-J3</f>
        <v>0</v>
      </c>
      <c r="L3" s="1788">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347082</v>
      </c>
      <c r="D5" s="840">
        <v>0</v>
      </c>
      <c r="E5" s="840">
        <v>0</v>
      </c>
      <c r="F5" s="1779">
        <f>(C5+D5)-E5</f>
        <v>347082</v>
      </c>
      <c r="G5" s="836"/>
      <c r="H5" s="841"/>
      <c r="I5" s="841"/>
      <c r="J5" s="841"/>
      <c r="K5" s="792"/>
      <c r="L5" s="1788">
        <f>F5-K5</f>
        <v>347082</v>
      </c>
    </row>
    <row r="6" spans="1:14" ht="14.25" thickTop="1" thickBot="1" x14ac:dyDescent="0.25">
      <c r="A6" s="777" t="s">
        <v>1179</v>
      </c>
      <c r="B6" s="839">
        <v>222</v>
      </c>
      <c r="C6" s="764">
        <v>0</v>
      </c>
      <c r="D6" s="764">
        <v>0</v>
      </c>
      <c r="E6" s="764">
        <v>0</v>
      </c>
      <c r="F6" s="1779">
        <f>(C6+D6)-E6</f>
        <v>0</v>
      </c>
      <c r="G6" s="836">
        <v>50</v>
      </c>
      <c r="H6" s="764">
        <v>0</v>
      </c>
      <c r="I6" s="764">
        <v>0</v>
      </c>
      <c r="J6" s="764">
        <v>0</v>
      </c>
      <c r="K6" s="1788">
        <f>(H6+I6)-J6</f>
        <v>0</v>
      </c>
      <c r="L6" s="1788">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12791264</v>
      </c>
      <c r="D8" s="843">
        <v>25688</v>
      </c>
      <c r="E8" s="843">
        <v>0</v>
      </c>
      <c r="F8" s="1779">
        <f>(C8+D8)-E8</f>
        <v>12816952</v>
      </c>
      <c r="G8" s="842">
        <v>50</v>
      </c>
      <c r="H8" s="764">
        <v>4327148</v>
      </c>
      <c r="I8" s="764">
        <v>256338</v>
      </c>
      <c r="J8" s="764">
        <v>0</v>
      </c>
      <c r="K8" s="1788">
        <f>(H8+I8)-J8</f>
        <v>4583486</v>
      </c>
      <c r="L8" s="1788">
        <f>F8-K8</f>
        <v>8233466</v>
      </c>
    </row>
    <row r="9" spans="1:14" ht="14.25" thickTop="1" thickBot="1" x14ac:dyDescent="0.25">
      <c r="A9" s="777" t="s">
        <v>1181</v>
      </c>
      <c r="B9" s="839">
        <v>232</v>
      </c>
      <c r="C9" s="764">
        <v>0</v>
      </c>
      <c r="D9" s="764">
        <v>0</v>
      </c>
      <c r="E9" s="764">
        <v>0</v>
      </c>
      <c r="F9" s="1779">
        <f>(C9+D9)-E9</f>
        <v>0</v>
      </c>
      <c r="G9" s="842">
        <v>20</v>
      </c>
      <c r="H9" s="764">
        <v>0</v>
      </c>
      <c r="I9" s="764">
        <v>0</v>
      </c>
      <c r="J9" s="764">
        <v>0</v>
      </c>
      <c r="K9" s="1788">
        <f>(H9+I9)-J9</f>
        <v>0</v>
      </c>
      <c r="L9" s="1788">
        <f>F9-K9</f>
        <v>0</v>
      </c>
    </row>
    <row r="10" spans="1:14" ht="24" thickTop="1" thickBot="1" x14ac:dyDescent="0.25">
      <c r="A10" s="844" t="s">
        <v>1182</v>
      </c>
      <c r="B10" s="839">
        <v>240</v>
      </c>
      <c r="C10" s="845">
        <v>687954</v>
      </c>
      <c r="D10" s="845">
        <v>7875</v>
      </c>
      <c r="E10" s="845">
        <v>0</v>
      </c>
      <c r="F10" s="1783">
        <f>(C10+D10)-E10</f>
        <v>695829</v>
      </c>
      <c r="G10" s="842">
        <v>20</v>
      </c>
      <c r="H10" s="846">
        <v>341833</v>
      </c>
      <c r="I10" s="846">
        <v>24868</v>
      </c>
      <c r="J10" s="846">
        <v>0</v>
      </c>
      <c r="K10" s="1788">
        <f>(H10+I10)-J10</f>
        <v>366701</v>
      </c>
      <c r="L10" s="1788">
        <f>F10-K10</f>
        <v>329128</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1098864</v>
      </c>
      <c r="D12" s="843">
        <v>43657</v>
      </c>
      <c r="E12" s="843">
        <v>220410</v>
      </c>
      <c r="F12" s="1779">
        <f>(C12+D12)-E12</f>
        <v>922111</v>
      </c>
      <c r="G12" s="842">
        <v>10</v>
      </c>
      <c r="H12" s="764">
        <v>649616</v>
      </c>
      <c r="I12" s="764">
        <v>92208</v>
      </c>
      <c r="J12" s="764">
        <v>220410</v>
      </c>
      <c r="K12" s="1788">
        <f>(H12+I12)-J12</f>
        <v>521414</v>
      </c>
      <c r="L12" s="1788">
        <f>F12-K12</f>
        <v>400697</v>
      </c>
    </row>
    <row r="13" spans="1:14" ht="14.25" thickTop="1" thickBot="1" x14ac:dyDescent="0.25">
      <c r="A13" s="847" t="s">
        <v>1184</v>
      </c>
      <c r="B13" s="839">
        <v>252</v>
      </c>
      <c r="C13" s="843">
        <v>445030</v>
      </c>
      <c r="D13" s="843">
        <v>0</v>
      </c>
      <c r="E13" s="843">
        <v>0</v>
      </c>
      <c r="F13" s="1779">
        <f>(C13+D13)-E13</f>
        <v>445030</v>
      </c>
      <c r="G13" s="842">
        <v>5</v>
      </c>
      <c r="H13" s="764">
        <v>431971</v>
      </c>
      <c r="I13" s="764">
        <v>3265</v>
      </c>
      <c r="J13" s="764">
        <v>0</v>
      </c>
      <c r="K13" s="1788">
        <f>(H13+I13)-J13</f>
        <v>435236</v>
      </c>
      <c r="L13" s="1788">
        <f>F13-K13</f>
        <v>9794</v>
      </c>
    </row>
    <row r="14" spans="1:14" ht="14.25" thickTop="1" thickBot="1" x14ac:dyDescent="0.25">
      <c r="A14" s="847" t="s">
        <v>1185</v>
      </c>
      <c r="B14" s="839">
        <v>253</v>
      </c>
      <c r="C14" s="764">
        <v>2573</v>
      </c>
      <c r="D14" s="764">
        <v>0</v>
      </c>
      <c r="E14" s="764">
        <v>0</v>
      </c>
      <c r="F14" s="1779">
        <f>(C14+D14)-E14</f>
        <v>2573</v>
      </c>
      <c r="G14" s="842">
        <v>3</v>
      </c>
      <c r="H14" s="764">
        <v>2573</v>
      </c>
      <c r="I14" s="764">
        <v>0</v>
      </c>
      <c r="J14" s="764">
        <v>0</v>
      </c>
      <c r="K14" s="1788">
        <f>(H14+I14)-J14</f>
        <v>2573</v>
      </c>
      <c r="L14" s="1788">
        <f>F14-K14</f>
        <v>0</v>
      </c>
    </row>
    <row r="15" spans="1:14" ht="15" customHeight="1" thickTop="1" thickBot="1" x14ac:dyDescent="0.25">
      <c r="A15" s="1651" t="s">
        <v>549</v>
      </c>
      <c r="B15" s="1650">
        <v>260</v>
      </c>
      <c r="C15" s="843">
        <v>0</v>
      </c>
      <c r="D15" s="843">
        <v>0</v>
      </c>
      <c r="E15" s="843">
        <v>0</v>
      </c>
      <c r="F15" s="1779">
        <f>(C15+D15)-E15</f>
        <v>0</v>
      </c>
      <c r="G15" s="848" t="s">
        <v>917</v>
      </c>
      <c r="H15" s="780"/>
      <c r="I15" s="780"/>
      <c r="J15" s="780"/>
      <c r="K15" s="780"/>
      <c r="L15" s="1788">
        <f>F15-K15</f>
        <v>0</v>
      </c>
    </row>
    <row r="16" spans="1:14" ht="15" customHeight="1" thickTop="1" thickBot="1" x14ac:dyDescent="0.25">
      <c r="A16" s="1784" t="s">
        <v>664</v>
      </c>
      <c r="B16" s="1785">
        <v>200</v>
      </c>
      <c r="C16" s="1779">
        <f>SUM(C3,C5:C6,C8:C10,C12:C15)</f>
        <v>15372767</v>
      </c>
      <c r="D16" s="1779">
        <f>SUM(D3,D5:D6,D8:D10,D12:D15)</f>
        <v>77220</v>
      </c>
      <c r="E16" s="1779">
        <f>SUM(E3,E5:E6,E8:E10,E12:E15)</f>
        <v>220410</v>
      </c>
      <c r="F16" s="1779">
        <f>SUM(F3,F5:F6,F8:F10,F12:F15)</f>
        <v>15229577</v>
      </c>
      <c r="G16" s="842"/>
      <c r="H16" s="1779">
        <f>SUM(H3,H6,H8:H10,H12:H14,)</f>
        <v>5753141</v>
      </c>
      <c r="I16" s="1779">
        <f>SUM(I3,I6,I8:I10,I12:I14,)</f>
        <v>376679</v>
      </c>
      <c r="J16" s="1779">
        <f>SUM(J3,J6,J8:J10,J12:J14,)</f>
        <v>220410</v>
      </c>
      <c r="K16" s="1779">
        <f>(H16+I16)-J16</f>
        <v>5909410</v>
      </c>
      <c r="L16" s="1779">
        <f>F16-K16</f>
        <v>9320167</v>
      </c>
    </row>
    <row r="17" spans="1:12" ht="15" customHeight="1" thickTop="1" thickBot="1" x14ac:dyDescent="0.25">
      <c r="A17" s="1653" t="s">
        <v>309</v>
      </c>
      <c r="B17" s="1650">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376679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S35" sqref="S35"/>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2" t="s">
        <v>1699</v>
      </c>
      <c r="B1" s="2273"/>
      <c r="C1" s="2273"/>
      <c r="D1" s="2273"/>
      <c r="E1" s="2273"/>
      <c r="F1" s="2274"/>
      <c r="G1" s="854"/>
    </row>
    <row r="2" spans="1:7" ht="15" customHeight="1" thickBot="1" x14ac:dyDescent="0.25">
      <c r="A2" s="2275" t="s">
        <v>498</v>
      </c>
      <c r="B2" s="2276"/>
      <c r="C2" s="2276"/>
      <c r="D2" s="2276"/>
      <c r="E2" s="2276"/>
      <c r="F2" s="2277"/>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4439304</v>
      </c>
      <c r="G8" s="864"/>
    </row>
    <row r="9" spans="1:7" x14ac:dyDescent="0.2">
      <c r="A9" s="868" t="s">
        <v>480</v>
      </c>
      <c r="B9" s="869" t="s">
        <v>1989</v>
      </c>
      <c r="C9" s="870"/>
      <c r="D9" s="868" t="s">
        <v>522</v>
      </c>
      <c r="E9" s="867"/>
      <c r="F9" s="1932">
        <f>'Expenditures 15-22'!K151</f>
        <v>475760</v>
      </c>
      <c r="G9" s="871"/>
    </row>
    <row r="10" spans="1:7" x14ac:dyDescent="0.2">
      <c r="A10" s="868" t="s">
        <v>520</v>
      </c>
      <c r="B10" s="869" t="s">
        <v>1990</v>
      </c>
      <c r="C10" s="870"/>
      <c r="D10" s="868" t="s">
        <v>522</v>
      </c>
      <c r="E10" s="867"/>
      <c r="F10" s="1932">
        <f>'Expenditures 15-22'!K174</f>
        <v>631403</v>
      </c>
      <c r="G10" s="871"/>
    </row>
    <row r="11" spans="1:7" x14ac:dyDescent="0.2">
      <c r="A11" s="868" t="s">
        <v>481</v>
      </c>
      <c r="B11" s="869" t="s">
        <v>1991</v>
      </c>
      <c r="C11" s="870"/>
      <c r="D11" s="868" t="s">
        <v>522</v>
      </c>
      <c r="E11" s="867"/>
      <c r="F11" s="1932">
        <f>'Expenditures 15-22'!K210</f>
        <v>312343</v>
      </c>
      <c r="G11" s="871"/>
    </row>
    <row r="12" spans="1:7" x14ac:dyDescent="0.2">
      <c r="A12" s="868" t="s">
        <v>482</v>
      </c>
      <c r="B12" s="869" t="s">
        <v>1992</v>
      </c>
      <c r="C12" s="870"/>
      <c r="D12" s="868" t="s">
        <v>522</v>
      </c>
      <c r="E12" s="867"/>
      <c r="F12" s="1932">
        <f>'Expenditures 15-22'!K295</f>
        <v>196690</v>
      </c>
      <c r="G12" s="871"/>
    </row>
    <row r="13" spans="1:7" x14ac:dyDescent="0.2">
      <c r="A13" s="868" t="s">
        <v>108</v>
      </c>
      <c r="B13" s="869" t="s">
        <v>1993</v>
      </c>
      <c r="C13" s="870"/>
      <c r="D13" s="868" t="s">
        <v>522</v>
      </c>
      <c r="E13" s="867"/>
      <c r="F13" s="1932">
        <f>'Expenditures 15-22'!K342</f>
        <v>152535</v>
      </c>
      <c r="G13" s="872"/>
    </row>
    <row r="14" spans="1:7" ht="12" customHeight="1" thickBot="1" x14ac:dyDescent="0.25">
      <c r="A14" s="1789"/>
      <c r="B14" s="1790"/>
      <c r="C14" s="1791"/>
      <c r="D14" s="1792" t="s">
        <v>522</v>
      </c>
      <c r="E14" s="1793" t="s">
        <v>1015</v>
      </c>
      <c r="F14" s="1794">
        <f>SUM(F8:F13)</f>
        <v>6208035</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6903</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89786</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2340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192085</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1163</v>
      </c>
      <c r="G52" s="864"/>
    </row>
    <row r="53" spans="1:7" x14ac:dyDescent="0.2">
      <c r="A53" s="868" t="s">
        <v>479</v>
      </c>
      <c r="B53" s="868" t="s">
        <v>1551</v>
      </c>
      <c r="C53" s="888">
        <f>'Expenditures 15-22'!B102</f>
        <v>4000</v>
      </c>
      <c r="D53" s="887" t="str">
        <f>'Expenditures 15-22'!A102</f>
        <v>Total Payments to Other Govt Units</v>
      </c>
      <c r="E53" s="867"/>
      <c r="F53" s="1936">
        <f>'Expenditures 15-22'!K102</f>
        <v>141423</v>
      </c>
      <c r="G53" s="864"/>
    </row>
    <row r="54" spans="1:7" x14ac:dyDescent="0.2">
      <c r="A54" s="868" t="s">
        <v>479</v>
      </c>
      <c r="B54" s="868" t="s">
        <v>1552</v>
      </c>
      <c r="C54" s="888" t="s">
        <v>1039</v>
      </c>
      <c r="D54" s="884" t="s">
        <v>1157</v>
      </c>
      <c r="E54" s="867"/>
      <c r="F54" s="1936">
        <f>'Expenditures 15-22'!G114</f>
        <v>33361</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6">
        <f>'Expenditures 15-22'!K139</f>
        <v>0</v>
      </c>
      <c r="G57" s="864"/>
    </row>
    <row r="58" spans="1:7" x14ac:dyDescent="0.2">
      <c r="A58" s="868" t="s">
        <v>480</v>
      </c>
      <c r="B58" s="868" t="s">
        <v>1995</v>
      </c>
      <c r="C58" s="885" t="s">
        <v>1039</v>
      </c>
      <c r="D58" s="884" t="s">
        <v>1157</v>
      </c>
      <c r="E58" s="867"/>
      <c r="F58" s="1938">
        <f>'Expenditures 15-22'!G151</f>
        <v>12892</v>
      </c>
      <c r="G58" s="864"/>
    </row>
    <row r="59" spans="1:7" x14ac:dyDescent="0.2">
      <c r="A59" s="892" t="s">
        <v>480</v>
      </c>
      <c r="B59" s="855" t="s">
        <v>1996</v>
      </c>
      <c r="C59" s="893" t="s">
        <v>1039</v>
      </c>
      <c r="D59" s="855" t="s">
        <v>309</v>
      </c>
      <c r="F59" s="1939">
        <f>'Expenditures 15-22'!I151</f>
        <v>0</v>
      </c>
      <c r="G59" s="864"/>
    </row>
    <row r="60" spans="1:7" x14ac:dyDescent="0.2">
      <c r="A60" s="892" t="s">
        <v>520</v>
      </c>
      <c r="B60" s="855" t="s">
        <v>1997</v>
      </c>
      <c r="C60" s="893">
        <v>4000</v>
      </c>
      <c r="D60" s="855" t="s">
        <v>330</v>
      </c>
      <c r="F60" s="1937">
        <f>'Expenditures 15-22'!K160</f>
        <v>0</v>
      </c>
      <c r="G60" s="864"/>
    </row>
    <row r="61" spans="1:7" x14ac:dyDescent="0.2">
      <c r="A61" s="894" t="s">
        <v>520</v>
      </c>
      <c r="B61" s="894" t="s">
        <v>1998</v>
      </c>
      <c r="C61" s="895" t="str">
        <f>'Expenditures 15-22'!B170</f>
        <v>5300</v>
      </c>
      <c r="D61" s="896" t="s">
        <v>329</v>
      </c>
      <c r="E61" s="878"/>
      <c r="F61" s="1936">
        <f>'Expenditures 15-22'!K170</f>
        <v>330000</v>
      </c>
      <c r="G61" s="864"/>
    </row>
    <row r="62" spans="1:7" x14ac:dyDescent="0.2">
      <c r="A62" s="868" t="s">
        <v>481</v>
      </c>
      <c r="B62" s="868" t="s">
        <v>1999</v>
      </c>
      <c r="C62" s="885">
        <f>'Expenditures 15-22'!B185</f>
        <v>3000</v>
      </c>
      <c r="D62" s="875" t="s">
        <v>469</v>
      </c>
      <c r="E62" s="867"/>
      <c r="F62" s="1936">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2001</v>
      </c>
      <c r="C64" s="895" t="str">
        <f>'Expenditures 15-22'!B206</f>
        <v>5300</v>
      </c>
      <c r="D64" s="891" t="s">
        <v>329</v>
      </c>
      <c r="E64" s="867"/>
      <c r="F64" s="1936">
        <f>'Expenditures 15-22'!K206</f>
        <v>0</v>
      </c>
      <c r="G64" s="864"/>
    </row>
    <row r="65" spans="1:8" x14ac:dyDescent="0.2">
      <c r="A65" s="868" t="s">
        <v>481</v>
      </c>
      <c r="B65" s="868" t="s">
        <v>2002</v>
      </c>
      <c r="C65" s="885" t="s">
        <v>1039</v>
      </c>
      <c r="D65" s="884" t="s">
        <v>1157</v>
      </c>
      <c r="E65" s="867"/>
      <c r="F65" s="1936">
        <f>'Expenditures 15-22'!G210</f>
        <v>0</v>
      </c>
      <c r="G65" s="864"/>
    </row>
    <row r="66" spans="1:8" x14ac:dyDescent="0.2">
      <c r="A66" s="868" t="s">
        <v>481</v>
      </c>
      <c r="B66" s="868" t="s">
        <v>2003</v>
      </c>
      <c r="C66" s="885" t="s">
        <v>1039</v>
      </c>
      <c r="D66" s="884" t="s">
        <v>309</v>
      </c>
      <c r="E66" s="867"/>
      <c r="F66" s="1936">
        <f>'Expenditures 15-22'!I210</f>
        <v>0</v>
      </c>
      <c r="G66" s="864"/>
    </row>
    <row r="67" spans="1:8" x14ac:dyDescent="0.2">
      <c r="A67" s="868" t="s">
        <v>482</v>
      </c>
      <c r="B67" s="868" t="s">
        <v>2004</v>
      </c>
      <c r="C67" s="885" t="str">
        <f>'Expenditures 15-22'!B216</f>
        <v>1125</v>
      </c>
      <c r="D67" s="891" t="str">
        <f>'Expenditures 15-22'!A216</f>
        <v>Pre-K Programs</v>
      </c>
      <c r="E67" s="867"/>
      <c r="F67" s="1936">
        <f>'Expenditures 15-22'!K216</f>
        <v>5186</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2006</v>
      </c>
      <c r="C70" s="885">
        <f>'Expenditures 15-22'!B221</f>
        <v>1300</v>
      </c>
      <c r="D70" s="886" t="str">
        <f>'Expenditures 15-22'!A221</f>
        <v>Adult/Continuing Education Programs</v>
      </c>
      <c r="E70" s="867"/>
      <c r="F70" s="1936">
        <f>'Expenditures 15-22'!K221</f>
        <v>0</v>
      </c>
      <c r="G70" s="864"/>
    </row>
    <row r="71" spans="1:8" x14ac:dyDescent="0.2">
      <c r="A71" s="868" t="s">
        <v>482</v>
      </c>
      <c r="B71" s="868" t="s">
        <v>2007</v>
      </c>
      <c r="C71" s="885">
        <f>'Expenditures 15-22'!B224</f>
        <v>1600</v>
      </c>
      <c r="D71" s="886" t="str">
        <f>'Expenditures 15-22'!A224</f>
        <v>Summer School Programs</v>
      </c>
      <c r="E71" s="867"/>
      <c r="F71" s="1936">
        <f>'Expenditures 15-22'!K224</f>
        <v>31</v>
      </c>
      <c r="G71" s="864"/>
    </row>
    <row r="72" spans="1:8" x14ac:dyDescent="0.2">
      <c r="A72" s="868" t="s">
        <v>482</v>
      </c>
      <c r="B72" s="868" t="s">
        <v>2008</v>
      </c>
      <c r="C72" s="885">
        <f>'Expenditures 15-22'!B280</f>
        <v>3000</v>
      </c>
      <c r="D72" s="875" t="s">
        <v>469</v>
      </c>
      <c r="E72" s="867"/>
      <c r="F72" s="1936">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6">
        <f>'Expenditures 15-22'!K285</f>
        <v>0</v>
      </c>
      <c r="G73" s="864"/>
    </row>
    <row r="74" spans="1:8" x14ac:dyDescent="0.2">
      <c r="A74" s="868" t="s">
        <v>456</v>
      </c>
      <c r="B74" s="868" t="s">
        <v>2010</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2011</v>
      </c>
      <c r="E76" s="1793" t="s">
        <v>1015</v>
      </c>
      <c r="F76" s="1797">
        <f>SUM(F18:F74)</f>
        <v>815170</v>
      </c>
      <c r="G76" s="864"/>
    </row>
    <row r="77" spans="1:8" s="892" customFormat="1" ht="12" customHeight="1" thickTop="1" thickBot="1" x14ac:dyDescent="0.25">
      <c r="A77" s="1798"/>
      <c r="B77" s="1795"/>
      <c r="C77" s="1791"/>
      <c r="D77" s="1796" t="s">
        <v>2012</v>
      </c>
      <c r="E77" s="1793"/>
      <c r="F77" s="1799">
        <f>(F14-F76)</f>
        <v>5392865</v>
      </c>
      <c r="G77" s="868"/>
    </row>
    <row r="78" spans="1:8" s="892" customFormat="1" ht="12" customHeight="1" thickTop="1" x14ac:dyDescent="0.2">
      <c r="A78" s="1800"/>
      <c r="B78" s="1795"/>
      <c r="C78" s="1791"/>
      <c r="D78" s="1796" t="s">
        <v>2059</v>
      </c>
      <c r="E78" s="1793"/>
      <c r="F78" s="897">
        <v>481.97</v>
      </c>
      <c r="G78" s="898"/>
      <c r="H78" s="868"/>
    </row>
    <row r="79" spans="1:8" s="892" customFormat="1" ht="12" customHeight="1" thickBot="1" x14ac:dyDescent="0.25">
      <c r="A79" s="1801"/>
      <c r="B79" s="1795"/>
      <c r="C79" s="1791"/>
      <c r="D79" s="1796" t="s">
        <v>2013</v>
      </c>
      <c r="E79" s="1793" t="s">
        <v>1015</v>
      </c>
      <c r="F79" s="1802">
        <f>IF(F78&gt;0,F77/F78," Complete Line 78")</f>
        <v>11189.213021557358</v>
      </c>
      <c r="G79" s="868"/>
    </row>
    <row r="80" spans="1:8" s="892" customFormat="1" ht="8.25" customHeight="1" thickTop="1" x14ac:dyDescent="0.2">
      <c r="A80" s="899"/>
      <c r="B80" s="868"/>
      <c r="C80" s="870"/>
      <c r="D80" s="900"/>
      <c r="E80" s="867"/>
      <c r="F80" s="901"/>
      <c r="G80" s="868"/>
    </row>
    <row r="81" spans="1:7" s="892" customFormat="1" ht="12" thickBot="1" x14ac:dyDescent="0.25">
      <c r="A81" s="2269" t="s">
        <v>1167</v>
      </c>
      <c r="B81" s="2270"/>
      <c r="C81" s="2270"/>
      <c r="D81" s="2270"/>
      <c r="E81" s="2270"/>
      <c r="F81" s="2271"/>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79619</v>
      </c>
      <c r="G94" s="911"/>
    </row>
    <row r="95" spans="1:7" x14ac:dyDescent="0.2">
      <c r="A95" s="907" t="s">
        <v>142</v>
      </c>
      <c r="B95" s="907" t="s">
        <v>177</v>
      </c>
      <c r="C95" s="909">
        <v>1700</v>
      </c>
      <c r="D95" s="917" t="str">
        <f>'Revenues 9-14'!A82</f>
        <v>Total District/School Activity Income</v>
      </c>
      <c r="E95" s="905"/>
      <c r="F95" s="1808">
        <f>SUM('Revenues 9-14'!C82,'Revenues 9-14'!D82)</f>
        <v>18242</v>
      </c>
      <c r="G95" s="911"/>
    </row>
    <row r="96" spans="1:7" x14ac:dyDescent="0.2">
      <c r="A96" s="907" t="s">
        <v>479</v>
      </c>
      <c r="B96" s="907" t="s">
        <v>178</v>
      </c>
      <c r="C96" s="909">
        <f>'Revenues 9-14'!B84</f>
        <v>1811</v>
      </c>
      <c r="D96" s="910" t="str">
        <f>'Revenues 9-14'!A84</f>
        <v>Rentals - Regular Textbooks</v>
      </c>
      <c r="E96" s="905"/>
      <c r="F96" s="1808">
        <f>'Revenues 9-14'!C84</f>
        <v>24557</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0</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7269</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207764</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3066</v>
      </c>
      <c r="G106" s="911"/>
    </row>
    <row r="107" spans="1:7" x14ac:dyDescent="0.2">
      <c r="A107" s="920" t="s">
        <v>685</v>
      </c>
      <c r="B107" s="907" t="s">
        <v>843</v>
      </c>
      <c r="C107" s="919">
        <v>3300</v>
      </c>
      <c r="D107" s="910" t="str">
        <f>'Revenues 9-14'!A144</f>
        <v>Total Bilingual Ed</v>
      </c>
      <c r="E107" s="905"/>
      <c r="F107" s="1808">
        <f>SUM('Revenues 9-14'!C144,'Revenues 9-14'!G144)</f>
        <v>1778</v>
      </c>
      <c r="G107" s="911"/>
    </row>
    <row r="108" spans="1:7" x14ac:dyDescent="0.2">
      <c r="A108" s="907" t="s">
        <v>479</v>
      </c>
      <c r="B108" s="907" t="s">
        <v>844</v>
      </c>
      <c r="C108" s="919">
        <f>'Revenues 9-14'!B145</f>
        <v>3360</v>
      </c>
      <c r="D108" s="910" t="str">
        <f>'Revenues 9-14'!A145</f>
        <v>State Free Lunch &amp; Breakfast</v>
      </c>
      <c r="E108" s="905"/>
      <c r="F108" s="1808">
        <f>'Revenues 9-14'!C145</f>
        <v>1181</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2189</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188781</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750</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26357</v>
      </c>
      <c r="G128" s="929"/>
    </row>
    <row r="129" spans="1:7" x14ac:dyDescent="0.2">
      <c r="A129" s="926" t="s">
        <v>685</v>
      </c>
      <c r="B129" s="926" t="s">
        <v>803</v>
      </c>
      <c r="C129" s="931">
        <v>4200</v>
      </c>
      <c r="D129" s="928" t="str">
        <f>'Revenues 9-14'!A201</f>
        <v>Total Food Service</v>
      </c>
      <c r="E129" s="905"/>
      <c r="F129" s="1808">
        <f>SUM('Revenues 9-14'!C201,'Revenues 9-14'!G201)</f>
        <v>87459</v>
      </c>
      <c r="G129" s="929"/>
    </row>
    <row r="130" spans="1:7" x14ac:dyDescent="0.2">
      <c r="A130" s="926" t="s">
        <v>689</v>
      </c>
      <c r="B130" s="926" t="s">
        <v>804</v>
      </c>
      <c r="C130" s="931">
        <v>4300</v>
      </c>
      <c r="D130" s="932" t="str">
        <f>'Revenues 9-14'!A211</f>
        <v>Total Title I</v>
      </c>
      <c r="E130" s="905"/>
      <c r="F130" s="1808">
        <f>SUM('Revenues 9-14'!C211,'Revenues 9-14'!D211,'Revenues 9-14'!F211,'Revenues 9-14'!G211)</f>
        <v>76033</v>
      </c>
      <c r="G130" s="929"/>
    </row>
    <row r="131" spans="1:7" x14ac:dyDescent="0.2">
      <c r="A131" s="926" t="s">
        <v>689</v>
      </c>
      <c r="B131" s="926" t="s">
        <v>805</v>
      </c>
      <c r="C131" s="931">
        <v>4400</v>
      </c>
      <c r="D131" s="932" t="str">
        <f>'Revenues 9-14'!A216</f>
        <v>Total Title IV</v>
      </c>
      <c r="E131" s="905"/>
      <c r="F131" s="1808">
        <f>SUM('Revenues 9-14'!C216,'Revenues 9-14'!D216,'Revenues 9-14'!F216,'Revenues 9-14'!G216)</f>
        <v>3546</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107546</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53142</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53142</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19097</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14990</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9251</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2058</v>
      </c>
      <c r="C175" s="1943">
        <v>3100</v>
      </c>
      <c r="D175" s="1944" t="s">
        <v>2061</v>
      </c>
      <c r="E175" s="905"/>
      <c r="F175" s="1928">
        <v>208743.77</v>
      </c>
      <c r="G175" s="926"/>
    </row>
    <row r="176" spans="1:7" x14ac:dyDescent="0.2">
      <c r="A176" s="1941" t="s">
        <v>685</v>
      </c>
      <c r="B176" s="1942" t="s">
        <v>2058</v>
      </c>
      <c r="C176" s="1943">
        <v>3300</v>
      </c>
      <c r="D176" s="1944" t="s">
        <v>2062</v>
      </c>
      <c r="E176" s="905"/>
      <c r="F176" s="1928">
        <v>2021.78</v>
      </c>
      <c r="G176" s="926"/>
    </row>
    <row r="177" spans="1:7" ht="6" customHeight="1" x14ac:dyDescent="0.2">
      <c r="A177" s="926"/>
      <c r="B177" s="926"/>
      <c r="C177" s="948"/>
      <c r="D177" s="926"/>
      <c r="E177" s="905"/>
      <c r="F177" s="949"/>
      <c r="G177" s="946"/>
    </row>
    <row r="178" spans="1:7" x14ac:dyDescent="0.2">
      <c r="A178" s="1789"/>
      <c r="B178" s="1803"/>
      <c r="C178" s="1804"/>
      <c r="D178" s="1805" t="s">
        <v>2014</v>
      </c>
      <c r="E178" s="1806" t="s">
        <v>1015</v>
      </c>
      <c r="F178" s="1807">
        <f>SUM(F84:F136,F161:F176)</f>
        <v>1143382.55</v>
      </c>
    </row>
    <row r="179" spans="1:7" ht="12" customHeight="1" x14ac:dyDescent="0.2">
      <c r="A179" s="1789"/>
      <c r="B179" s="1803"/>
      <c r="C179" s="1804"/>
      <c r="D179" s="1805" t="s">
        <v>2015</v>
      </c>
      <c r="E179" s="1806"/>
      <c r="F179" s="1808">
        <f>'PCTC-OEPP 27-28'!F77-F178</f>
        <v>4249482.45</v>
      </c>
    </row>
    <row r="180" spans="1:7" ht="12" customHeight="1" x14ac:dyDescent="0.2">
      <c r="A180" s="1789"/>
      <c r="B180" s="1803"/>
      <c r="C180" s="1804"/>
      <c r="D180" s="1805" t="s">
        <v>1924</v>
      </c>
      <c r="E180" s="1806"/>
      <c r="F180" s="1808">
        <f>'Cap Outlay Deprec 26'!I18</f>
        <v>376679</v>
      </c>
    </row>
    <row r="181" spans="1:7" ht="12" customHeight="1" x14ac:dyDescent="0.2">
      <c r="A181" s="1789"/>
      <c r="B181" s="1803"/>
      <c r="C181" s="1804"/>
      <c r="D181" s="1805" t="s">
        <v>2016</v>
      </c>
      <c r="E181" s="1806"/>
      <c r="F181" s="1808">
        <f>F179+F180</f>
        <v>4626161.45</v>
      </c>
    </row>
    <row r="182" spans="1:7" ht="12" customHeight="1" x14ac:dyDescent="0.2">
      <c r="A182" s="1789"/>
      <c r="B182" s="1809"/>
      <c r="C182" s="1804"/>
      <c r="D182" s="1805" t="str">
        <f>D78</f>
        <v>9 Month ADA from District Average Daily Attendance/Prior General State Aid Inquiry 2017-2018</v>
      </c>
      <c r="E182" s="1806"/>
      <c r="F182" s="1810">
        <f>'PCTC-OEPP 27-28'!F78</f>
        <v>481.97</v>
      </c>
      <c r="G182" s="929"/>
    </row>
    <row r="183" spans="1:7" ht="12" customHeight="1" thickBot="1" x14ac:dyDescent="0.25">
      <c r="A183" s="1789"/>
      <c r="B183" s="1809"/>
      <c r="C183" s="1804"/>
      <c r="D183" s="1805" t="s">
        <v>2017</v>
      </c>
      <c r="E183" s="1806" t="s">
        <v>1626</v>
      </c>
      <c r="F183" s="1811">
        <f>F181/F182</f>
        <v>9598.4427453990902</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48"/>
      <c r="D188" s="929"/>
      <c r="E188" s="948"/>
      <c r="F188" s="929"/>
      <c r="G188" s="929"/>
    </row>
    <row r="189" spans="1:7" x14ac:dyDescent="0.2">
      <c r="A189" s="1949" t="s">
        <v>2064</v>
      </c>
      <c r="B189" s="1950"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8"/>
  <sheetViews>
    <sheetView showGridLines="0" workbookViewId="0">
      <pane ySplit="16" topLeftCell="A17" activePane="bottomLeft" state="frozen"/>
      <selection activeCell="S35" sqref="S35"/>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5"/>
      <c r="B3" s="1565"/>
      <c r="C3" s="1565"/>
      <c r="D3" s="1565"/>
      <c r="E3" s="1565"/>
      <c r="F3" s="1565"/>
      <c r="G3" s="1565"/>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4" t="s">
        <v>1926</v>
      </c>
      <c r="B6" s="1555"/>
      <c r="C6" s="1555"/>
      <c r="D6" s="1555"/>
      <c r="E6" s="1555"/>
      <c r="F6" s="1555"/>
      <c r="G6" s="1556"/>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7" t="s">
        <v>1927</v>
      </c>
      <c r="B10" s="1558"/>
      <c r="C10" s="1558"/>
      <c r="D10" s="1558"/>
      <c r="E10" s="1558"/>
      <c r="F10" s="1558"/>
      <c r="G10" s="1559"/>
    </row>
    <row r="11" spans="1:7" ht="17.25" customHeight="1" x14ac:dyDescent="0.25">
      <c r="A11" s="2289" t="s">
        <v>1941</v>
      </c>
      <c r="B11" s="2290"/>
      <c r="C11" s="2290"/>
      <c r="D11" s="2290"/>
      <c r="E11" s="2290"/>
      <c r="F11" s="2290"/>
      <c r="G11" s="2291"/>
    </row>
    <row r="12" spans="1:7" ht="15" customHeight="1" x14ac:dyDescent="0.25">
      <c r="A12" s="1557" t="s">
        <v>1932</v>
      </c>
      <c r="B12" s="1558"/>
      <c r="C12" s="1558"/>
      <c r="D12" s="1558"/>
      <c r="E12" s="1558"/>
      <c r="F12" s="1558"/>
      <c r="G12" s="1559"/>
    </row>
    <row r="13" spans="1:7" ht="32.25" customHeight="1" x14ac:dyDescent="0.25">
      <c r="A13" s="2280" t="s">
        <v>1933</v>
      </c>
      <c r="B13" s="2281"/>
      <c r="C13" s="2281"/>
      <c r="D13" s="2281"/>
      <c r="E13" s="2281"/>
      <c r="F13" s="2281"/>
      <c r="G13" s="2282"/>
    </row>
    <row r="14" spans="1:7" x14ac:dyDescent="0.25">
      <c r="A14" s="1680" t="s">
        <v>1942</v>
      </c>
      <c r="B14" s="1681"/>
      <c r="C14" s="1681"/>
      <c r="D14" s="1681"/>
      <c r="E14" s="1681"/>
      <c r="F14" s="1681"/>
      <c r="G14" s="1682"/>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7" t="s">
        <v>1943</v>
      </c>
      <c r="B16" s="1668" t="s">
        <v>1931</v>
      </c>
      <c r="C16" s="1669" t="s">
        <v>1929</v>
      </c>
      <c r="D16" s="1670">
        <v>500000</v>
      </c>
      <c r="E16" s="1670">
        <f>IF(D16&lt;=25000,D16,IF(D16&gt;25000,25000,0))</f>
        <v>25000</v>
      </c>
      <c r="F16" s="1670">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7" x14ac:dyDescent="0.25">
      <c r="A17" s="1672" t="s">
        <v>2113</v>
      </c>
      <c r="B17" s="1865" t="s">
        <v>1931</v>
      </c>
      <c r="C17" s="1675" t="s">
        <v>2114</v>
      </c>
      <c r="D17" s="1864">
        <v>31636.73</v>
      </c>
      <c r="E17" s="1560">
        <f t="shared" ref="E17:E137" si="1">IF(D17&lt;=25000,D17,IF(D17&gt;25000,25000,0))</f>
        <v>25000</v>
      </c>
      <c r="F17" s="1812">
        <f t="shared" ref="F17:F137"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3">
        <f t="shared" ref="G17:G137" si="3">IF(F17=0,0,D17-F17)</f>
        <v>6636.73</v>
      </c>
    </row>
    <row r="18" spans="1:7" x14ac:dyDescent="0.25">
      <c r="A18" s="1672" t="s">
        <v>2115</v>
      </c>
      <c r="B18" s="1953" t="s">
        <v>2130</v>
      </c>
      <c r="C18" s="1675" t="s">
        <v>2116</v>
      </c>
      <c r="D18" s="1864">
        <v>101246</v>
      </c>
      <c r="E18" s="1560">
        <f t="shared" si="1"/>
        <v>25000</v>
      </c>
      <c r="F18" s="1812">
        <f t="shared" si="2"/>
        <v>25000</v>
      </c>
      <c r="G18" s="1813">
        <f t="shared" si="3"/>
        <v>76246</v>
      </c>
    </row>
    <row r="19" spans="1:7" x14ac:dyDescent="0.25">
      <c r="A19" s="1672" t="s">
        <v>2113</v>
      </c>
      <c r="B19" s="1865" t="s">
        <v>1931</v>
      </c>
      <c r="C19" s="1675" t="s">
        <v>2117</v>
      </c>
      <c r="D19" s="1864">
        <v>128774</v>
      </c>
      <c r="E19" s="1560">
        <f t="shared" si="1"/>
        <v>25000</v>
      </c>
      <c r="F19" s="1812">
        <f t="shared" si="2"/>
        <v>25000</v>
      </c>
      <c r="G19" s="1813">
        <f t="shared" si="3"/>
        <v>103774</v>
      </c>
    </row>
    <row r="20" spans="1:7" hidden="1" x14ac:dyDescent="0.25">
      <c r="A20" s="1672"/>
      <c r="B20" s="1865"/>
      <c r="C20" s="1675"/>
      <c r="D20" s="1864"/>
      <c r="E20" s="1560">
        <f t="shared" si="1"/>
        <v>0</v>
      </c>
      <c r="F20" s="1812">
        <f t="shared" si="2"/>
        <v>0</v>
      </c>
      <c r="G20" s="1813">
        <f t="shared" si="3"/>
        <v>0</v>
      </c>
    </row>
    <row r="21" spans="1:7" hidden="1" x14ac:dyDescent="0.25">
      <c r="A21" s="1672"/>
      <c r="B21" s="1953"/>
      <c r="C21" s="1675"/>
      <c r="D21" s="1864"/>
      <c r="E21" s="1560">
        <f t="shared" si="1"/>
        <v>0</v>
      </c>
      <c r="F21" s="1812">
        <f t="shared" si="2"/>
        <v>0</v>
      </c>
      <c r="G21" s="1813">
        <f t="shared" si="3"/>
        <v>0</v>
      </c>
    </row>
    <row r="22" spans="1:7" hidden="1" x14ac:dyDescent="0.25">
      <c r="A22" s="1672"/>
      <c r="B22" s="1953"/>
      <c r="C22" s="1675"/>
      <c r="D22" s="1864"/>
      <c r="E22" s="1560">
        <f t="shared" si="1"/>
        <v>0</v>
      </c>
      <c r="F22" s="1812">
        <f t="shared" si="2"/>
        <v>0</v>
      </c>
      <c r="G22" s="1813">
        <f t="shared" si="3"/>
        <v>0</v>
      </c>
    </row>
    <row r="23" spans="1:7" hidden="1" x14ac:dyDescent="0.25">
      <c r="A23" s="1672"/>
      <c r="B23" s="1866"/>
      <c r="C23" s="1673"/>
      <c r="D23" s="1864"/>
      <c r="E23" s="1560">
        <f t="shared" si="1"/>
        <v>0</v>
      </c>
      <c r="F23" s="1812">
        <f t="shared" si="2"/>
        <v>0</v>
      </c>
      <c r="G23" s="1813">
        <f t="shared" si="3"/>
        <v>0</v>
      </c>
    </row>
    <row r="24" spans="1:7" hidden="1" x14ac:dyDescent="0.25">
      <c r="A24" s="1672"/>
      <c r="B24" s="1866"/>
      <c r="C24" s="1673"/>
      <c r="D24" s="1864"/>
      <c r="E24" s="1560">
        <f t="shared" si="1"/>
        <v>0</v>
      </c>
      <c r="F24" s="1812">
        <f t="shared" si="2"/>
        <v>0</v>
      </c>
      <c r="G24" s="1813">
        <f t="shared" si="3"/>
        <v>0</v>
      </c>
    </row>
    <row r="25" spans="1:7" hidden="1" x14ac:dyDescent="0.25">
      <c r="A25" s="1672"/>
      <c r="B25" s="1866"/>
      <c r="C25" s="1673"/>
      <c r="D25" s="1864"/>
      <c r="E25" s="1560">
        <f t="shared" si="1"/>
        <v>0</v>
      </c>
      <c r="F25" s="1812">
        <f t="shared" si="2"/>
        <v>0</v>
      </c>
      <c r="G25" s="1813">
        <f t="shared" si="3"/>
        <v>0</v>
      </c>
    </row>
    <row r="26" spans="1:7" hidden="1" x14ac:dyDescent="0.25">
      <c r="A26" s="1672"/>
      <c r="B26" s="1866"/>
      <c r="C26" s="1673"/>
      <c r="D26" s="1864"/>
      <c r="E26" s="1560">
        <f t="shared" si="1"/>
        <v>0</v>
      </c>
      <c r="F26" s="1812">
        <f t="shared" si="2"/>
        <v>0</v>
      </c>
      <c r="G26" s="1813">
        <f t="shared" si="3"/>
        <v>0</v>
      </c>
    </row>
    <row r="27" spans="1:7" hidden="1" x14ac:dyDescent="0.25">
      <c r="A27" s="1672"/>
      <c r="B27" s="1866"/>
      <c r="C27" s="1673"/>
      <c r="D27" s="1864"/>
      <c r="E27" s="1560">
        <f t="shared" si="1"/>
        <v>0</v>
      </c>
      <c r="F27" s="1812">
        <f t="shared" si="2"/>
        <v>0</v>
      </c>
      <c r="G27" s="1813">
        <f t="shared" si="3"/>
        <v>0</v>
      </c>
    </row>
    <row r="28" spans="1:7" hidden="1" x14ac:dyDescent="0.25">
      <c r="A28" s="1672"/>
      <c r="B28" s="1866"/>
      <c r="C28" s="1673"/>
      <c r="D28" s="1864"/>
      <c r="E28" s="1560">
        <f t="shared" si="1"/>
        <v>0</v>
      </c>
      <c r="F28" s="1812">
        <f t="shared" si="2"/>
        <v>0</v>
      </c>
      <c r="G28" s="1813">
        <f t="shared" si="3"/>
        <v>0</v>
      </c>
    </row>
    <row r="29" spans="1:7" hidden="1" x14ac:dyDescent="0.25">
      <c r="A29" s="1672"/>
      <c r="B29" s="1866"/>
      <c r="C29" s="1673"/>
      <c r="D29" s="1864"/>
      <c r="E29" s="1560">
        <f t="shared" si="1"/>
        <v>0</v>
      </c>
      <c r="F29" s="1812">
        <f t="shared" si="2"/>
        <v>0</v>
      </c>
      <c r="G29" s="1813">
        <f t="shared" si="3"/>
        <v>0</v>
      </c>
    </row>
    <row r="30" spans="1:7" hidden="1" x14ac:dyDescent="0.25">
      <c r="A30" s="1672"/>
      <c r="B30" s="1866"/>
      <c r="C30" s="1673"/>
      <c r="D30" s="1864"/>
      <c r="E30" s="1560">
        <f t="shared" si="1"/>
        <v>0</v>
      </c>
      <c r="F30" s="1812">
        <f t="shared" si="2"/>
        <v>0</v>
      </c>
      <c r="G30" s="1813">
        <f t="shared" si="3"/>
        <v>0</v>
      </c>
    </row>
    <row r="31" spans="1:7" hidden="1" x14ac:dyDescent="0.25">
      <c r="A31" s="1672"/>
      <c r="B31" s="1866"/>
      <c r="C31" s="1673"/>
      <c r="D31" s="1864"/>
      <c r="E31" s="1560">
        <f t="shared" si="1"/>
        <v>0</v>
      </c>
      <c r="F31" s="1812">
        <f t="shared" si="2"/>
        <v>0</v>
      </c>
      <c r="G31" s="1813">
        <f t="shared" si="3"/>
        <v>0</v>
      </c>
    </row>
    <row r="32" spans="1:7" hidden="1" x14ac:dyDescent="0.25">
      <c r="A32" s="1672"/>
      <c r="B32" s="1866"/>
      <c r="C32" s="1673"/>
      <c r="D32" s="1864"/>
      <c r="E32" s="1560">
        <f t="shared" si="1"/>
        <v>0</v>
      </c>
      <c r="F32" s="1812">
        <f t="shared" si="2"/>
        <v>0</v>
      </c>
      <c r="G32" s="1813">
        <f t="shared" si="3"/>
        <v>0</v>
      </c>
    </row>
    <row r="33" spans="1:7" hidden="1" x14ac:dyDescent="0.25">
      <c r="A33" s="1672"/>
      <c r="B33" s="1866"/>
      <c r="C33" s="1673"/>
      <c r="D33" s="1864"/>
      <c r="E33" s="1560">
        <f t="shared" si="1"/>
        <v>0</v>
      </c>
      <c r="F33" s="1812">
        <f t="shared" si="2"/>
        <v>0</v>
      </c>
      <c r="G33" s="1813">
        <f t="shared" si="3"/>
        <v>0</v>
      </c>
    </row>
    <row r="34" spans="1:7" hidden="1" x14ac:dyDescent="0.25">
      <c r="A34" s="1672"/>
      <c r="B34" s="1866"/>
      <c r="C34" s="1673"/>
      <c r="D34" s="1864"/>
      <c r="E34" s="1560">
        <f t="shared" si="1"/>
        <v>0</v>
      </c>
      <c r="F34" s="1812">
        <f t="shared" si="2"/>
        <v>0</v>
      </c>
      <c r="G34" s="1813">
        <f t="shared" si="3"/>
        <v>0</v>
      </c>
    </row>
    <row r="35" spans="1:7" hidden="1" x14ac:dyDescent="0.25">
      <c r="A35" s="1672"/>
      <c r="B35" s="1686"/>
      <c r="C35" s="1673"/>
      <c r="D35" s="1864"/>
      <c r="E35" s="1560">
        <f t="shared" si="1"/>
        <v>0</v>
      </c>
      <c r="F35" s="1812">
        <f t="shared" si="2"/>
        <v>0</v>
      </c>
      <c r="G35" s="1813">
        <f t="shared" si="3"/>
        <v>0</v>
      </c>
    </row>
    <row r="36" spans="1:7" hidden="1" x14ac:dyDescent="0.25">
      <c r="A36" s="1672"/>
      <c r="B36" s="1686"/>
      <c r="C36" s="1673"/>
      <c r="D36" s="1864"/>
      <c r="E36" s="1560">
        <f t="shared" si="1"/>
        <v>0</v>
      </c>
      <c r="F36" s="1812">
        <f t="shared" si="2"/>
        <v>0</v>
      </c>
      <c r="G36" s="1813">
        <f t="shared" si="3"/>
        <v>0</v>
      </c>
    </row>
    <row r="37" spans="1:7" hidden="1" x14ac:dyDescent="0.25">
      <c r="A37" s="1672"/>
      <c r="B37" s="1686"/>
      <c r="C37" s="1673"/>
      <c r="D37" s="1864"/>
      <c r="E37" s="1560">
        <f t="shared" si="1"/>
        <v>0</v>
      </c>
      <c r="F37" s="1812">
        <f t="shared" si="2"/>
        <v>0</v>
      </c>
      <c r="G37" s="1813">
        <f t="shared" si="3"/>
        <v>0</v>
      </c>
    </row>
    <row r="38" spans="1:7" hidden="1" x14ac:dyDescent="0.25">
      <c r="A38" s="1672"/>
      <c r="B38" s="1686"/>
      <c r="C38" s="1673"/>
      <c r="D38" s="1864"/>
      <c r="E38" s="1560">
        <f t="shared" si="1"/>
        <v>0</v>
      </c>
      <c r="F38" s="1812">
        <f t="shared" si="2"/>
        <v>0</v>
      </c>
      <c r="G38" s="1813">
        <f t="shared" si="3"/>
        <v>0</v>
      </c>
    </row>
    <row r="39" spans="1:7" hidden="1" x14ac:dyDescent="0.25">
      <c r="A39" s="1672"/>
      <c r="B39" s="1686"/>
      <c r="C39" s="1673"/>
      <c r="D39" s="1864"/>
      <c r="E39" s="1560">
        <f t="shared" si="1"/>
        <v>0</v>
      </c>
      <c r="F39" s="1812">
        <f t="shared" si="2"/>
        <v>0</v>
      </c>
      <c r="G39" s="1813">
        <f t="shared" si="3"/>
        <v>0</v>
      </c>
    </row>
    <row r="40" spans="1:7" hidden="1" x14ac:dyDescent="0.25">
      <c r="A40" s="1672"/>
      <c r="B40" s="1686"/>
      <c r="C40" s="1673"/>
      <c r="D40" s="1864"/>
      <c r="E40" s="1560">
        <f t="shared" si="1"/>
        <v>0</v>
      </c>
      <c r="F40" s="1812">
        <f t="shared" si="2"/>
        <v>0</v>
      </c>
      <c r="G40" s="1813">
        <f t="shared" si="3"/>
        <v>0</v>
      </c>
    </row>
    <row r="41" spans="1:7" hidden="1" x14ac:dyDescent="0.25">
      <c r="A41" s="1672"/>
      <c r="B41" s="1686"/>
      <c r="C41" s="1673"/>
      <c r="D41" s="1864"/>
      <c r="E41" s="1560">
        <f t="shared" si="1"/>
        <v>0</v>
      </c>
      <c r="F41" s="1812">
        <f t="shared" si="2"/>
        <v>0</v>
      </c>
      <c r="G41" s="1813">
        <f t="shared" si="3"/>
        <v>0</v>
      </c>
    </row>
    <row r="42" spans="1:7" hidden="1" x14ac:dyDescent="0.25">
      <c r="A42" s="1672"/>
      <c r="B42" s="1686"/>
      <c r="C42" s="1673"/>
      <c r="D42" s="1864"/>
      <c r="E42" s="1560">
        <f t="shared" si="1"/>
        <v>0</v>
      </c>
      <c r="F42" s="1812">
        <f t="shared" si="2"/>
        <v>0</v>
      </c>
      <c r="G42" s="1813">
        <f t="shared" si="3"/>
        <v>0</v>
      </c>
    </row>
    <row r="43" spans="1:7" hidden="1" x14ac:dyDescent="0.25">
      <c r="A43" s="1672"/>
      <c r="B43" s="1686"/>
      <c r="C43" s="1673"/>
      <c r="D43" s="1864"/>
      <c r="E43" s="1560">
        <f t="shared" si="1"/>
        <v>0</v>
      </c>
      <c r="F43" s="1812">
        <f t="shared" si="2"/>
        <v>0</v>
      </c>
      <c r="G43" s="1813">
        <f t="shared" si="3"/>
        <v>0</v>
      </c>
    </row>
    <row r="44" spans="1:7" hidden="1" x14ac:dyDescent="0.25">
      <c r="A44" s="1672"/>
      <c r="B44" s="1686"/>
      <c r="C44" s="1673"/>
      <c r="D44" s="1864"/>
      <c r="E44" s="1560">
        <f t="shared" si="1"/>
        <v>0</v>
      </c>
      <c r="F44" s="1812">
        <f t="shared" si="2"/>
        <v>0</v>
      </c>
      <c r="G44" s="1813">
        <f t="shared" si="3"/>
        <v>0</v>
      </c>
    </row>
    <row r="45" spans="1:7" hidden="1" x14ac:dyDescent="0.25">
      <c r="A45" s="1672"/>
      <c r="B45" s="1686"/>
      <c r="C45" s="1673"/>
      <c r="D45" s="1864"/>
      <c r="E45" s="1560">
        <f t="shared" si="1"/>
        <v>0</v>
      </c>
      <c r="F45" s="1812">
        <f t="shared" si="2"/>
        <v>0</v>
      </c>
      <c r="G45" s="1813">
        <f t="shared" si="3"/>
        <v>0</v>
      </c>
    </row>
    <row r="46" spans="1:7" hidden="1" x14ac:dyDescent="0.25">
      <c r="A46" s="1672"/>
      <c r="B46" s="1686"/>
      <c r="C46" s="1673"/>
      <c r="D46" s="1864"/>
      <c r="E46" s="1560">
        <f t="shared" si="1"/>
        <v>0</v>
      </c>
      <c r="F46" s="1812">
        <f t="shared" si="2"/>
        <v>0</v>
      </c>
      <c r="G46" s="1813">
        <f t="shared" si="3"/>
        <v>0</v>
      </c>
    </row>
    <row r="47" spans="1:7" hidden="1" x14ac:dyDescent="0.25">
      <c r="A47" s="1672"/>
      <c r="B47" s="1686"/>
      <c r="C47" s="1673"/>
      <c r="D47" s="1864"/>
      <c r="E47" s="1560">
        <f t="shared" si="1"/>
        <v>0</v>
      </c>
      <c r="F47" s="1812">
        <f t="shared" si="2"/>
        <v>0</v>
      </c>
      <c r="G47" s="1813">
        <f t="shared" si="3"/>
        <v>0</v>
      </c>
    </row>
    <row r="48" spans="1:7" hidden="1" x14ac:dyDescent="0.25">
      <c r="A48" s="1672"/>
      <c r="B48" s="1686"/>
      <c r="C48" s="1673"/>
      <c r="D48" s="1864"/>
      <c r="E48" s="1560">
        <f t="shared" si="1"/>
        <v>0</v>
      </c>
      <c r="F48" s="1812">
        <f t="shared" si="2"/>
        <v>0</v>
      </c>
      <c r="G48" s="1813">
        <f t="shared" si="3"/>
        <v>0</v>
      </c>
    </row>
    <row r="49" spans="1:7" hidden="1" x14ac:dyDescent="0.25">
      <c r="A49" s="1672"/>
      <c r="B49" s="1686"/>
      <c r="C49" s="1673"/>
      <c r="D49" s="1864"/>
      <c r="E49" s="1560">
        <f t="shared" si="1"/>
        <v>0</v>
      </c>
      <c r="F49" s="1812">
        <f t="shared" si="2"/>
        <v>0</v>
      </c>
      <c r="G49" s="1813">
        <f t="shared" si="3"/>
        <v>0</v>
      </c>
    </row>
    <row r="50" spans="1:7" hidden="1" x14ac:dyDescent="0.25">
      <c r="A50" s="1672"/>
      <c r="B50" s="1686"/>
      <c r="C50" s="1673"/>
      <c r="D50" s="1864"/>
      <c r="E50" s="1560">
        <f t="shared" si="1"/>
        <v>0</v>
      </c>
      <c r="F50" s="1812">
        <f t="shared" si="2"/>
        <v>0</v>
      </c>
      <c r="G50" s="1813">
        <f t="shared" si="3"/>
        <v>0</v>
      </c>
    </row>
    <row r="51" spans="1:7" hidden="1" x14ac:dyDescent="0.25">
      <c r="A51" s="1672"/>
      <c r="B51" s="1686"/>
      <c r="C51" s="1673"/>
      <c r="D51" s="1864"/>
      <c r="E51" s="1560">
        <f t="shared" si="1"/>
        <v>0</v>
      </c>
      <c r="F51" s="1812">
        <f t="shared" si="2"/>
        <v>0</v>
      </c>
      <c r="G51" s="1813">
        <f t="shared" si="3"/>
        <v>0</v>
      </c>
    </row>
    <row r="52" spans="1:7" hidden="1" x14ac:dyDescent="0.25">
      <c r="A52" s="1672"/>
      <c r="B52" s="1686"/>
      <c r="C52" s="1673"/>
      <c r="D52" s="1864"/>
      <c r="E52" s="1560">
        <f t="shared" si="1"/>
        <v>0</v>
      </c>
      <c r="F52" s="1812">
        <f t="shared" si="2"/>
        <v>0</v>
      </c>
      <c r="G52" s="1813">
        <f t="shared" si="3"/>
        <v>0</v>
      </c>
    </row>
    <row r="53" spans="1:7" hidden="1" x14ac:dyDescent="0.25">
      <c r="A53" s="1672"/>
      <c r="B53" s="1686"/>
      <c r="C53" s="1673"/>
      <c r="D53" s="1864"/>
      <c r="E53" s="1560">
        <f t="shared" si="1"/>
        <v>0</v>
      </c>
      <c r="F53" s="1812">
        <f t="shared" si="2"/>
        <v>0</v>
      </c>
      <c r="G53" s="1813">
        <f t="shared" si="3"/>
        <v>0</v>
      </c>
    </row>
    <row r="54" spans="1:7" hidden="1" x14ac:dyDescent="0.25">
      <c r="A54" s="1672"/>
      <c r="B54" s="1686"/>
      <c r="C54" s="1673"/>
      <c r="D54" s="1864"/>
      <c r="E54" s="1560">
        <f t="shared" si="1"/>
        <v>0</v>
      </c>
      <c r="F54" s="1812">
        <f t="shared" si="2"/>
        <v>0</v>
      </c>
      <c r="G54" s="1813">
        <f t="shared" si="3"/>
        <v>0</v>
      </c>
    </row>
    <row r="55" spans="1:7" hidden="1" x14ac:dyDescent="0.25">
      <c r="A55" s="1672"/>
      <c r="B55" s="1686"/>
      <c r="C55" s="1673"/>
      <c r="D55" s="1864"/>
      <c r="E55" s="1560">
        <f t="shared" si="1"/>
        <v>0</v>
      </c>
      <c r="F55" s="1812">
        <f t="shared" si="2"/>
        <v>0</v>
      </c>
      <c r="G55" s="1813">
        <f t="shared" si="3"/>
        <v>0</v>
      </c>
    </row>
    <row r="56" spans="1:7" hidden="1" x14ac:dyDescent="0.25">
      <c r="A56" s="1672"/>
      <c r="B56" s="1686"/>
      <c r="C56" s="1673"/>
      <c r="D56" s="1864"/>
      <c r="E56" s="1560">
        <f t="shared" si="1"/>
        <v>0</v>
      </c>
      <c r="F56" s="1812">
        <f t="shared" si="2"/>
        <v>0</v>
      </c>
      <c r="G56" s="1813">
        <f t="shared" si="3"/>
        <v>0</v>
      </c>
    </row>
    <row r="57" spans="1:7" hidden="1" x14ac:dyDescent="0.25">
      <c r="A57" s="1672"/>
      <c r="B57" s="1686"/>
      <c r="C57" s="1673"/>
      <c r="D57" s="1864"/>
      <c r="E57" s="1560">
        <f t="shared" si="1"/>
        <v>0</v>
      </c>
      <c r="F57" s="1812">
        <f t="shared" si="2"/>
        <v>0</v>
      </c>
      <c r="G57" s="1813">
        <f t="shared" si="3"/>
        <v>0</v>
      </c>
    </row>
    <row r="58" spans="1:7" hidden="1" x14ac:dyDescent="0.25">
      <c r="A58" s="1672"/>
      <c r="B58" s="1686"/>
      <c r="C58" s="1673"/>
      <c r="D58" s="1864"/>
      <c r="E58" s="1560">
        <f t="shared" si="1"/>
        <v>0</v>
      </c>
      <c r="F58" s="1812">
        <f t="shared" si="2"/>
        <v>0</v>
      </c>
      <c r="G58" s="1813">
        <f t="shared" si="3"/>
        <v>0</v>
      </c>
    </row>
    <row r="59" spans="1:7" hidden="1" x14ac:dyDescent="0.25">
      <c r="A59" s="1672"/>
      <c r="B59" s="1686"/>
      <c r="C59" s="1673"/>
      <c r="D59" s="1864"/>
      <c r="E59" s="1560">
        <f t="shared" si="1"/>
        <v>0</v>
      </c>
      <c r="F59" s="1812">
        <f t="shared" si="2"/>
        <v>0</v>
      </c>
      <c r="G59" s="1813">
        <f t="shared" si="3"/>
        <v>0</v>
      </c>
    </row>
    <row r="60" spans="1:7" hidden="1" x14ac:dyDescent="0.25">
      <c r="A60" s="1672"/>
      <c r="B60" s="1686"/>
      <c r="C60" s="1673"/>
      <c r="D60" s="1864"/>
      <c r="E60" s="1560">
        <f t="shared" si="1"/>
        <v>0</v>
      </c>
      <c r="F60" s="1812">
        <f t="shared" si="2"/>
        <v>0</v>
      </c>
      <c r="G60" s="1813">
        <f t="shared" si="3"/>
        <v>0</v>
      </c>
    </row>
    <row r="61" spans="1:7" hidden="1" x14ac:dyDescent="0.25">
      <c r="A61" s="1674"/>
      <c r="B61" s="1686"/>
      <c r="C61" s="1675"/>
      <c r="D61" s="1864"/>
      <c r="E61" s="1560">
        <f t="shared" si="1"/>
        <v>0</v>
      </c>
      <c r="F61" s="1812">
        <f t="shared" si="2"/>
        <v>0</v>
      </c>
      <c r="G61" s="1813">
        <f t="shared" si="3"/>
        <v>0</v>
      </c>
    </row>
    <row r="62" spans="1:7" hidden="1" x14ac:dyDescent="0.25">
      <c r="A62" s="1672"/>
      <c r="B62" s="1686"/>
      <c r="C62" s="1673"/>
      <c r="D62" s="1864"/>
      <c r="E62" s="1560">
        <f t="shared" si="1"/>
        <v>0</v>
      </c>
      <c r="F62" s="1812">
        <f t="shared" si="2"/>
        <v>0</v>
      </c>
      <c r="G62" s="1813">
        <f t="shared" si="3"/>
        <v>0</v>
      </c>
    </row>
    <row r="63" spans="1:7" hidden="1" x14ac:dyDescent="0.25">
      <c r="A63" s="1672"/>
      <c r="B63" s="1686"/>
      <c r="C63" s="1673"/>
      <c r="D63" s="1864"/>
      <c r="E63" s="1560">
        <f t="shared" si="1"/>
        <v>0</v>
      </c>
      <c r="F63" s="1812">
        <f t="shared" si="2"/>
        <v>0</v>
      </c>
      <c r="G63" s="1813">
        <f t="shared" si="3"/>
        <v>0</v>
      </c>
    </row>
    <row r="64" spans="1:7" hidden="1" x14ac:dyDescent="0.25">
      <c r="A64" s="1672"/>
      <c r="B64" s="1686"/>
      <c r="C64" s="1673"/>
      <c r="D64" s="1864"/>
      <c r="E64" s="1560">
        <f t="shared" si="1"/>
        <v>0</v>
      </c>
      <c r="F64" s="1812">
        <f t="shared" si="2"/>
        <v>0</v>
      </c>
      <c r="G64" s="1813">
        <f t="shared" si="3"/>
        <v>0</v>
      </c>
    </row>
    <row r="65" spans="1:7" hidden="1" x14ac:dyDescent="0.25">
      <c r="A65" s="1672"/>
      <c r="B65" s="1686"/>
      <c r="C65" s="1673"/>
      <c r="D65" s="1864"/>
      <c r="E65" s="1560">
        <f t="shared" si="1"/>
        <v>0</v>
      </c>
      <c r="F65" s="1812">
        <f t="shared" si="2"/>
        <v>0</v>
      </c>
      <c r="G65" s="1813">
        <f t="shared" si="3"/>
        <v>0</v>
      </c>
    </row>
    <row r="66" spans="1:7" hidden="1" x14ac:dyDescent="0.25">
      <c r="A66" s="1672"/>
      <c r="B66" s="1686"/>
      <c r="C66" s="1673"/>
      <c r="D66" s="1864"/>
      <c r="E66" s="1560">
        <f t="shared" si="1"/>
        <v>0</v>
      </c>
      <c r="F66" s="1812">
        <f t="shared" si="2"/>
        <v>0</v>
      </c>
      <c r="G66" s="1813">
        <f t="shared" si="3"/>
        <v>0</v>
      </c>
    </row>
    <row r="67" spans="1:7" hidden="1" x14ac:dyDescent="0.25">
      <c r="A67" s="1672"/>
      <c r="B67" s="1686"/>
      <c r="C67" s="1673"/>
      <c r="D67" s="1864"/>
      <c r="E67" s="1560">
        <f t="shared" si="1"/>
        <v>0</v>
      </c>
      <c r="F67" s="1812">
        <f t="shared" si="2"/>
        <v>0</v>
      </c>
      <c r="G67" s="1813">
        <f t="shared" si="3"/>
        <v>0</v>
      </c>
    </row>
    <row r="68" spans="1:7" hidden="1" x14ac:dyDescent="0.25">
      <c r="A68" s="1672"/>
      <c r="B68" s="1686"/>
      <c r="C68" s="1673"/>
      <c r="D68" s="1864"/>
      <c r="E68" s="1560">
        <f t="shared" si="1"/>
        <v>0</v>
      </c>
      <c r="F68" s="1812">
        <f t="shared" si="2"/>
        <v>0</v>
      </c>
      <c r="G68" s="1813">
        <f t="shared" si="3"/>
        <v>0</v>
      </c>
    </row>
    <row r="69" spans="1:7" hidden="1" x14ac:dyDescent="0.25">
      <c r="A69" s="1672"/>
      <c r="B69" s="1686"/>
      <c r="C69" s="1673"/>
      <c r="D69" s="1864"/>
      <c r="E69" s="1560">
        <f t="shared" si="1"/>
        <v>0</v>
      </c>
      <c r="F69" s="1812">
        <f t="shared" si="2"/>
        <v>0</v>
      </c>
      <c r="G69" s="1813">
        <f t="shared" si="3"/>
        <v>0</v>
      </c>
    </row>
    <row r="70" spans="1:7" hidden="1" x14ac:dyDescent="0.25">
      <c r="A70" s="1672"/>
      <c r="B70" s="1686"/>
      <c r="C70" s="1673"/>
      <c r="D70" s="1864"/>
      <c r="E70" s="1560">
        <f t="shared" ref="E70:E81" si="4">IF(D70&lt;=25000,D70,IF(D70&gt;25000,25000,0))</f>
        <v>0</v>
      </c>
      <c r="F70" s="1812">
        <f t="shared" ref="F70:F81" si="5">IF(OR(B70="10-1000-100",B70="10-1000-200",B70="10-1000-300",B70="10-1000-400",B70="10-1000-600",B70="10-1000-800",B70="50-1000-200",B70="10-2100-100",B70="10-2100-200",B70="10-2100-300",B70="10-2100-400",B70="10-2100-600",B70="10-2100-800",B70="20-2100-200",B70="20-2190-100",B70="20-2190-200",B70="20-2190-300",B70="20-2190-400",B70="20-2190-600",B70="20-2190-800",B70="40-2190-100",B70="40-2190-200",B70="40-2190-300",B70="40-2190-400",B70="40-2190-600",B70="40-2190-800",B70="50-2190-200",B70="10-2200-100",B70="10-2200-200",B70="10-2200-300",B70="10-2200-400",B70="10-2200-600",B70="10-2200-800",B70="50-2200-200",B70="10-2300-100",B70="10-2300-200",B70="10-2300-300",B70="10-2300-400",B70="10-2300-600",B70="10-2300-800",B70="50-2300-200",B70="80-2300-100",B70="80-2300-200",B70="80-2300-300",B70="80-2300-400",B70="80-2300-600",B70="80-2300-800",B70="10-2400-100",B70="10-2400-200",B70="10-2400-300",B70="10-2400-400",B70="10-2400-600",B70="10-2400-800",B70="50-2400-200",B70="10-2510-100",B70="10-2510-200",B70="10-2510-300",B70="10-2510-400",B70="10-2510-600",B70="10-2510-800",B70="20-2510-100",B70="20-2510-200",B70="20-2510-300",B70="20-2510-400",B70="20-2510-600",B70="20-2510-800",B70="50-2510-200",B70="10-2520-100",B70="10-2520-200",B70="10-2520-300",B70="10-2520-400",B70="10-2520-600",B70="10-2520-800",B70="50-2520-200",B70="10-2540-100",B70="10-2540-200",B70="10-2540-300",B70="10-2540-400",B70="10-2540-600",B70="20-2540-800",B70="20-2540-100",B70="20-2540-200",B70="20-2540-300",B70="20-2540-400",B70="20-2540-600",B70="50-2540-200",B70="90-2540-100",B70="90-2540-200",B70="90-2540-300",B70="90-2540-400",B70="90-2540-600",B70="90-2540-800",B70="90-2540-800",B70="10-2550-100",B70="10-2550-200",B70="10-2550-300",B70="10-2550-400",B70="10-2550-600",B70="10-2550-800",B70="20-2550-100",B70="20-2550-200",B70="20-2550-300",B70="20-2550-400",B70="20-2550-600",B70="20-2550-800",B70="40-2550-100",B70="40-2550-200",B70="40-2550-300",B70="40-2550-400",B70="40-2550-600",B70="40-2550-800",B70="50-2550-200",B70="10-2560-100",B70="10-2560-200",B70="10-2560-300",B70="10-2560-400",B70="10-2560-600",B70="10-2560-800",B70="20-2560-100",B70="20-2560-200",B70="20-2560-300",B70="20-2560-400",B70="20-2560-600",B70="20-2560-800",B70="50-2560-200",B70="10-2570-100",B70="10-2570-200",B70="10-2570-300",B70="10-2570-400",B70="10-2570-600",B70="10-2570-800",B70="50-2570-200",B70="10-2610-100",B70="10-2610-200",B70="10-2610-300",B70="10-2610-400",B70="10-2610-600",B70="10-2610-800",B70="50-2610-200",B70="10-2620-100",B70="10-2620-200",B70="10-2620-300",B70="10-2620-400",B70="10-2620-600",B70="10-2620-800",B70="50-2620-200",B70="10-2630-100",B70="10-2630-200",B70="10-2630-300",B70="10-2630-400",B70="10-2630-600",B70="10-2630-800",B70="50-2630-200",B70="10-2640-100",B70="10-2640-200",B70="10-2640-300",B70="10-2640-400",B70="10-2640-600",B70="10-2640-800",B70="50-2640-200",B70="10-2660-100",B70="10-2660-200",B70="10-2660-300",B70="10-2660-400",B70="10-2660-600",B70="10-2660-800",B70="50-2660-200",B70="10-2900-100",B70="10-2900-200",B70="10-2900-300",B70="10-2900-400",B70="10-2900-600",B70="10-2900-800",B70="20-2900-100",B70="20-2900-200",B70="20-2900-300",B70="20-2900-400",B70="20-2900-600",B70="20-2900-800",B70="40-2900-100",B70="40-2900-200",B70="40-2900-300",B70="40-2900-400",B70="40-2900-600",B70="40-2900-800",B70="50-2900-200",B70="60-2900-100",B70="60-2900-200",B70="60-2900-300",B70="60-2900-400",B70="60-2900-600",B70="60-2900-800",B70="90-2900-100",B70="90-2900-200",B70="90-2900-300",B70="90-2900-400",B70="90-2900-600",B70="90-2900-800",B70="10-3000-100",B70="10-3000-200",B70="10-3000-300",B70="10-3000-400",B70="10-3000-600",B70="10-3000-800",B70="20-3000-100",B70="20-3000-200",B70="20-3000-300",B70="20-3000-400",B70="20-3000-600",B70="20-3000-800",B70="40-3000-100",B70="40-3000-200",B70="40-3000-300",B70="40-3000-400",B70="40-3000-600",B70="40-3000-800",B70="50-3000-200"),E70,0)</f>
        <v>0</v>
      </c>
      <c r="G70" s="1813">
        <f t="shared" ref="G70:G81" si="6">IF(F70=0,0,D70-F70)</f>
        <v>0</v>
      </c>
    </row>
    <row r="71" spans="1:7" hidden="1" x14ac:dyDescent="0.25">
      <c r="A71" s="1672"/>
      <c r="B71" s="1686"/>
      <c r="C71" s="1673"/>
      <c r="D71" s="1864"/>
      <c r="E71" s="1560">
        <f t="shared" si="4"/>
        <v>0</v>
      </c>
      <c r="F71" s="1812">
        <f t="shared" si="5"/>
        <v>0</v>
      </c>
      <c r="G71" s="1813">
        <f t="shared" si="6"/>
        <v>0</v>
      </c>
    </row>
    <row r="72" spans="1:7" hidden="1" x14ac:dyDescent="0.25">
      <c r="A72" s="1672"/>
      <c r="B72" s="1686"/>
      <c r="C72" s="1673"/>
      <c r="D72" s="1864"/>
      <c r="E72" s="1560">
        <f t="shared" si="4"/>
        <v>0</v>
      </c>
      <c r="F72" s="1812">
        <f t="shared" si="5"/>
        <v>0</v>
      </c>
      <c r="G72" s="1813">
        <f t="shared" si="6"/>
        <v>0</v>
      </c>
    </row>
    <row r="73" spans="1:7" hidden="1" x14ac:dyDescent="0.25">
      <c r="A73" s="1672"/>
      <c r="B73" s="1686"/>
      <c r="C73" s="1673"/>
      <c r="D73" s="1864"/>
      <c r="E73" s="1560">
        <f t="shared" si="4"/>
        <v>0</v>
      </c>
      <c r="F73" s="1812">
        <f t="shared" si="5"/>
        <v>0</v>
      </c>
      <c r="G73" s="1813">
        <f t="shared" si="6"/>
        <v>0</v>
      </c>
    </row>
    <row r="74" spans="1:7" hidden="1" x14ac:dyDescent="0.25">
      <c r="A74" s="1672"/>
      <c r="B74" s="1686"/>
      <c r="C74" s="1673"/>
      <c r="D74" s="1864"/>
      <c r="E74" s="1560">
        <f t="shared" si="4"/>
        <v>0</v>
      </c>
      <c r="F74" s="1812">
        <f t="shared" si="5"/>
        <v>0</v>
      </c>
      <c r="G74" s="1813">
        <f t="shared" si="6"/>
        <v>0</v>
      </c>
    </row>
    <row r="75" spans="1:7" hidden="1" x14ac:dyDescent="0.25">
      <c r="A75" s="1672"/>
      <c r="B75" s="1686"/>
      <c r="C75" s="1673"/>
      <c r="D75" s="1864"/>
      <c r="E75" s="1560">
        <f t="shared" si="4"/>
        <v>0</v>
      </c>
      <c r="F75" s="1812">
        <f t="shared" si="5"/>
        <v>0</v>
      </c>
      <c r="G75" s="1813">
        <f t="shared" si="6"/>
        <v>0</v>
      </c>
    </row>
    <row r="76" spans="1:7" hidden="1" x14ac:dyDescent="0.25">
      <c r="A76" s="1672"/>
      <c r="B76" s="1686"/>
      <c r="C76" s="1673"/>
      <c r="D76" s="1864"/>
      <c r="E76" s="1560">
        <f t="shared" si="4"/>
        <v>0</v>
      </c>
      <c r="F76" s="1812">
        <f t="shared" si="5"/>
        <v>0</v>
      </c>
      <c r="G76" s="1813">
        <f t="shared" si="6"/>
        <v>0</v>
      </c>
    </row>
    <row r="77" spans="1:7" hidden="1" x14ac:dyDescent="0.25">
      <c r="A77" s="1672"/>
      <c r="B77" s="1686"/>
      <c r="C77" s="1673"/>
      <c r="D77" s="1864"/>
      <c r="E77" s="1560">
        <f t="shared" si="4"/>
        <v>0</v>
      </c>
      <c r="F77" s="1812">
        <f t="shared" si="5"/>
        <v>0</v>
      </c>
      <c r="G77" s="1813">
        <f t="shared" si="6"/>
        <v>0</v>
      </c>
    </row>
    <row r="78" spans="1:7" hidden="1" x14ac:dyDescent="0.25">
      <c r="A78" s="1672"/>
      <c r="B78" s="1686"/>
      <c r="C78" s="1673"/>
      <c r="D78" s="1864"/>
      <c r="E78" s="1560">
        <f t="shared" si="4"/>
        <v>0</v>
      </c>
      <c r="F78" s="1812">
        <f t="shared" si="5"/>
        <v>0</v>
      </c>
      <c r="G78" s="1813">
        <f t="shared" si="6"/>
        <v>0</v>
      </c>
    </row>
    <row r="79" spans="1:7" hidden="1" x14ac:dyDescent="0.25">
      <c r="A79" s="1672"/>
      <c r="B79" s="1686"/>
      <c r="C79" s="1673"/>
      <c r="D79" s="1864"/>
      <c r="E79" s="1560">
        <f t="shared" si="4"/>
        <v>0</v>
      </c>
      <c r="F79" s="1812">
        <f t="shared" si="5"/>
        <v>0</v>
      </c>
      <c r="G79" s="1813">
        <f t="shared" si="6"/>
        <v>0</v>
      </c>
    </row>
    <row r="80" spans="1:7" hidden="1" x14ac:dyDescent="0.25">
      <c r="A80" s="1672"/>
      <c r="B80" s="1686"/>
      <c r="C80" s="1673"/>
      <c r="D80" s="1864"/>
      <c r="E80" s="1560">
        <f t="shared" si="4"/>
        <v>0</v>
      </c>
      <c r="F80" s="1812">
        <f t="shared" si="5"/>
        <v>0</v>
      </c>
      <c r="G80" s="1813">
        <f t="shared" si="6"/>
        <v>0</v>
      </c>
    </row>
    <row r="81" spans="1:7" hidden="1" x14ac:dyDescent="0.25">
      <c r="A81" s="1672"/>
      <c r="B81" s="1686"/>
      <c r="C81" s="1673"/>
      <c r="D81" s="1864"/>
      <c r="E81" s="1560">
        <f t="shared" si="4"/>
        <v>0</v>
      </c>
      <c r="F81" s="1812">
        <f t="shared" si="5"/>
        <v>0</v>
      </c>
      <c r="G81" s="1813">
        <f t="shared" si="6"/>
        <v>0</v>
      </c>
    </row>
    <row r="82" spans="1:7" hidden="1" x14ac:dyDescent="0.25">
      <c r="A82" s="1672"/>
      <c r="B82" s="1686"/>
      <c r="C82" s="1673"/>
      <c r="D82" s="1864"/>
      <c r="E82" s="1560">
        <f t="shared" si="1"/>
        <v>0</v>
      </c>
      <c r="F82" s="1812">
        <f t="shared" si="2"/>
        <v>0</v>
      </c>
      <c r="G82" s="1813">
        <f t="shared" si="3"/>
        <v>0</v>
      </c>
    </row>
    <row r="83" spans="1:7" hidden="1" x14ac:dyDescent="0.25">
      <c r="A83" s="1672"/>
      <c r="B83" s="1686"/>
      <c r="C83" s="1673"/>
      <c r="D83" s="1864"/>
      <c r="E83" s="1560">
        <f t="shared" si="1"/>
        <v>0</v>
      </c>
      <c r="F83" s="1812">
        <f t="shared" si="2"/>
        <v>0</v>
      </c>
      <c r="G83" s="1813">
        <f t="shared" si="3"/>
        <v>0</v>
      </c>
    </row>
    <row r="84" spans="1:7" hidden="1" x14ac:dyDescent="0.25">
      <c r="A84" s="1672"/>
      <c r="B84" s="1686"/>
      <c r="C84" s="1673"/>
      <c r="D84" s="1864"/>
      <c r="E84" s="1560">
        <f t="shared" si="1"/>
        <v>0</v>
      </c>
      <c r="F84" s="1812">
        <f t="shared" si="2"/>
        <v>0</v>
      </c>
      <c r="G84" s="1813">
        <f t="shared" si="3"/>
        <v>0</v>
      </c>
    </row>
    <row r="85" spans="1:7" hidden="1" x14ac:dyDescent="0.25">
      <c r="A85" s="1672"/>
      <c r="B85" s="1686"/>
      <c r="C85" s="1673"/>
      <c r="D85" s="1864"/>
      <c r="E85" s="1560">
        <f t="shared" si="1"/>
        <v>0</v>
      </c>
      <c r="F85" s="1812">
        <f t="shared" si="2"/>
        <v>0</v>
      </c>
      <c r="G85" s="1813">
        <f t="shared" si="3"/>
        <v>0</v>
      </c>
    </row>
    <row r="86" spans="1:7" hidden="1" x14ac:dyDescent="0.25">
      <c r="A86" s="1672"/>
      <c r="B86" s="1686"/>
      <c r="C86" s="1673"/>
      <c r="D86" s="1864"/>
      <c r="E86" s="1560">
        <f t="shared" si="1"/>
        <v>0</v>
      </c>
      <c r="F86" s="1812">
        <f t="shared" si="2"/>
        <v>0</v>
      </c>
      <c r="G86" s="1813">
        <f t="shared" si="3"/>
        <v>0</v>
      </c>
    </row>
    <row r="87" spans="1:7" hidden="1" x14ac:dyDescent="0.25">
      <c r="A87" s="1672"/>
      <c r="B87" s="1686"/>
      <c r="C87" s="1673"/>
      <c r="D87" s="1864"/>
      <c r="E87" s="1560">
        <f t="shared" si="1"/>
        <v>0</v>
      </c>
      <c r="F87" s="1812">
        <f t="shared" si="2"/>
        <v>0</v>
      </c>
      <c r="G87" s="1813">
        <f t="shared" si="3"/>
        <v>0</v>
      </c>
    </row>
    <row r="88" spans="1:7" hidden="1" x14ac:dyDescent="0.25">
      <c r="A88" s="1672"/>
      <c r="B88" s="1686"/>
      <c r="C88" s="1673"/>
      <c r="D88" s="1864"/>
      <c r="E88" s="1560">
        <f t="shared" si="1"/>
        <v>0</v>
      </c>
      <c r="F88" s="1812">
        <f t="shared" si="2"/>
        <v>0</v>
      </c>
      <c r="G88" s="1813">
        <f t="shared" si="3"/>
        <v>0</v>
      </c>
    </row>
    <row r="89" spans="1:7" hidden="1" x14ac:dyDescent="0.25">
      <c r="A89" s="1672"/>
      <c r="B89" s="1686"/>
      <c r="C89" s="1673"/>
      <c r="D89" s="1864"/>
      <c r="E89" s="1560">
        <f t="shared" si="1"/>
        <v>0</v>
      </c>
      <c r="F89" s="1812">
        <f t="shared" si="2"/>
        <v>0</v>
      </c>
      <c r="G89" s="1813">
        <f t="shared" si="3"/>
        <v>0</v>
      </c>
    </row>
    <row r="90" spans="1:7" hidden="1" x14ac:dyDescent="0.25">
      <c r="A90" s="1672"/>
      <c r="B90" s="1686"/>
      <c r="C90" s="1673"/>
      <c r="D90" s="1864"/>
      <c r="E90" s="1560">
        <f t="shared" ref="E90" si="7">IF(D90&lt;=25000,D90,IF(D90&gt;25000,25000,0))</f>
        <v>0</v>
      </c>
      <c r="F90" s="1812">
        <f t="shared" ref="F90" si="8">IF(OR(B90="10-1000-100",B90="10-1000-200",B90="10-1000-300",B90="10-1000-400",B90="10-1000-600",B90="10-1000-800",B90="50-1000-200",B90="10-2100-100",B90="10-2100-200",B90="10-2100-300",B90="10-2100-400",B90="10-2100-600",B90="10-2100-800",B90="20-2100-200",B90="20-2190-100",B90="20-2190-200",B90="20-2190-300",B90="20-2190-400",B90="20-2190-600",B90="20-2190-800",B90="40-2190-100",B90="40-2190-200",B90="40-2190-300",B90="40-2190-400",B90="40-2190-600",B90="40-2190-800",B90="50-2190-200",B90="10-2200-100",B90="10-2200-200",B90="10-2200-300",B90="10-2200-400",B90="10-2200-600",B90="10-2200-800",B90="50-2200-200",B90="10-2300-100",B90="10-2300-200",B90="10-2300-300",B90="10-2300-400",B90="10-2300-600",B90="10-2300-800",B90="50-2300-200",B90="80-2300-100",B90="80-2300-200",B90="80-2300-300",B90="80-2300-400",B90="80-2300-600",B90="80-2300-800",B90="10-2400-100",B90="10-2400-200",B90="10-2400-300",B90="10-2400-400",B90="10-2400-600",B90="10-2400-800",B90="50-2400-200",B90="10-2510-100",B90="10-2510-200",B90="10-2510-300",B90="10-2510-400",B90="10-2510-600",B90="10-2510-800",B90="20-2510-100",B90="20-2510-200",B90="20-2510-300",B90="20-2510-400",B90="20-2510-600",B90="20-2510-800",B90="50-2510-200",B90="10-2520-100",B90="10-2520-200",B90="10-2520-300",B90="10-2520-400",B90="10-2520-600",B90="10-2520-800",B90="50-2520-200",B90="10-2540-100",B90="10-2540-200",B90="10-2540-300",B90="10-2540-400",B90="10-2540-600",B90="20-2540-800",B90="20-2540-100",B90="20-2540-200",B90="20-2540-300",B90="20-2540-400",B90="20-2540-600",B90="50-2540-200",B90="90-2540-100",B90="90-2540-200",B90="90-2540-300",B90="90-2540-400",B90="90-2540-600",B90="90-2540-800",B90="90-2540-800",B90="10-2550-100",B90="10-2550-200",B90="10-2550-300",B90="10-2550-400",B90="10-2550-600",B90="10-2550-800",B90="20-2550-100",B90="20-2550-200",B90="20-2550-300",B90="20-2550-400",B90="20-2550-600",B90="20-2550-800",B90="40-2550-100",B90="40-2550-200",B90="40-2550-300",B90="40-2550-400",B90="40-2550-600",B90="40-2550-800",B90="50-2550-200",B90="10-2560-100",B90="10-2560-200",B90="10-2560-300",B90="10-2560-400",B90="10-2560-600",B90="10-2560-800",B90="20-2560-100",B90="20-2560-200",B90="20-2560-300",B90="20-2560-400",B90="20-2560-600",B90="20-2560-800",B90="50-2560-200",B90="10-2570-100",B90="10-2570-200",B90="10-2570-300",B90="10-2570-400",B90="10-2570-600",B90="10-2570-800",B90="50-2570-200",B90="10-2610-100",B90="10-2610-200",B90="10-2610-300",B90="10-2610-400",B90="10-2610-600",B90="10-2610-800",B90="50-2610-200",B90="10-2620-100",B90="10-2620-200",B90="10-2620-300",B90="10-2620-400",B90="10-2620-600",B90="10-2620-800",B90="50-2620-200",B90="10-2630-100",B90="10-2630-200",B90="10-2630-300",B90="10-2630-400",B90="10-2630-600",B90="10-2630-800",B90="50-2630-200",B90="10-2640-100",B90="10-2640-200",B90="10-2640-300",B90="10-2640-400",B90="10-2640-600",B90="10-2640-800",B90="50-2640-200",B90="10-2660-100",B90="10-2660-200",B90="10-2660-300",B90="10-2660-400",B90="10-2660-600",B90="10-2660-800",B90="50-2660-200",B90="10-2900-100",B90="10-2900-200",B90="10-2900-300",B90="10-2900-400",B90="10-2900-600",B90="10-2900-800",B90="20-2900-100",B90="20-2900-200",B90="20-2900-300",B90="20-2900-400",B90="20-2900-600",B90="20-2900-800",B90="40-2900-100",B90="40-2900-200",B90="40-2900-300",B90="40-2900-400",B90="40-2900-600",B90="40-2900-800",B90="50-2900-200",B90="60-2900-100",B90="60-2900-200",B90="60-2900-300",B90="60-2900-400",B90="60-2900-600",B90="60-2900-800",B90="90-2900-100",B90="90-2900-200",B90="90-2900-300",B90="90-2900-400",B90="90-2900-600",B90="90-2900-800",B90="10-3000-100",B90="10-3000-200",B90="10-3000-300",B90="10-3000-400",B90="10-3000-600",B90="10-3000-800",B90="20-3000-100",B90="20-3000-200",B90="20-3000-300",B90="20-3000-400",B90="20-3000-600",B90="20-3000-800",B90="40-3000-100",B90="40-3000-200",B90="40-3000-300",B90="40-3000-400",B90="40-3000-600",B90="40-3000-800",B90="50-3000-200"),E90,0)</f>
        <v>0</v>
      </c>
      <c r="G90" s="1813">
        <f t="shared" ref="G90" si="9">IF(F90=0,0,D90-F90)</f>
        <v>0</v>
      </c>
    </row>
    <row r="91" spans="1:7" hidden="1" x14ac:dyDescent="0.25">
      <c r="A91" s="1672"/>
      <c r="B91" s="1686"/>
      <c r="C91" s="1673"/>
      <c r="D91" s="1864"/>
      <c r="E91" s="1560">
        <f t="shared" si="1"/>
        <v>0</v>
      </c>
      <c r="F91" s="1812">
        <f t="shared" si="2"/>
        <v>0</v>
      </c>
      <c r="G91" s="1813">
        <f t="shared" si="3"/>
        <v>0</v>
      </c>
    </row>
    <row r="92" spans="1:7" hidden="1" x14ac:dyDescent="0.25">
      <c r="A92" s="1672"/>
      <c r="B92" s="1686"/>
      <c r="C92" s="1673"/>
      <c r="D92" s="1864"/>
      <c r="E92" s="1560">
        <f t="shared" ref="E92:E95" si="10">IF(D92&lt;=25000,D92,IF(D92&gt;25000,25000,0))</f>
        <v>0</v>
      </c>
      <c r="F92" s="1812">
        <f t="shared" ref="F92:F95" si="11">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813">
        <f t="shared" ref="G92:G95" si="12">IF(F92=0,0,D92-F92)</f>
        <v>0</v>
      </c>
    </row>
    <row r="93" spans="1:7" hidden="1" x14ac:dyDescent="0.25">
      <c r="A93" s="1672"/>
      <c r="B93" s="1686"/>
      <c r="C93" s="1673"/>
      <c r="D93" s="1864"/>
      <c r="E93" s="1560">
        <f t="shared" si="10"/>
        <v>0</v>
      </c>
      <c r="F93" s="1812">
        <f t="shared" si="11"/>
        <v>0</v>
      </c>
      <c r="G93" s="1813">
        <f t="shared" si="12"/>
        <v>0</v>
      </c>
    </row>
    <row r="94" spans="1:7" hidden="1" x14ac:dyDescent="0.25">
      <c r="A94" s="1672"/>
      <c r="B94" s="1686"/>
      <c r="C94" s="1673"/>
      <c r="D94" s="1864"/>
      <c r="E94" s="1560">
        <f t="shared" si="10"/>
        <v>0</v>
      </c>
      <c r="F94" s="1812">
        <f t="shared" si="11"/>
        <v>0</v>
      </c>
      <c r="G94" s="1813">
        <f t="shared" si="12"/>
        <v>0</v>
      </c>
    </row>
    <row r="95" spans="1:7" hidden="1" x14ac:dyDescent="0.25">
      <c r="A95" s="1672"/>
      <c r="B95" s="1686"/>
      <c r="C95" s="1673"/>
      <c r="D95" s="1864"/>
      <c r="E95" s="1560">
        <f t="shared" si="10"/>
        <v>0</v>
      </c>
      <c r="F95" s="1812">
        <f t="shared" si="11"/>
        <v>0</v>
      </c>
      <c r="G95" s="1813">
        <f t="shared" si="12"/>
        <v>0</v>
      </c>
    </row>
    <row r="96" spans="1:7" hidden="1" x14ac:dyDescent="0.25">
      <c r="A96" s="1672"/>
      <c r="B96" s="1686"/>
      <c r="C96" s="1673"/>
      <c r="D96" s="1864"/>
      <c r="E96" s="1560">
        <f t="shared" ref="E96" si="13">IF(D96&lt;=25000,D96,IF(D96&gt;25000,25000,0))</f>
        <v>0</v>
      </c>
      <c r="F96" s="1812">
        <f t="shared" ref="F96" si="14">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3">
        <f t="shared" ref="G96" si="15">IF(F96=0,0,D96-F96)</f>
        <v>0</v>
      </c>
    </row>
    <row r="97" spans="1:7" hidden="1" x14ac:dyDescent="0.25">
      <c r="A97" s="1672"/>
      <c r="B97" s="1686"/>
      <c r="C97" s="1673"/>
      <c r="D97" s="1864"/>
      <c r="E97" s="1560">
        <f t="shared" ref="E97:E109" si="16">IF(D97&lt;=25000,D97,IF(D97&gt;25000,25000,0))</f>
        <v>0</v>
      </c>
      <c r="F97" s="1812">
        <f t="shared" ref="F97:F109" si="17">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3">
        <f t="shared" ref="G97:G109" si="18">IF(F97=0,0,D97-F97)</f>
        <v>0</v>
      </c>
    </row>
    <row r="98" spans="1:7" hidden="1" x14ac:dyDescent="0.25">
      <c r="A98" s="1672"/>
      <c r="B98" s="1686"/>
      <c r="C98" s="1673"/>
      <c r="D98" s="1864"/>
      <c r="E98" s="1560">
        <f t="shared" si="16"/>
        <v>0</v>
      </c>
      <c r="F98" s="1812">
        <f t="shared" si="17"/>
        <v>0</v>
      </c>
      <c r="G98" s="1813">
        <f t="shared" si="18"/>
        <v>0</v>
      </c>
    </row>
    <row r="99" spans="1:7" hidden="1" x14ac:dyDescent="0.25">
      <c r="A99" s="1672"/>
      <c r="B99" s="1686"/>
      <c r="C99" s="1673"/>
      <c r="D99" s="1864"/>
      <c r="E99" s="1560">
        <f t="shared" si="16"/>
        <v>0</v>
      </c>
      <c r="F99" s="1812">
        <f t="shared" si="17"/>
        <v>0</v>
      </c>
      <c r="G99" s="1813">
        <f t="shared" si="18"/>
        <v>0</v>
      </c>
    </row>
    <row r="100" spans="1:7" hidden="1" x14ac:dyDescent="0.25">
      <c r="A100" s="1672"/>
      <c r="B100" s="1686"/>
      <c r="C100" s="1673"/>
      <c r="D100" s="1864"/>
      <c r="E100" s="1560">
        <f t="shared" si="16"/>
        <v>0</v>
      </c>
      <c r="F100" s="1812">
        <f t="shared" si="17"/>
        <v>0</v>
      </c>
      <c r="G100" s="1813">
        <f t="shared" si="18"/>
        <v>0</v>
      </c>
    </row>
    <row r="101" spans="1:7" hidden="1" x14ac:dyDescent="0.25">
      <c r="A101" s="1672"/>
      <c r="B101" s="1686"/>
      <c r="C101" s="1673"/>
      <c r="D101" s="1864"/>
      <c r="E101" s="1560">
        <f t="shared" si="16"/>
        <v>0</v>
      </c>
      <c r="F101" s="1812">
        <f t="shared" si="17"/>
        <v>0</v>
      </c>
      <c r="G101" s="1813">
        <f t="shared" si="18"/>
        <v>0</v>
      </c>
    </row>
    <row r="102" spans="1:7" hidden="1" x14ac:dyDescent="0.25">
      <c r="A102" s="1672"/>
      <c r="B102" s="1686"/>
      <c r="C102" s="1673"/>
      <c r="D102" s="1864"/>
      <c r="E102" s="1560">
        <f t="shared" si="16"/>
        <v>0</v>
      </c>
      <c r="F102" s="1812">
        <f t="shared" si="17"/>
        <v>0</v>
      </c>
      <c r="G102" s="1813">
        <f t="shared" si="18"/>
        <v>0</v>
      </c>
    </row>
    <row r="103" spans="1:7" hidden="1" x14ac:dyDescent="0.25">
      <c r="A103" s="1672"/>
      <c r="B103" s="1686"/>
      <c r="C103" s="1673"/>
      <c r="D103" s="1864"/>
      <c r="E103" s="1560">
        <f t="shared" si="16"/>
        <v>0</v>
      </c>
      <c r="F103" s="1812">
        <f t="shared" si="17"/>
        <v>0</v>
      </c>
      <c r="G103" s="1813">
        <f t="shared" si="18"/>
        <v>0</v>
      </c>
    </row>
    <row r="104" spans="1:7" hidden="1" x14ac:dyDescent="0.25">
      <c r="A104" s="1672"/>
      <c r="B104" s="1686"/>
      <c r="C104" s="1673"/>
      <c r="D104" s="1864"/>
      <c r="E104" s="1560">
        <f t="shared" si="16"/>
        <v>0</v>
      </c>
      <c r="F104" s="1812">
        <f t="shared" si="17"/>
        <v>0</v>
      </c>
      <c r="G104" s="1813">
        <f t="shared" si="18"/>
        <v>0</v>
      </c>
    </row>
    <row r="105" spans="1:7" hidden="1" x14ac:dyDescent="0.25">
      <c r="A105" s="1672"/>
      <c r="B105" s="1686"/>
      <c r="C105" s="1673"/>
      <c r="D105" s="1864"/>
      <c r="E105" s="1560">
        <f t="shared" si="16"/>
        <v>0</v>
      </c>
      <c r="F105" s="1812">
        <f t="shared" si="17"/>
        <v>0</v>
      </c>
      <c r="G105" s="1813">
        <f t="shared" si="18"/>
        <v>0</v>
      </c>
    </row>
    <row r="106" spans="1:7" hidden="1" x14ac:dyDescent="0.25">
      <c r="A106" s="1672"/>
      <c r="B106" s="1686"/>
      <c r="C106" s="1673"/>
      <c r="D106" s="1864"/>
      <c r="E106" s="1560">
        <f t="shared" si="16"/>
        <v>0</v>
      </c>
      <c r="F106" s="1812">
        <f t="shared" si="17"/>
        <v>0</v>
      </c>
      <c r="G106" s="1813">
        <f t="shared" si="18"/>
        <v>0</v>
      </c>
    </row>
    <row r="107" spans="1:7" hidden="1" x14ac:dyDescent="0.25">
      <c r="A107" s="1672"/>
      <c r="B107" s="1686"/>
      <c r="C107" s="1673"/>
      <c r="D107" s="1864"/>
      <c r="E107" s="1560">
        <f t="shared" si="16"/>
        <v>0</v>
      </c>
      <c r="F107" s="1812">
        <f t="shared" si="17"/>
        <v>0</v>
      </c>
      <c r="G107" s="1813">
        <f t="shared" si="18"/>
        <v>0</v>
      </c>
    </row>
    <row r="108" spans="1:7" hidden="1" x14ac:dyDescent="0.25">
      <c r="A108" s="1672"/>
      <c r="B108" s="1686"/>
      <c r="C108" s="1673"/>
      <c r="D108" s="1864"/>
      <c r="E108" s="1560">
        <f t="shared" si="16"/>
        <v>0</v>
      </c>
      <c r="F108" s="1812">
        <f t="shared" si="17"/>
        <v>0</v>
      </c>
      <c r="G108" s="1813">
        <f t="shared" si="18"/>
        <v>0</v>
      </c>
    </row>
    <row r="109" spans="1:7" hidden="1" x14ac:dyDescent="0.25">
      <c r="A109" s="1672"/>
      <c r="B109" s="1686"/>
      <c r="C109" s="1673"/>
      <c r="D109" s="1864"/>
      <c r="E109" s="1560">
        <f t="shared" si="16"/>
        <v>0</v>
      </c>
      <c r="F109" s="1812">
        <f t="shared" si="17"/>
        <v>0</v>
      </c>
      <c r="G109" s="1813">
        <f t="shared" si="18"/>
        <v>0</v>
      </c>
    </row>
    <row r="110" spans="1:7" hidden="1" x14ac:dyDescent="0.25">
      <c r="A110" s="1672"/>
      <c r="B110" s="1686"/>
      <c r="C110" s="1673"/>
      <c r="D110" s="1864"/>
      <c r="E110" s="1560">
        <f t="shared" ref="E110:E122" si="19">IF(D110&lt;=25000,D110,IF(D110&gt;25000,25000,0))</f>
        <v>0</v>
      </c>
      <c r="F110" s="1812">
        <f t="shared" ref="F110:F122" si="20">IF(OR(B110="10-1000-100",B110="10-1000-200",B110="10-1000-300",B110="10-1000-400",B110="10-1000-600",B110="10-1000-800",B110="50-1000-200",B110="10-2100-100",B110="10-2100-200",B110="10-2100-300",B110="10-2100-400",B110="10-2100-600",B110="10-2100-800",B110="20-2100-200",B110="20-2190-100",B110="20-2190-200",B110="20-2190-300",B110="20-2190-400",B110="20-2190-600",B110="20-2190-800",B110="40-2190-100",B110="40-2190-200",B110="40-2190-300",B110="40-2190-400",B110="40-2190-600",B110="40-2190-800",B110="50-2190-200",B110="10-2200-100",B110="10-2200-200",B110="10-2200-300",B110="10-2200-400",B110="10-2200-600",B110="10-2200-800",B110="50-2200-200",B110="10-2300-100",B110="10-2300-200",B110="10-2300-300",B110="10-2300-400",B110="10-2300-600",B110="10-2300-800",B110="50-2300-200",B110="80-2300-100",B110="80-2300-200",B110="80-2300-300",B110="80-2300-400",B110="80-2300-600",B110="80-2300-800",B110="10-2400-100",B110="10-2400-200",B110="10-2400-300",B110="10-2400-400",B110="10-2400-600",B110="10-2400-800",B110="50-2400-200",B110="10-2510-100",B110="10-2510-200",B110="10-2510-300",B110="10-2510-400",B110="10-2510-600",B110="10-2510-800",B110="20-2510-100",B110="20-2510-200",B110="20-2510-300",B110="20-2510-400",B110="20-2510-600",B110="20-2510-800",B110="50-2510-200",B110="10-2520-100",B110="10-2520-200",B110="10-2520-300",B110="10-2520-400",B110="10-2520-600",B110="10-2520-800",B110="50-2520-200",B110="10-2540-100",B110="10-2540-200",B110="10-2540-300",B110="10-2540-400",B110="10-2540-600",B110="20-2540-800",B110="20-2540-100",B110="20-2540-200",B110="20-2540-300",B110="20-2540-400",B110="20-2540-600",B110="50-2540-200",B110="90-2540-100",B110="90-2540-200",B110="90-2540-300",B110="90-2540-400",B110="90-2540-600",B110="90-2540-800",B110="90-2540-800",B110="10-2550-100",B110="10-2550-200",B110="10-2550-300",B110="10-2550-400",B110="10-2550-600",B110="10-2550-800",B110="20-2550-100",B110="20-2550-200",B110="20-2550-300",B110="20-2550-400",B110="20-2550-600",B110="20-2550-800",B110="40-2550-100",B110="40-2550-200",B110="40-2550-300",B110="40-2550-400",B110="40-2550-600",B110="40-2550-800",B110="50-2550-200",B110="10-2560-100",B110="10-2560-200",B110="10-2560-300",B110="10-2560-400",B110="10-2560-600",B110="10-2560-800",B110="20-2560-100",B110="20-2560-200",B110="20-2560-300",B110="20-2560-400",B110="20-2560-600",B110="20-2560-800",B110="50-2560-200",B110="10-2570-100",B110="10-2570-200",B110="10-2570-300",B110="10-2570-400",B110="10-2570-600",B110="10-2570-800",B110="50-2570-200",B110="10-2610-100",B110="10-2610-200",B110="10-2610-300",B110="10-2610-400",B110="10-2610-600",B110="10-2610-800",B110="50-2610-200",B110="10-2620-100",B110="10-2620-200",B110="10-2620-300",B110="10-2620-400",B110="10-2620-600",B110="10-2620-800",B110="50-2620-200",B110="10-2630-100",B110="10-2630-200",B110="10-2630-300",B110="10-2630-400",B110="10-2630-600",B110="10-2630-800",B110="50-2630-200",B110="10-2640-100",B110="10-2640-200",B110="10-2640-300",B110="10-2640-400",B110="10-2640-600",B110="10-2640-800",B110="50-2640-200",B110="10-2660-100",B110="10-2660-200",B110="10-2660-300",B110="10-2660-400",B110="10-2660-600",B110="10-2660-800",B110="50-2660-200",B110="10-2900-100",B110="10-2900-200",B110="10-2900-300",B110="10-2900-400",B110="10-2900-600",B110="10-2900-800",B110="20-2900-100",B110="20-2900-200",B110="20-2900-300",B110="20-2900-400",B110="20-2900-600",B110="20-2900-800",B110="40-2900-100",B110="40-2900-200",B110="40-2900-300",B110="40-2900-400",B110="40-2900-600",B110="40-2900-800",B110="50-2900-200",B110="60-2900-100",B110="60-2900-200",B110="60-2900-300",B110="60-2900-400",B110="60-2900-600",B110="60-2900-800",B110="90-2900-100",B110="90-2900-200",B110="90-2900-300",B110="90-2900-400",B110="90-2900-600",B110="90-2900-800",B110="10-3000-100",B110="10-3000-200",B110="10-3000-300",B110="10-3000-400",B110="10-3000-600",B110="10-3000-800",B110="20-3000-100",B110="20-3000-200",B110="20-3000-300",B110="20-3000-400",B110="20-3000-600",B110="20-3000-800",B110="40-3000-100",B110="40-3000-200",B110="40-3000-300",B110="40-3000-400",B110="40-3000-600",B110="40-3000-800",B110="50-3000-200"),E110,0)</f>
        <v>0</v>
      </c>
      <c r="G110" s="1813">
        <f t="shared" ref="G110:G122" si="21">IF(F110=0,0,D110-F110)</f>
        <v>0</v>
      </c>
    </row>
    <row r="111" spans="1:7" hidden="1" x14ac:dyDescent="0.25">
      <c r="A111" s="1672"/>
      <c r="B111" s="1686"/>
      <c r="C111" s="1673"/>
      <c r="D111" s="1864"/>
      <c r="E111" s="1560">
        <f t="shared" si="19"/>
        <v>0</v>
      </c>
      <c r="F111" s="1812">
        <f t="shared" si="20"/>
        <v>0</v>
      </c>
      <c r="G111" s="1813">
        <f t="shared" si="21"/>
        <v>0</v>
      </c>
    </row>
    <row r="112" spans="1:7" hidden="1" x14ac:dyDescent="0.25">
      <c r="A112" s="1672"/>
      <c r="B112" s="1686"/>
      <c r="C112" s="1673"/>
      <c r="D112" s="1864"/>
      <c r="E112" s="1560">
        <f t="shared" si="19"/>
        <v>0</v>
      </c>
      <c r="F112" s="1812">
        <f t="shared" si="20"/>
        <v>0</v>
      </c>
      <c r="G112" s="1813">
        <f t="shared" si="21"/>
        <v>0</v>
      </c>
    </row>
    <row r="113" spans="1:7" hidden="1" x14ac:dyDescent="0.25">
      <c r="A113" s="1672"/>
      <c r="B113" s="1686"/>
      <c r="C113" s="1673"/>
      <c r="D113" s="1864"/>
      <c r="E113" s="1560">
        <f t="shared" si="19"/>
        <v>0</v>
      </c>
      <c r="F113" s="1812">
        <f t="shared" si="20"/>
        <v>0</v>
      </c>
      <c r="G113" s="1813">
        <f t="shared" si="21"/>
        <v>0</v>
      </c>
    </row>
    <row r="114" spans="1:7" hidden="1" x14ac:dyDescent="0.25">
      <c r="A114" s="1672"/>
      <c r="B114" s="1686"/>
      <c r="C114" s="1673"/>
      <c r="D114" s="1864"/>
      <c r="E114" s="1560">
        <f t="shared" si="19"/>
        <v>0</v>
      </c>
      <c r="F114" s="1812">
        <f t="shared" si="20"/>
        <v>0</v>
      </c>
      <c r="G114" s="1813">
        <f t="shared" si="21"/>
        <v>0</v>
      </c>
    </row>
    <row r="115" spans="1:7" hidden="1" x14ac:dyDescent="0.25">
      <c r="A115" s="1672"/>
      <c r="B115" s="1686"/>
      <c r="C115" s="1673"/>
      <c r="D115" s="1864"/>
      <c r="E115" s="1560">
        <f t="shared" si="19"/>
        <v>0</v>
      </c>
      <c r="F115" s="1812">
        <f t="shared" si="20"/>
        <v>0</v>
      </c>
      <c r="G115" s="1813">
        <f t="shared" si="21"/>
        <v>0</v>
      </c>
    </row>
    <row r="116" spans="1:7" hidden="1" x14ac:dyDescent="0.25">
      <c r="A116" s="1672"/>
      <c r="B116" s="1686"/>
      <c r="C116" s="1673"/>
      <c r="D116" s="1864"/>
      <c r="E116" s="1560">
        <f t="shared" si="19"/>
        <v>0</v>
      </c>
      <c r="F116" s="1812">
        <f t="shared" si="20"/>
        <v>0</v>
      </c>
      <c r="G116" s="1813">
        <f t="shared" si="21"/>
        <v>0</v>
      </c>
    </row>
    <row r="117" spans="1:7" hidden="1" x14ac:dyDescent="0.25">
      <c r="A117" s="1672"/>
      <c r="B117" s="1686"/>
      <c r="C117" s="1673"/>
      <c r="D117" s="1864"/>
      <c r="E117" s="1560">
        <f t="shared" si="19"/>
        <v>0</v>
      </c>
      <c r="F117" s="1812">
        <f t="shared" si="20"/>
        <v>0</v>
      </c>
      <c r="G117" s="1813">
        <f t="shared" si="21"/>
        <v>0</v>
      </c>
    </row>
    <row r="118" spans="1:7" hidden="1" x14ac:dyDescent="0.25">
      <c r="A118" s="1672"/>
      <c r="B118" s="1686"/>
      <c r="C118" s="1673"/>
      <c r="D118" s="1864"/>
      <c r="E118" s="1560">
        <f t="shared" si="19"/>
        <v>0</v>
      </c>
      <c r="F118" s="1812">
        <f t="shared" si="20"/>
        <v>0</v>
      </c>
      <c r="G118" s="1813">
        <f t="shared" si="21"/>
        <v>0</v>
      </c>
    </row>
    <row r="119" spans="1:7" hidden="1" x14ac:dyDescent="0.25">
      <c r="A119" s="1672"/>
      <c r="B119" s="1686"/>
      <c r="C119" s="1673"/>
      <c r="D119" s="1864"/>
      <c r="E119" s="1560">
        <f t="shared" si="19"/>
        <v>0</v>
      </c>
      <c r="F119" s="1812">
        <f t="shared" si="20"/>
        <v>0</v>
      </c>
      <c r="G119" s="1813">
        <f t="shared" si="21"/>
        <v>0</v>
      </c>
    </row>
    <row r="120" spans="1:7" hidden="1" x14ac:dyDescent="0.25">
      <c r="A120" s="1672"/>
      <c r="B120" s="1686"/>
      <c r="C120" s="1673"/>
      <c r="D120" s="1864"/>
      <c r="E120" s="1560">
        <f t="shared" si="19"/>
        <v>0</v>
      </c>
      <c r="F120" s="1812">
        <f t="shared" si="20"/>
        <v>0</v>
      </c>
      <c r="G120" s="1813">
        <f t="shared" si="21"/>
        <v>0</v>
      </c>
    </row>
    <row r="121" spans="1:7" hidden="1" x14ac:dyDescent="0.25">
      <c r="A121" s="1672"/>
      <c r="B121" s="1686"/>
      <c r="C121" s="1673"/>
      <c r="D121" s="1864"/>
      <c r="E121" s="1560">
        <f t="shared" si="19"/>
        <v>0</v>
      </c>
      <c r="F121" s="1812">
        <f t="shared" si="20"/>
        <v>0</v>
      </c>
      <c r="G121" s="1813">
        <f t="shared" si="21"/>
        <v>0</v>
      </c>
    </row>
    <row r="122" spans="1:7" hidden="1" x14ac:dyDescent="0.25">
      <c r="A122" s="1672"/>
      <c r="B122" s="1686"/>
      <c r="C122" s="1673"/>
      <c r="D122" s="1864"/>
      <c r="E122" s="1560">
        <f t="shared" si="19"/>
        <v>0</v>
      </c>
      <c r="F122" s="1812">
        <f t="shared" si="20"/>
        <v>0</v>
      </c>
      <c r="G122" s="1813">
        <f t="shared" si="21"/>
        <v>0</v>
      </c>
    </row>
    <row r="123" spans="1:7" hidden="1" x14ac:dyDescent="0.25">
      <c r="A123" s="1672"/>
      <c r="B123" s="1686"/>
      <c r="C123" s="1673"/>
      <c r="D123" s="1864"/>
      <c r="E123" s="1560">
        <f t="shared" ref="E123:E131" si="22">IF(D123&lt;=25000,D123,IF(D123&gt;25000,25000,0))</f>
        <v>0</v>
      </c>
      <c r="F123" s="1812">
        <f t="shared" ref="F123:F131" si="23">IF(OR(B123="10-1000-100",B123="10-1000-200",B123="10-1000-300",B123="10-1000-400",B123="10-1000-600",B123="10-1000-800",B123="50-1000-200",B123="10-2100-100",B123="10-2100-200",B123="10-2100-300",B123="10-2100-400",B123="10-2100-600",B123="10-2100-800",B123="20-2100-200",B123="20-2190-100",B123="20-2190-200",B123="20-2190-300",B123="20-2190-400",B123="20-2190-600",B123="20-2190-800",B123="40-2190-100",B123="40-2190-200",B123="40-2190-300",B123="40-2190-400",B123="40-2190-600",B123="40-2190-800",B123="50-2190-200",B123="10-2200-100",B123="10-2200-200",B123="10-2200-300",B123="10-2200-400",B123="10-2200-600",B123="10-2200-800",B123="50-2200-200",B123="10-2300-100",B123="10-2300-200",B123="10-2300-300",B123="10-2300-400",B123="10-2300-600",B123="10-2300-800",B123="50-2300-200",B123="80-2300-100",B123="80-2300-200",B123="80-2300-300",B123="80-2300-400",B123="80-2300-600",B123="80-2300-800",B123="10-2400-100",B123="10-2400-200",B123="10-2400-300",B123="10-2400-400",B123="10-2400-600",B123="10-2400-800",B123="50-2400-200",B123="10-2510-100",B123="10-2510-200",B123="10-2510-300",B123="10-2510-400",B123="10-2510-600",B123="10-2510-800",B123="20-2510-100",B123="20-2510-200",B123="20-2510-300",B123="20-2510-400",B123="20-2510-600",B123="20-2510-800",B123="50-2510-200",B123="10-2520-100",B123="10-2520-200",B123="10-2520-300",B123="10-2520-400",B123="10-2520-600",B123="10-2520-800",B123="50-2520-200",B123="10-2540-100",B123="10-2540-200",B123="10-2540-300",B123="10-2540-400",B123="10-2540-600",B123="20-2540-800",B123="20-2540-100",B123="20-2540-200",B123="20-2540-300",B123="20-2540-400",B123="20-2540-600",B123="50-2540-200",B123="90-2540-100",B123="90-2540-200",B123="90-2540-300",B123="90-2540-400",B123="90-2540-600",B123="90-2540-800",B123="90-2540-800",B123="10-2550-100",B123="10-2550-200",B123="10-2550-300",B123="10-2550-400",B123="10-2550-600",B123="10-2550-800",B123="20-2550-100",B123="20-2550-200",B123="20-2550-300",B123="20-2550-400",B123="20-2550-600",B123="20-2550-800",B123="40-2550-100",B123="40-2550-200",B123="40-2550-300",B123="40-2550-400",B123="40-2550-600",B123="40-2550-800",B123="50-2550-200",B123="10-2560-100",B123="10-2560-200",B123="10-2560-300",B123="10-2560-400",B123="10-2560-600",B123="10-2560-800",B123="20-2560-100",B123="20-2560-200",B123="20-2560-300",B123="20-2560-400",B123="20-2560-600",B123="20-2560-800",B123="50-2560-200",B123="10-2570-100",B123="10-2570-200",B123="10-2570-300",B123="10-2570-400",B123="10-2570-600",B123="10-2570-800",B123="50-2570-200",B123="10-2610-100",B123="10-2610-200",B123="10-2610-300",B123="10-2610-400",B123="10-2610-600",B123="10-2610-800",B123="50-2610-200",B123="10-2620-100",B123="10-2620-200",B123="10-2620-300",B123="10-2620-400",B123="10-2620-600",B123="10-2620-800",B123="50-2620-200",B123="10-2630-100",B123="10-2630-200",B123="10-2630-300",B123="10-2630-400",B123="10-2630-600",B123="10-2630-800",B123="50-2630-200",B123="10-2640-100",B123="10-2640-200",B123="10-2640-300",B123="10-2640-400",B123="10-2640-600",B123="10-2640-800",B123="50-2640-200",B123="10-2660-100",B123="10-2660-200",B123="10-2660-300",B123="10-2660-400",B123="10-2660-600",B123="10-2660-800",B123="50-2660-200",B123="10-2900-100",B123="10-2900-200",B123="10-2900-300",B123="10-2900-400",B123="10-2900-600",B123="10-2900-800",B123="20-2900-100",B123="20-2900-200",B123="20-2900-300",B123="20-2900-400",B123="20-2900-600",B123="20-2900-800",B123="40-2900-100",B123="40-2900-200",B123="40-2900-300",B123="40-2900-400",B123="40-2900-600",B123="40-2900-800",B123="50-2900-200",B123="60-2900-100",B123="60-2900-200",B123="60-2900-300",B123="60-2900-400",B123="60-2900-600",B123="60-2900-800",B123="90-2900-100",B123="90-2900-200",B123="90-2900-300",B123="90-2900-400",B123="90-2900-600",B123="90-2900-800",B123="10-3000-100",B123="10-3000-200",B123="10-3000-300",B123="10-3000-400",B123="10-3000-600",B123="10-3000-800",B123="20-3000-100",B123="20-3000-200",B123="20-3000-300",B123="20-3000-400",B123="20-3000-600",B123="20-3000-800",B123="40-3000-100",B123="40-3000-200",B123="40-3000-300",B123="40-3000-400",B123="40-3000-600",B123="40-3000-800",B123="50-3000-200"),E123,0)</f>
        <v>0</v>
      </c>
      <c r="G123" s="1813">
        <f t="shared" ref="G123:G131" si="24">IF(F123=0,0,D123-F123)</f>
        <v>0</v>
      </c>
    </row>
    <row r="124" spans="1:7" hidden="1" x14ac:dyDescent="0.25">
      <c r="A124" s="1672"/>
      <c r="B124" s="1686"/>
      <c r="C124" s="1673"/>
      <c r="D124" s="1864"/>
      <c r="E124" s="1560">
        <f t="shared" si="22"/>
        <v>0</v>
      </c>
      <c r="F124" s="1812">
        <f t="shared" si="23"/>
        <v>0</v>
      </c>
      <c r="G124" s="1813">
        <f t="shared" si="24"/>
        <v>0</v>
      </c>
    </row>
    <row r="125" spans="1:7" hidden="1" x14ac:dyDescent="0.25">
      <c r="A125" s="1672"/>
      <c r="B125" s="1686"/>
      <c r="C125" s="1673"/>
      <c r="D125" s="1864"/>
      <c r="E125" s="1560">
        <f t="shared" si="22"/>
        <v>0</v>
      </c>
      <c r="F125" s="1812">
        <f t="shared" si="23"/>
        <v>0</v>
      </c>
      <c r="G125" s="1813">
        <f t="shared" si="24"/>
        <v>0</v>
      </c>
    </row>
    <row r="126" spans="1:7" hidden="1" x14ac:dyDescent="0.25">
      <c r="A126" s="1672"/>
      <c r="B126" s="1686"/>
      <c r="C126" s="1673"/>
      <c r="D126" s="1864"/>
      <c r="E126" s="1560">
        <f t="shared" si="22"/>
        <v>0</v>
      </c>
      <c r="F126" s="1812">
        <f t="shared" si="23"/>
        <v>0</v>
      </c>
      <c r="G126" s="1813">
        <f t="shared" si="24"/>
        <v>0</v>
      </c>
    </row>
    <row r="127" spans="1:7" hidden="1" x14ac:dyDescent="0.25">
      <c r="A127" s="1672"/>
      <c r="B127" s="1686"/>
      <c r="C127" s="1673"/>
      <c r="D127" s="1864"/>
      <c r="E127" s="1560">
        <f t="shared" si="22"/>
        <v>0</v>
      </c>
      <c r="F127" s="1812">
        <f t="shared" si="23"/>
        <v>0</v>
      </c>
      <c r="G127" s="1813">
        <f t="shared" si="24"/>
        <v>0</v>
      </c>
    </row>
    <row r="128" spans="1:7" hidden="1" x14ac:dyDescent="0.25">
      <c r="A128" s="1672"/>
      <c r="B128" s="1857"/>
      <c r="C128" s="1673"/>
      <c r="D128" s="1864"/>
      <c r="E128" s="1560">
        <f t="shared" si="22"/>
        <v>0</v>
      </c>
      <c r="F128" s="1812">
        <f t="shared" si="23"/>
        <v>0</v>
      </c>
      <c r="G128" s="1813">
        <f t="shared" si="24"/>
        <v>0</v>
      </c>
    </row>
    <row r="129" spans="1:7" hidden="1" x14ac:dyDescent="0.25">
      <c r="A129" s="1672"/>
      <c r="B129" s="1857"/>
      <c r="C129" s="1673"/>
      <c r="D129" s="1864"/>
      <c r="E129" s="1560">
        <f t="shared" si="22"/>
        <v>0</v>
      </c>
      <c r="F129" s="1812">
        <f t="shared" si="23"/>
        <v>0</v>
      </c>
      <c r="G129" s="1813">
        <f t="shared" si="24"/>
        <v>0</v>
      </c>
    </row>
    <row r="130" spans="1:7" hidden="1" x14ac:dyDescent="0.25">
      <c r="A130" s="1672"/>
      <c r="B130" s="1686"/>
      <c r="C130" s="1673"/>
      <c r="D130" s="1864"/>
      <c r="E130" s="1560">
        <f t="shared" si="22"/>
        <v>0</v>
      </c>
      <c r="F130" s="1812">
        <f t="shared" si="23"/>
        <v>0</v>
      </c>
      <c r="G130" s="1813">
        <f t="shared" si="24"/>
        <v>0</v>
      </c>
    </row>
    <row r="131" spans="1:7" hidden="1" x14ac:dyDescent="0.25">
      <c r="A131" s="1672"/>
      <c r="B131" s="1686"/>
      <c r="C131" s="1673"/>
      <c r="D131" s="1864"/>
      <c r="E131" s="1560">
        <f t="shared" si="22"/>
        <v>0</v>
      </c>
      <c r="F131" s="1812">
        <f t="shared" si="23"/>
        <v>0</v>
      </c>
      <c r="G131" s="1813">
        <f t="shared" si="24"/>
        <v>0</v>
      </c>
    </row>
    <row r="132" spans="1:7" hidden="1" x14ac:dyDescent="0.25">
      <c r="A132" s="1672"/>
      <c r="B132" s="1686"/>
      <c r="C132" s="1673"/>
      <c r="D132" s="1864"/>
      <c r="E132" s="1560">
        <f t="shared" ref="E132:E136" si="25">IF(D132&lt;=25000,D132,IF(D132&gt;25000,25000,0))</f>
        <v>0</v>
      </c>
      <c r="F132" s="1812">
        <f t="shared" ref="F132:F136" si="26">IF(OR(B132="10-1000-100",B132="10-1000-200",B132="10-1000-300",B132="10-1000-400",B132="10-1000-600",B132="10-1000-800",B132="50-1000-200",B132="10-2100-100",B132="10-2100-200",B132="10-2100-300",B132="10-2100-400",B132="10-2100-600",B132="10-2100-800",B132="20-2100-200",B132="20-2190-100",B132="20-2190-200",B132="20-2190-300",B132="20-2190-400",B132="20-2190-600",B132="20-2190-800",B132="40-2190-100",B132="40-2190-200",B132="40-2190-300",B132="40-2190-400",B132="40-2190-600",B132="40-2190-800",B132="50-2190-200",B132="10-2200-100",B132="10-2200-200",B132="10-2200-300",B132="10-2200-400",B132="10-2200-600",B132="10-2200-800",B132="50-2200-200",B132="10-2300-100",B132="10-2300-200",B132="10-2300-300",B132="10-2300-400",B132="10-2300-600",B132="10-2300-800",B132="50-2300-200",B132="80-2300-100",B132="80-2300-200",B132="80-2300-300",B132="80-2300-400",B132="80-2300-600",B132="80-2300-800",B132="10-2400-100",B132="10-2400-200",B132="10-2400-300",B132="10-2400-400",B132="10-2400-600",B132="10-2400-800",B132="50-2400-200",B132="10-2510-100",B132="10-2510-200",B132="10-2510-300",B132="10-2510-400",B132="10-2510-600",B132="10-2510-800",B132="20-2510-100",B132="20-2510-200",B132="20-2510-300",B132="20-2510-400",B132="20-2510-600",B132="20-2510-800",B132="50-2510-200",B132="10-2520-100",B132="10-2520-200",B132="10-2520-300",B132="10-2520-400",B132="10-2520-600",B132="10-2520-800",B132="50-2520-200",B132="10-2540-100",B132="10-2540-200",B132="10-2540-300",B132="10-2540-400",B132="10-2540-600",B132="20-2540-800",B132="20-2540-100",B132="20-2540-200",B132="20-2540-300",B132="20-2540-400",B132="20-2540-600",B132="50-2540-200",B132="90-2540-100",B132="90-2540-200",B132="90-2540-300",B132="90-2540-400",B132="90-2540-600",B132="90-2540-800",B132="90-2540-800",B132="10-2550-100",B132="10-2550-200",B132="10-2550-300",B132="10-2550-400",B132="10-2550-600",B132="10-2550-800",B132="20-2550-100",B132="20-2550-200",B132="20-2550-300",B132="20-2550-400",B132="20-2550-600",B132="20-2550-800",B132="40-2550-100",B132="40-2550-200",B132="40-2550-300",B132="40-2550-400",B132="40-2550-600",B132="40-2550-800",B132="50-2550-200",B132="10-2560-100",B132="10-2560-200",B132="10-2560-300",B132="10-2560-400",B132="10-2560-600",B132="10-2560-800",B132="20-2560-100",B132="20-2560-200",B132="20-2560-300",B132="20-2560-400",B132="20-2560-600",B132="20-2560-800",B132="50-2560-200",B132="10-2570-100",B132="10-2570-200",B132="10-2570-300",B132="10-2570-400",B132="10-2570-600",B132="10-2570-800",B132="50-2570-200",B132="10-2610-100",B132="10-2610-200",B132="10-2610-300",B132="10-2610-400",B132="10-2610-600",B132="10-2610-800",B132="50-2610-200",B132="10-2620-100",B132="10-2620-200",B132="10-2620-300",B132="10-2620-400",B132="10-2620-600",B132="10-2620-800",B132="50-2620-200",B132="10-2630-100",B132="10-2630-200",B132="10-2630-300",B132="10-2630-400",B132="10-2630-600",B132="10-2630-800",B132="50-2630-200",B132="10-2640-100",B132="10-2640-200",B132="10-2640-300",B132="10-2640-400",B132="10-2640-600",B132="10-2640-800",B132="50-2640-200",B132="10-2660-100",B132="10-2660-200",B132="10-2660-300",B132="10-2660-400",B132="10-2660-600",B132="10-2660-800",B132="50-2660-200",B132="10-2900-100",B132="10-2900-200",B132="10-2900-300",B132="10-2900-400",B132="10-2900-600",B132="10-2900-800",B132="20-2900-100",B132="20-2900-200",B132="20-2900-300",B132="20-2900-400",B132="20-2900-600",B132="20-2900-800",B132="40-2900-100",B132="40-2900-200",B132="40-2900-300",B132="40-2900-400",B132="40-2900-600",B132="40-2900-800",B132="50-2900-200",B132="60-2900-100",B132="60-2900-200",B132="60-2900-300",B132="60-2900-400",B132="60-2900-600",B132="60-2900-800",B132="90-2900-100",B132="90-2900-200",B132="90-2900-300",B132="90-2900-400",B132="90-2900-600",B132="90-2900-800",B132="10-3000-100",B132="10-3000-200",B132="10-3000-300",B132="10-3000-400",B132="10-3000-600",B132="10-3000-800",B132="20-3000-100",B132="20-3000-200",B132="20-3000-300",B132="20-3000-400",B132="20-3000-600",B132="20-3000-800",B132="40-3000-100",B132="40-3000-200",B132="40-3000-300",B132="40-3000-400",B132="40-3000-600",B132="40-3000-800",B132="50-3000-200"),E132,0)</f>
        <v>0</v>
      </c>
      <c r="G132" s="1813">
        <f t="shared" ref="G132:G136" si="27">IF(F132=0,0,D132-F132)</f>
        <v>0</v>
      </c>
    </row>
    <row r="133" spans="1:7" hidden="1" x14ac:dyDescent="0.25">
      <c r="A133" s="1672"/>
      <c r="B133" s="1686"/>
      <c r="C133" s="1673"/>
      <c r="D133" s="1864"/>
      <c r="E133" s="1560">
        <f t="shared" si="25"/>
        <v>0</v>
      </c>
      <c r="F133" s="1812">
        <f t="shared" si="26"/>
        <v>0</v>
      </c>
      <c r="G133" s="1813">
        <f t="shared" si="27"/>
        <v>0</v>
      </c>
    </row>
    <row r="134" spans="1:7" hidden="1" x14ac:dyDescent="0.25">
      <c r="A134" s="1672"/>
      <c r="B134" s="1686"/>
      <c r="C134" s="1673"/>
      <c r="D134" s="1864"/>
      <c r="E134" s="1560">
        <f t="shared" si="25"/>
        <v>0</v>
      </c>
      <c r="F134" s="1812">
        <f t="shared" si="26"/>
        <v>0</v>
      </c>
      <c r="G134" s="1813">
        <f t="shared" si="27"/>
        <v>0</v>
      </c>
    </row>
    <row r="135" spans="1:7" hidden="1" x14ac:dyDescent="0.25">
      <c r="A135" s="1672"/>
      <c r="B135" s="1686"/>
      <c r="C135" s="1673"/>
      <c r="D135" s="1864"/>
      <c r="E135" s="1560">
        <f t="shared" si="25"/>
        <v>0</v>
      </c>
      <c r="F135" s="1812">
        <f t="shared" si="26"/>
        <v>0</v>
      </c>
      <c r="G135" s="1813">
        <f t="shared" si="27"/>
        <v>0</v>
      </c>
    </row>
    <row r="136" spans="1:7" hidden="1" x14ac:dyDescent="0.25">
      <c r="A136" s="1672"/>
      <c r="B136" s="1686"/>
      <c r="C136" s="1673"/>
      <c r="D136" s="1864"/>
      <c r="E136" s="1560">
        <f t="shared" si="25"/>
        <v>0</v>
      </c>
      <c r="F136" s="1812">
        <f t="shared" si="26"/>
        <v>0</v>
      </c>
      <c r="G136" s="1813">
        <f t="shared" si="27"/>
        <v>0</v>
      </c>
    </row>
    <row r="137" spans="1:7" hidden="1" x14ac:dyDescent="0.25">
      <c r="A137" s="1672"/>
      <c r="B137" s="1685"/>
      <c r="C137" s="1673"/>
      <c r="D137" s="1864"/>
      <c r="E137" s="1560">
        <f t="shared" si="1"/>
        <v>0</v>
      </c>
      <c r="F137" s="1812">
        <f t="shared" si="2"/>
        <v>0</v>
      </c>
      <c r="G137" s="1813">
        <f t="shared" si="3"/>
        <v>0</v>
      </c>
    </row>
    <row r="138" spans="1:7" x14ac:dyDescent="0.25">
      <c r="A138" s="1816" t="s">
        <v>158</v>
      </c>
      <c r="B138" s="1817"/>
      <c r="C138" s="1818"/>
      <c r="D138" s="1814">
        <f>SUM(D17:D137)</f>
        <v>261656.73</v>
      </c>
      <c r="E138" s="1561">
        <f t="shared" ref="E138" si="28">IF(D138&lt;=25000,D138,IF(D138&gt;25000,25000,0))</f>
        <v>25000</v>
      </c>
      <c r="F138" s="1814">
        <f>SUM(F17:F137)</f>
        <v>75000</v>
      </c>
      <c r="G138" s="1815">
        <f>SUM(G17:G137)</f>
        <v>186656.72999999998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5" t="s">
        <v>1778</v>
      </c>
      <c r="B5" s="2296"/>
      <c r="C5" s="2296"/>
      <c r="D5" s="2296"/>
      <c r="E5" s="2296"/>
      <c r="F5" s="2296"/>
      <c r="G5" s="2297"/>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88198</v>
      </c>
      <c r="F10" s="973"/>
      <c r="G10" s="974"/>
      <c r="H10" s="162"/>
      <c r="I10" s="162"/>
    </row>
    <row r="11" spans="1:9" s="667" customFormat="1" ht="22.5" customHeight="1" x14ac:dyDescent="0.2">
      <c r="A11" s="2300" t="s">
        <v>1945</v>
      </c>
      <c r="B11" s="2301"/>
      <c r="C11" s="2301"/>
      <c r="D11" s="2302"/>
      <c r="E11" s="976">
        <v>15314</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2813770</v>
      </c>
      <c r="F19" s="1819"/>
      <c r="G19" s="1821">
        <f>'Expenditures 15-22'!K33-SUM('Expenditures 15-22'!G33,'Expenditures 15-22'!I33)+'Expenditures 15-22'!D229</f>
        <v>2813770</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318746</v>
      </c>
      <c r="F21" s="1822"/>
      <c r="G21" s="1825">
        <f>'Expenditures 15-22'!K42-SUM('Expenditures 15-22'!G42,'Expenditures 15-22'!I42)+'Expenditures 15-22'!K120-SUM('Expenditures 15-22'!G120,'Expenditures 15-22'!I120)+'Expenditures 15-22'!K180-SUM('Expenditures 15-22'!G180,'Expenditures 15-22'!I180)+'Expenditures 15-22'!D238</f>
        <v>318746</v>
      </c>
      <c r="H21" s="986"/>
      <c r="I21" s="162"/>
    </row>
    <row r="22" spans="1:9" s="667" customFormat="1" ht="12" customHeight="1" x14ac:dyDescent="0.2">
      <c r="A22" s="993" t="s">
        <v>585</v>
      </c>
      <c r="B22" s="994"/>
      <c r="C22" s="992">
        <v>2200</v>
      </c>
      <c r="D22" s="1822"/>
      <c r="E22" s="1824">
        <f>'Expenditures 15-22'!K47-SUM('Expenditures 15-22'!G47,'Expenditures 15-22'!I47)+'Expenditures 15-22'!D243</f>
        <v>176293</v>
      </c>
      <c r="F22" s="1822"/>
      <c r="G22" s="1825">
        <f>'Expenditures 15-22'!K47-SUM('Expenditures 15-22'!G47,'Expenditures 15-22'!I47)+'Expenditures 15-22'!D243</f>
        <v>176293</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468284</v>
      </c>
      <c r="F23" s="1822"/>
      <c r="G23" s="1824">
        <f>'Expenditures 15-22'!K53-SUM('Expenditures 15-22'!G53,'Expenditures 15-22'!I53)+'Expenditures 15-22'!D257+'Expenditures 15-22'!K330-SUM('Expenditures 15-22'!G330,'Expenditures 15-22'!I330)</f>
        <v>468284</v>
      </c>
      <c r="H23" s="986"/>
      <c r="I23" s="162"/>
    </row>
    <row r="24" spans="1:9" s="667" customFormat="1" ht="12" customHeight="1" x14ac:dyDescent="0.2">
      <c r="A24" s="993" t="s">
        <v>587</v>
      </c>
      <c r="B24" s="994"/>
      <c r="C24" s="992">
        <v>2400</v>
      </c>
      <c r="D24" s="1822"/>
      <c r="E24" s="1824">
        <f>'Expenditures 15-22'!K57-SUM('Expenditures 15-22'!G57,'Expenditures 15-22'!I57)+'Expenditures 15-22'!D261</f>
        <v>296273</v>
      </c>
      <c r="F24" s="1822"/>
      <c r="G24" s="1825">
        <f>'Expenditures 15-22'!K57-SUM('Expenditures 15-22'!G57,'Expenditures 15-22'!I57)+'Expenditures 15-22'!D261</f>
        <v>296273</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66071</v>
      </c>
      <c r="E27" s="1824">
        <f>E8</f>
        <v>0</v>
      </c>
      <c r="F27" s="1824">
        <f>'Expenditures 15-22'!K60-SUM('Expenditures 15-22'!G60,'Expenditures 15-22'!I60)+'Expenditures 15-22'!D264-E8</f>
        <v>66071</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500430</v>
      </c>
      <c r="F28" s="1826">
        <f>'Expenditures 15-22'!K61-SUM('Expenditures 15-22'!G61,'Expenditures 15-22'!I61)+'Expenditures 15-22'!K124-SUM('Expenditures 15-22'!G124,'Expenditures 15-22'!I124)+'Expenditures 15-22'!D266-E9</f>
        <v>500430</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344183</v>
      </c>
      <c r="F29" s="1822"/>
      <c r="G29" s="1825">
        <f>'Expenditures 15-22'!K62-SUM('Expenditures 15-22'!G62,'Expenditures 15-22'!I62)+'Expenditures 15-22'!K125-SUM('Expenditures 15-22'!G125,'Expenditures 15-22'!I125)+'Expenditures 15-22'!K182-SUM('Expenditures 15-22'!G182,'Expenditures 15-22'!I182)+'Expenditures 15-22'!D267</f>
        <v>344183</v>
      </c>
      <c r="H29" s="984"/>
    </row>
    <row r="30" spans="1:9" ht="12" customHeight="1" x14ac:dyDescent="0.2">
      <c r="A30" s="993" t="s">
        <v>102</v>
      </c>
      <c r="B30" s="996"/>
      <c r="C30" s="992">
        <v>2560</v>
      </c>
      <c r="D30" s="1822"/>
      <c r="E30" s="1824">
        <f>'Expenditures 15-22'!K63-SUM('Expenditures 15-22'!G63,'Expenditures 15-22'!I63)+'Expenditures 15-22'!D268-E10</f>
        <v>105366</v>
      </c>
      <c r="F30" s="1822"/>
      <c r="G30" s="1824">
        <f>'Expenditures 15-22'!K63-SUM('Expenditures 15-22'!G63,'Expenditures 15-22'!I63)+'Expenditures 15-22'!D268-E10</f>
        <v>105366</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210025</v>
      </c>
      <c r="E37" s="1824">
        <f>E14</f>
        <v>0</v>
      </c>
      <c r="F37" s="1824">
        <f>'Expenditures 15-22'!K71-SUM('Expenditures 15-22'!G71,'Expenditures 15-22'!I71)+'Expenditures 15-22'!D276-E14</f>
        <v>210025</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154</v>
      </c>
      <c r="F38" s="1822"/>
      <c r="G38" s="1824">
        <f>'Expenditures 15-22'!K73-SUM('Expenditures 15-22'!G73,'Expenditures 15-22'!I73)+'Expenditures 15-22'!K128-SUM('Expenditures 15-22'!G128,'Expenditures 15-22'!I128)+'Expenditures 15-22'!K183-SUM('Expenditures 15-22'!G183,'Expenditures 15-22'!I183)+'Expenditures 15-22'!D278</f>
        <v>154</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1163</v>
      </c>
      <c r="F39" s="1822"/>
      <c r="G39" s="1824">
        <f>'Expenditures 15-22'!K75-SUM('Expenditures 15-22'!G75,'Expenditures 15-22'!I75)+'Expenditures 15-22'!K130-SUM('Expenditures 15-22'!G130,'Expenditures 15-22'!I130)+'Expenditures 15-22'!K185-SUM('Expenditures 15-22'!G185,'Expenditures 15-22'!I185)+'Expenditures 15-22'!D280</f>
        <v>1163</v>
      </c>
    </row>
    <row r="40" spans="1:7" ht="12" customHeight="1" x14ac:dyDescent="0.2">
      <c r="A40" s="989" t="s">
        <v>1930</v>
      </c>
      <c r="B40" s="990"/>
      <c r="C40" s="992"/>
      <c r="D40" s="1822"/>
      <c r="E40" s="1826">
        <f>-'Contracts Paid in CY 29'!G138</f>
        <v>-186656.72999999998</v>
      </c>
      <c r="F40" s="1822"/>
      <c r="G40" s="1826">
        <f>-'Contracts Paid in CY 29'!G138</f>
        <v>-186656.72999999998</v>
      </c>
    </row>
    <row r="41" spans="1:7" ht="12" customHeight="1" x14ac:dyDescent="0.2">
      <c r="A41" s="997" t="s">
        <v>158</v>
      </c>
      <c r="B41" s="998"/>
      <c r="C41" s="999"/>
      <c r="D41" s="1826">
        <f>SUM(D19:D39)</f>
        <v>276096</v>
      </c>
      <c r="E41" s="1826">
        <f>SUM(E19:E40)</f>
        <v>4838005.2699999996</v>
      </c>
      <c r="F41" s="1826">
        <f>SUM(F19:F39)</f>
        <v>776526</v>
      </c>
      <c r="G41" s="1826">
        <f>SUM(G19:G40)</f>
        <v>4337575.2699999996</v>
      </c>
    </row>
    <row r="42" spans="1:7" x14ac:dyDescent="0.2">
      <c r="A42" s="986"/>
      <c r="B42" s="162"/>
      <c r="C42" s="1000"/>
      <c r="D42" s="2298" t="s">
        <v>543</v>
      </c>
      <c r="E42" s="2299"/>
      <c r="F42" s="1001" t="s">
        <v>544</v>
      </c>
      <c r="G42" s="1002"/>
    </row>
    <row r="43" spans="1:7" ht="12" customHeight="1" x14ac:dyDescent="0.2">
      <c r="A43" s="986"/>
      <c r="B43" s="162"/>
      <c r="C43" s="1000"/>
      <c r="D43" s="1827" t="s">
        <v>493</v>
      </c>
      <c r="E43" s="1828">
        <f>D41</f>
        <v>276096</v>
      </c>
      <c r="F43" s="1827" t="s">
        <v>495</v>
      </c>
      <c r="G43" s="1828">
        <f>F41</f>
        <v>776526</v>
      </c>
    </row>
    <row r="44" spans="1:7" ht="12" customHeight="1" x14ac:dyDescent="0.2">
      <c r="A44" s="986"/>
      <c r="B44" s="162"/>
      <c r="C44" s="1000"/>
      <c r="D44" s="1827" t="s">
        <v>494</v>
      </c>
      <c r="E44" s="1828">
        <f>E41</f>
        <v>4838005.2699999996</v>
      </c>
      <c r="F44" s="1827" t="s">
        <v>494</v>
      </c>
      <c r="G44" s="1828">
        <f>G41</f>
        <v>4337575.2699999996</v>
      </c>
    </row>
    <row r="45" spans="1:7" ht="12" customHeight="1" x14ac:dyDescent="0.2">
      <c r="A45" s="986"/>
      <c r="B45" s="162"/>
      <c r="C45" s="162"/>
      <c r="D45" s="1829" t="s">
        <v>1063</v>
      </c>
      <c r="E45" s="1830">
        <f>(E43/E44)</f>
        <v>5.7068147840194483E-2</v>
      </c>
      <c r="F45" s="1829" t="s">
        <v>1063</v>
      </c>
      <c r="G45" s="1830">
        <f>(G43/G44)</f>
        <v>0.17902306050357025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S35" sqref="S35"/>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06" t="s">
        <v>1446</v>
      </c>
      <c r="B1" s="2306"/>
      <c r="C1" s="2306"/>
      <c r="D1" s="2306"/>
      <c r="E1" s="2306"/>
      <c r="F1" s="2306"/>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07" t="s">
        <v>1627</v>
      </c>
      <c r="B5" s="2308"/>
      <c r="C5" s="2309"/>
      <c r="D5" s="2309"/>
      <c r="E5" s="2309"/>
      <c r="F5" s="2309"/>
    </row>
    <row r="6" spans="1:10" ht="12" customHeight="1" x14ac:dyDescent="0.25">
      <c r="A6" s="1872"/>
      <c r="B6" s="1873"/>
      <c r="C6" s="2310" t="str">
        <f>COVER!A17</f>
        <v>Hiawatha CUSD 426</v>
      </c>
      <c r="D6" s="2310"/>
      <c r="E6" s="2310"/>
      <c r="F6" s="1874"/>
    </row>
    <row r="7" spans="1:10" ht="11.25" customHeight="1" thickBot="1" x14ac:dyDescent="0.3">
      <c r="A7" s="1872"/>
      <c r="B7" s="1873"/>
      <c r="C7" s="2311">
        <f>COVER!A13</f>
        <v>16019426026</v>
      </c>
      <c r="D7" s="2311"/>
      <c r="E7" s="2311"/>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t="s">
        <v>2095</v>
      </c>
      <c r="D15" s="1887" t="s">
        <v>2095</v>
      </c>
      <c r="E15" s="1890"/>
      <c r="F15" s="1889" t="s">
        <v>2096</v>
      </c>
      <c r="H15" s="1900">
        <f t="shared" si="0"/>
        <v>5</v>
      </c>
      <c r="I15" s="1900">
        <f t="shared" si="1"/>
        <v>5</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t="s">
        <v>2095</v>
      </c>
      <c r="D19" s="1887" t="s">
        <v>2095</v>
      </c>
      <c r="E19" s="1890"/>
      <c r="F19" s="1889" t="s">
        <v>2097</v>
      </c>
      <c r="H19" s="1900">
        <f t="shared" si="0"/>
        <v>5</v>
      </c>
      <c r="I19" s="1900">
        <f t="shared" si="1"/>
        <v>5</v>
      </c>
      <c r="J19" s="1900">
        <f t="shared" si="2"/>
        <v>0</v>
      </c>
    </row>
    <row r="20" spans="1:12" ht="12" customHeight="1" x14ac:dyDescent="0.2">
      <c r="A20" s="1885" t="s">
        <v>1609</v>
      </c>
      <c r="B20" s="1886"/>
      <c r="C20" s="1887" t="s">
        <v>2095</v>
      </c>
      <c r="D20" s="1887" t="s">
        <v>2095</v>
      </c>
      <c r="E20" s="1890"/>
      <c r="F20" s="1889" t="s">
        <v>2098</v>
      </c>
      <c r="H20" s="1900">
        <f t="shared" si="0"/>
        <v>5</v>
      </c>
      <c r="I20" s="1900">
        <f t="shared" si="1"/>
        <v>5</v>
      </c>
      <c r="J20" s="1900">
        <f t="shared" si="2"/>
        <v>0</v>
      </c>
    </row>
    <row r="21" spans="1:12" ht="12" customHeight="1" x14ac:dyDescent="0.2">
      <c r="A21" s="1885" t="s">
        <v>1610</v>
      </c>
      <c r="B21" s="1886"/>
      <c r="C21" s="1887" t="s">
        <v>2095</v>
      </c>
      <c r="D21" s="1887" t="s">
        <v>2095</v>
      </c>
      <c r="E21" s="1890"/>
      <c r="F21" s="1889" t="s">
        <v>2099</v>
      </c>
      <c r="H21" s="1900">
        <f t="shared" si="0"/>
        <v>5</v>
      </c>
      <c r="I21" s="1900">
        <f t="shared" si="1"/>
        <v>5</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t="s">
        <v>2095</v>
      </c>
      <c r="D23" s="1887" t="s">
        <v>2095</v>
      </c>
      <c r="E23" s="1890"/>
      <c r="F23" s="1889" t="s">
        <v>2100</v>
      </c>
      <c r="H23" s="1900">
        <f t="shared" si="0"/>
        <v>5</v>
      </c>
      <c r="I23" s="1900">
        <f t="shared" si="1"/>
        <v>5</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t="s">
        <v>2095</v>
      </c>
      <c r="D25" s="1887" t="s">
        <v>2095</v>
      </c>
      <c r="E25" s="1890"/>
      <c r="F25" s="1889" t="s">
        <v>2101</v>
      </c>
      <c r="H25" s="1900">
        <f t="shared" si="0"/>
        <v>5</v>
      </c>
      <c r="I25" s="1900">
        <f t="shared" si="1"/>
        <v>5</v>
      </c>
      <c r="J25" s="1900">
        <f t="shared" si="2"/>
        <v>0</v>
      </c>
    </row>
    <row r="26" spans="1:12" ht="12" customHeight="1" x14ac:dyDescent="0.2">
      <c r="A26" s="1885" t="s">
        <v>1615</v>
      </c>
      <c r="B26" s="1886"/>
      <c r="C26" s="1887" t="s">
        <v>2095</v>
      </c>
      <c r="D26" s="1887" t="s">
        <v>2095</v>
      </c>
      <c r="E26" s="1890"/>
      <c r="F26" s="1889" t="s">
        <v>2102</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t="s">
        <v>2095</v>
      </c>
      <c r="D28" s="1887" t="s">
        <v>2095</v>
      </c>
      <c r="E28" s="1890"/>
      <c r="F28" s="1889" t="s">
        <v>2103</v>
      </c>
      <c r="H28" s="1900">
        <f t="shared" si="0"/>
        <v>5</v>
      </c>
      <c r="I28" s="1900">
        <f t="shared" si="1"/>
        <v>5</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2095</v>
      </c>
      <c r="D31" s="1887" t="s">
        <v>2095</v>
      </c>
      <c r="E31" s="1890"/>
      <c r="F31" s="1889" t="s">
        <v>2104</v>
      </c>
      <c r="H31" s="1900">
        <f t="shared" si="0"/>
        <v>5</v>
      </c>
      <c r="I31" s="1900">
        <f t="shared" si="1"/>
        <v>5</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45</v>
      </c>
      <c r="I34" s="1900">
        <f>SUM(I11:I32)</f>
        <v>45</v>
      </c>
      <c r="J34" s="1900">
        <f>SUM(J11:J32)</f>
        <v>0</v>
      </c>
      <c r="K34" s="1900">
        <f>SUM(H34:J34)</f>
        <v>90</v>
      </c>
    </row>
    <row r="35" spans="1:11" ht="12" customHeight="1" x14ac:dyDescent="0.2">
      <c r="A35" s="1893" t="s">
        <v>1459</v>
      </c>
      <c r="B35" s="1894"/>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95"/>
      <c r="B39" s="1895"/>
      <c r="C39" s="1895"/>
      <c r="D39" s="1895"/>
      <c r="E39" s="1895"/>
      <c r="F39" s="1895"/>
    </row>
    <row r="40" spans="1:11" s="1892" customFormat="1" ht="12" customHeight="1" x14ac:dyDescent="0.25">
      <c r="A40" s="1896" t="s">
        <v>1458</v>
      </c>
      <c r="B40" s="1897"/>
      <c r="C40" s="2320"/>
      <c r="D40" s="2320"/>
      <c r="E40" s="2320"/>
      <c r="F40" s="2321"/>
      <c r="H40" s="1901"/>
      <c r="I40" s="1901"/>
      <c r="J40" s="1901"/>
      <c r="K40" s="1901"/>
    </row>
    <row r="41" spans="1:11" s="1892" customFormat="1" ht="12" customHeight="1" x14ac:dyDescent="0.25">
      <c r="A41" s="2322"/>
      <c r="B41" s="2323"/>
      <c r="C41" s="2323"/>
      <c r="D41" s="2323"/>
      <c r="E41" s="2323"/>
      <c r="F41" s="2324"/>
      <c r="H41" s="1901"/>
      <c r="I41" s="1901"/>
      <c r="J41" s="1901"/>
      <c r="K41" s="1901"/>
    </row>
    <row r="42" spans="1:11" s="1892" customFormat="1" ht="12" customHeight="1" x14ac:dyDescent="0.25">
      <c r="A42" s="2322"/>
      <c r="B42" s="2323"/>
      <c r="C42" s="2323"/>
      <c r="D42" s="2323"/>
      <c r="E42" s="2323"/>
      <c r="F42" s="2324"/>
      <c r="H42" s="1901"/>
      <c r="I42" s="1901"/>
      <c r="J42" s="1901"/>
      <c r="K42" s="1901"/>
    </row>
    <row r="43" spans="1:11" s="1892" customFormat="1" ht="15" x14ac:dyDescent="0.25">
      <c r="A43" s="2314"/>
      <c r="B43" s="2315"/>
      <c r="C43" s="2315"/>
      <c r="D43" s="2315"/>
      <c r="E43" s="2315"/>
      <c r="F43" s="2316"/>
      <c r="H43" s="1901"/>
      <c r="I43" s="1901"/>
      <c r="J43" s="1901"/>
      <c r="K43" s="1901"/>
    </row>
    <row r="44" spans="1:11" s="1892" customFormat="1" ht="12" hidden="1" customHeight="1" x14ac:dyDescent="0.25">
      <c r="A44" s="2314"/>
      <c r="B44" s="2315"/>
      <c r="C44" s="2315"/>
      <c r="D44" s="2315"/>
      <c r="E44" s="2315"/>
      <c r="F44" s="2316"/>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2"/>
      <c r="C6" s="1662"/>
      <c r="D6" s="1662"/>
      <c r="E6" s="1663"/>
      <c r="F6" s="1014"/>
      <c r="G6" s="1008"/>
      <c r="H6" s="1015" t="s">
        <v>1086</v>
      </c>
      <c r="I6" s="2330" t="str">
        <f>COVER!A17</f>
        <v>Hiawatha CUSD 426</v>
      </c>
      <c r="J6" s="2331"/>
      <c r="Q6" s="1683"/>
    </row>
    <row r="7" spans="1:17" x14ac:dyDescent="0.2">
      <c r="A7" s="2332" t="s">
        <v>924</v>
      </c>
      <c r="B7" s="2333"/>
      <c r="C7" s="2333"/>
      <c r="D7" s="2333"/>
      <c r="E7" s="2334"/>
      <c r="F7" s="1016"/>
      <c r="G7" s="1008"/>
      <c r="H7" s="1015" t="s">
        <v>390</v>
      </c>
      <c r="I7" s="2335">
        <f>COVER!A13</f>
        <v>16019426026</v>
      </c>
      <c r="J7" s="2335"/>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6" t="s">
        <v>502</v>
      </c>
      <c r="B11" s="2337"/>
      <c r="C11" s="233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137433</v>
      </c>
      <c r="F12" s="1038"/>
      <c r="G12" s="1831">
        <f t="shared" ref="G12:G18" si="0">SUM(E12:F12)</f>
        <v>137433</v>
      </c>
      <c r="H12" s="1039">
        <v>236620</v>
      </c>
      <c r="I12" s="1038"/>
      <c r="J12" s="1831">
        <f t="shared" ref="J12:J18" si="1">SUM(H12:I12)</f>
        <v>236620</v>
      </c>
    </row>
    <row r="13" spans="1:17" ht="15" customHeight="1" x14ac:dyDescent="0.2">
      <c r="A13" s="1034">
        <v>2</v>
      </c>
      <c r="B13" s="1035" t="s">
        <v>44</v>
      </c>
      <c r="C13" s="1036"/>
      <c r="D13" s="1037">
        <v>2330</v>
      </c>
      <c r="E13" s="1831">
        <f>'Expenditures 15-22'!K51</f>
        <v>120824</v>
      </c>
      <c r="F13" s="1038"/>
      <c r="G13" s="1831">
        <f t="shared" si="0"/>
        <v>120824</v>
      </c>
      <c r="H13" s="1039">
        <v>123972</v>
      </c>
      <c r="I13" s="1038"/>
      <c r="J13" s="1831">
        <f t="shared" si="1"/>
        <v>123972</v>
      </c>
    </row>
    <row r="14" spans="1:17" ht="15" customHeight="1" x14ac:dyDescent="0.2">
      <c r="A14" s="1034">
        <v>3</v>
      </c>
      <c r="B14" s="1035" t="s">
        <v>45</v>
      </c>
      <c r="C14" s="1036"/>
      <c r="D14" s="1040">
        <v>2490</v>
      </c>
      <c r="E14" s="1831">
        <f>'Expenditures 15-22'!K56</f>
        <v>0</v>
      </c>
      <c r="F14" s="1038"/>
      <c r="G14" s="1831">
        <f t="shared" si="0"/>
        <v>0</v>
      </c>
      <c r="H14" s="1039">
        <v>36866</v>
      </c>
      <c r="I14" s="1038"/>
      <c r="J14" s="1831">
        <f t="shared" si="1"/>
        <v>36866</v>
      </c>
    </row>
    <row r="15" spans="1:17" ht="15" customHeight="1" x14ac:dyDescent="0.2">
      <c r="A15" s="1034">
        <v>4</v>
      </c>
      <c r="B15" s="1035" t="s">
        <v>1128</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339" t="s">
        <v>7</v>
      </c>
      <c r="C18" s="2340"/>
      <c r="D18" s="2341"/>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258257</v>
      </c>
      <c r="F19" s="1833">
        <f t="shared" si="2"/>
        <v>0</v>
      </c>
      <c r="G19" s="1833">
        <f t="shared" si="2"/>
        <v>258257</v>
      </c>
      <c r="H19" s="1833">
        <f t="shared" si="2"/>
        <v>397458</v>
      </c>
      <c r="I19" s="1833">
        <f t="shared" si="2"/>
        <v>0</v>
      </c>
      <c r="J19" s="1833">
        <f t="shared" si="2"/>
        <v>397458</v>
      </c>
    </row>
    <row r="20" spans="1:10" ht="13.5" thickTop="1" x14ac:dyDescent="0.2">
      <c r="A20" s="1034">
        <v>9</v>
      </c>
      <c r="B20" s="2342" t="s">
        <v>1703</v>
      </c>
      <c r="C20" s="2342"/>
      <c r="D20" s="2343"/>
      <c r="E20" s="1045"/>
      <c r="F20" s="1045"/>
      <c r="G20" s="1045"/>
      <c r="H20" s="1045"/>
      <c r="I20" s="1045"/>
      <c r="J20" s="1834">
        <f>IF(AND(G19&gt;0,J19&gt;0),(((J19-G19)/G19)),"Enter Budget Data")</f>
        <v>0.53900184699737086</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8"/>
      <c r="D26" s="2348"/>
      <c r="E26" s="1049"/>
      <c r="F26" s="2347"/>
      <c r="G26" s="2347"/>
    </row>
    <row r="27" spans="1:10" x14ac:dyDescent="0.2">
      <c r="B27" s="1046"/>
      <c r="C27" s="1050" t="s">
        <v>1093</v>
      </c>
      <c r="D27" s="1051"/>
      <c r="E27" s="1052"/>
      <c r="F27" s="2344" t="s">
        <v>1589</v>
      </c>
      <c r="G27" s="2344"/>
    </row>
    <row r="28" spans="1:10" ht="28.5" customHeight="1" x14ac:dyDescent="0.2">
      <c r="B28" s="1046"/>
      <c r="C28" s="2346"/>
      <c r="D28" s="2346"/>
      <c r="E28" s="1053"/>
      <c r="F28" s="2346"/>
      <c r="G28" s="2346"/>
    </row>
    <row r="29" spans="1:10" x14ac:dyDescent="0.2">
      <c r="B29" s="1046"/>
      <c r="C29" s="1054" t="s">
        <v>1642</v>
      </c>
      <c r="E29" s="1055"/>
      <c r="F29" s="2345" t="s">
        <v>1590</v>
      </c>
      <c r="G29" s="2345"/>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1"/>
    </row>
    <row r="36" spans="1:10" ht="13.5" customHeight="1" x14ac:dyDescent="0.2">
      <c r="B36" s="1060" t="s">
        <v>2077</v>
      </c>
      <c r="C36" s="2329" t="s">
        <v>1944</v>
      </c>
      <c r="D36" s="2328"/>
      <c r="E36" s="2328"/>
      <c r="F36" s="2328"/>
      <c r="G36" s="2328"/>
      <c r="H36" s="2328"/>
      <c r="I36" s="2328"/>
      <c r="J36" s="1062"/>
    </row>
    <row r="37" spans="1:10" ht="22.5" customHeight="1" x14ac:dyDescent="0.2">
      <c r="C37" s="2328"/>
      <c r="D37" s="2328"/>
      <c r="E37" s="2328"/>
      <c r="F37" s="2328"/>
      <c r="G37" s="2328"/>
      <c r="H37" s="2328"/>
      <c r="I37" s="2328"/>
      <c r="J37" s="1062"/>
    </row>
    <row r="38" spans="1:10" ht="7.5" customHeight="1" x14ac:dyDescent="0.2">
      <c r="C38" s="1061"/>
      <c r="D38" s="1063"/>
      <c r="E38" s="1064"/>
      <c r="F38" s="1065"/>
      <c r="G38" s="1064"/>
    </row>
    <row r="39" spans="1:10" ht="13.5" customHeight="1" x14ac:dyDescent="0.2">
      <c r="B39" s="1060"/>
      <c r="C39" s="2325" t="s">
        <v>937</v>
      </c>
      <c r="D39" s="2326"/>
      <c r="E39" s="2326"/>
      <c r="F39" s="2326"/>
      <c r="G39" s="2326"/>
      <c r="H39" s="2326"/>
      <c r="I39" s="232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zoomScale="110" zoomScaleNormal="110" workbookViewId="0"/>
  </sheetViews>
  <sheetFormatPr defaultColWidth="9.140625" defaultRowHeight="12.75" x14ac:dyDescent="0.2"/>
  <cols>
    <col min="1" max="1" width="3" style="329" customWidth="1"/>
    <col min="2" max="2" width="100.57031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2131</v>
      </c>
    </row>
    <row r="6" spans="1:2" x14ac:dyDescent="0.2">
      <c r="A6" s="1067">
        <v>2</v>
      </c>
      <c r="B6" s="329" t="s">
        <v>2132</v>
      </c>
    </row>
    <row r="7" spans="1:2" x14ac:dyDescent="0.2">
      <c r="A7" s="1067">
        <v>3</v>
      </c>
      <c r="B7" s="329" t="s">
        <v>2138</v>
      </c>
    </row>
    <row r="8" spans="1:2" x14ac:dyDescent="0.2">
      <c r="A8" s="1067"/>
      <c r="B8" s="329" t="s">
        <v>2136</v>
      </c>
    </row>
    <row r="9" spans="1:2" x14ac:dyDescent="0.2">
      <c r="A9" s="1067"/>
      <c r="B9" s="329" t="s">
        <v>2137</v>
      </c>
    </row>
    <row r="10" spans="1:2" x14ac:dyDescent="0.2">
      <c r="A10" s="1067">
        <v>4</v>
      </c>
      <c r="B10" s="329" t="s">
        <v>2133</v>
      </c>
    </row>
    <row r="11" spans="1:2" x14ac:dyDescent="0.2">
      <c r="A11" s="1067">
        <v>5</v>
      </c>
      <c r="B11" s="329" t="s">
        <v>2134</v>
      </c>
    </row>
    <row r="12" spans="1:2" x14ac:dyDescent="0.2">
      <c r="A12" s="1067">
        <v>6</v>
      </c>
      <c r="B12" s="329" t="s">
        <v>2135</v>
      </c>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c r="B51" s="329" t="str">
        <f>COVER!A17</f>
        <v>Hiawatha CUSD 426</v>
      </c>
    </row>
    <row r="52" spans="1:2" x14ac:dyDescent="0.2">
      <c r="A52" s="1068"/>
      <c r="B52" s="329">
        <f>COVER!A13</f>
        <v>16019426026</v>
      </c>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row>
    <row r="65" spans="1:2" x14ac:dyDescent="0.2">
      <c r="A65" s="1068"/>
    </row>
    <row r="66" spans="1:2" x14ac:dyDescent="0.2">
      <c r="A66" s="1068"/>
      <c r="B66" s="258"/>
    </row>
    <row r="67" spans="1:2" x14ac:dyDescent="0.2">
      <c r="B67" s="1069"/>
    </row>
  </sheetData>
  <phoneticPr fontId="13" type="noConversion"/>
  <pageMargins left="0.2" right="0.2" top="1.17" bottom="0.75" header="0.19" footer="0.16"/>
  <pageSetup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9" t="s">
        <v>1784</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3"/>
      <c r="H2" s="1073"/>
    </row>
    <row r="3" spans="1:8" ht="57" customHeight="1" x14ac:dyDescent="0.2">
      <c r="A3" s="2363" t="s">
        <v>1786</v>
      </c>
      <c r="B3" s="2364"/>
      <c r="C3" s="2364"/>
      <c r="D3" s="2364"/>
      <c r="E3" s="2364"/>
      <c r="F3" s="2365"/>
      <c r="G3" s="1073"/>
      <c r="H3" s="1073"/>
    </row>
    <row r="4" spans="1:8" ht="14.25" customHeight="1" x14ac:dyDescent="0.2">
      <c r="A4" s="2369" t="s">
        <v>2056</v>
      </c>
      <c r="B4" s="2370"/>
      <c r="C4" s="2370"/>
      <c r="D4" s="2370"/>
      <c r="E4" s="2370"/>
      <c r="F4" s="2371"/>
      <c r="G4" s="1073"/>
      <c r="H4" s="1073"/>
    </row>
    <row r="5" spans="1:8" ht="14.25" customHeight="1" x14ac:dyDescent="0.2">
      <c r="A5" s="2372" t="s">
        <v>2057</v>
      </c>
      <c r="B5" s="2373"/>
      <c r="C5" s="2373"/>
      <c r="D5" s="2373"/>
      <c r="E5" s="2373"/>
      <c r="F5" s="2374"/>
      <c r="G5" s="1073"/>
      <c r="H5" s="1073"/>
    </row>
    <row r="6" spans="1:8" s="1074" customFormat="1" ht="41.25" customHeight="1" x14ac:dyDescent="0.2">
      <c r="A6" s="2366" t="s">
        <v>1792</v>
      </c>
      <c r="B6" s="2367"/>
      <c r="C6" s="2367"/>
      <c r="D6" s="2367"/>
      <c r="E6" s="2367"/>
      <c r="F6" s="236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5">
        <f>'Acct Summary 7-8'!C8</f>
        <v>4945039</v>
      </c>
      <c r="C8" s="1835">
        <f>'Acct Summary 7-8'!D8</f>
        <v>603692</v>
      </c>
      <c r="D8" s="1835">
        <f>'Acct Summary 7-8'!F8</f>
        <v>423808</v>
      </c>
      <c r="E8" s="1835">
        <f>'Acct Summary 7-8'!I8</f>
        <v>38462</v>
      </c>
      <c r="F8" s="1835">
        <f>SUM(B8:E8)</f>
        <v>6011001</v>
      </c>
    </row>
    <row r="9" spans="1:8" s="1078" customFormat="1" ht="14.25" customHeight="1" thickBot="1" x14ac:dyDescent="0.25">
      <c r="A9" s="1077" t="s">
        <v>1436</v>
      </c>
      <c r="B9" s="1836">
        <f>'Acct Summary 7-8'!C17</f>
        <v>4439304</v>
      </c>
      <c r="C9" s="1836">
        <f>'Acct Summary 7-8'!D17</f>
        <v>475760</v>
      </c>
      <c r="D9" s="1836">
        <f>'Acct Summary 7-8'!F17</f>
        <v>312343</v>
      </c>
      <c r="E9" s="1835"/>
      <c r="F9" s="1835">
        <f>SUM(B9:E9)</f>
        <v>5227407</v>
      </c>
    </row>
    <row r="10" spans="1:8" s="1078" customFormat="1" ht="14.25" thickTop="1" thickBot="1" x14ac:dyDescent="0.25">
      <c r="A10" s="1079" t="s">
        <v>1437</v>
      </c>
      <c r="B10" s="1837">
        <f>(B8-B9)</f>
        <v>505735</v>
      </c>
      <c r="C10" s="1837">
        <f>(C8-C9)</f>
        <v>127932</v>
      </c>
      <c r="D10" s="1837">
        <f>(D8-D9)</f>
        <v>111465</v>
      </c>
      <c r="E10" s="1836">
        <f>(E8-E9)</f>
        <v>38462</v>
      </c>
      <c r="F10" s="1838">
        <f>SUM(F8-F9)</f>
        <v>783594</v>
      </c>
    </row>
    <row r="11" spans="1:8" s="1078" customFormat="1" ht="14.25" thickTop="1" thickBot="1" x14ac:dyDescent="0.25">
      <c r="A11" s="1080" t="s">
        <v>1785</v>
      </c>
      <c r="B11" s="1839">
        <f>'Acct Summary 7-8'!C81</f>
        <v>3206956</v>
      </c>
      <c r="C11" s="1839">
        <f>'Acct Summary 7-8'!D81</f>
        <v>554572</v>
      </c>
      <c r="D11" s="1839">
        <f>'Acct Summary 7-8'!F81</f>
        <v>379674</v>
      </c>
      <c r="E11" s="1839">
        <f>'Acct Summary 7-8'!I81</f>
        <v>479311</v>
      </c>
      <c r="F11" s="1840">
        <f>SUM(B11:E11)</f>
        <v>4620513</v>
      </c>
    </row>
    <row r="12" spans="1:8" ht="16.5" customHeight="1" thickTop="1" x14ac:dyDescent="0.2">
      <c r="A12" s="1081"/>
      <c r="B12" s="1082"/>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3"/>
      <c r="B13" s="1084"/>
      <c r="C13" s="2354"/>
      <c r="D13" s="2355"/>
      <c r="E13" s="2355"/>
      <c r="F13" s="2356"/>
      <c r="H13" s="1073"/>
    </row>
    <row r="14" spans="1:8" ht="19.5" customHeight="1" x14ac:dyDescent="0.2">
      <c r="A14" s="1083"/>
      <c r="B14" s="1084"/>
      <c r="C14" s="2354"/>
      <c r="D14" s="2355"/>
      <c r="E14" s="2355"/>
      <c r="F14" s="2356"/>
      <c r="H14" s="1073"/>
    </row>
    <row r="15" spans="1:8" ht="17.25" customHeight="1" x14ac:dyDescent="0.2">
      <c r="A15" s="1083"/>
      <c r="B15" s="1084"/>
      <c r="C15" s="2357"/>
      <c r="D15" s="2358"/>
      <c r="E15" s="2358"/>
      <c r="F15" s="2359"/>
      <c r="H15" s="1073"/>
    </row>
    <row r="16" spans="1:8" s="310" customFormat="1" ht="51.75" hidden="1" customHeight="1" x14ac:dyDescent="0.2">
      <c r="A16" s="2353" t="s">
        <v>1787</v>
      </c>
      <c r="B16" s="2353"/>
      <c r="C16" s="2353"/>
      <c r="D16" s="2353"/>
      <c r="E16" s="2353"/>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375" t="s">
        <v>686</v>
      </c>
      <c r="B3" s="2376"/>
      <c r="C3" s="2376"/>
      <c r="D3" s="2377"/>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6" t="s">
        <v>1584</v>
      </c>
      <c r="D7" s="2387"/>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8" t="s">
        <v>1065</v>
      </c>
      <c r="B15" s="2379"/>
      <c r="C15" s="2379"/>
      <c r="D15" s="2380"/>
    </row>
    <row r="16" spans="1:4" s="667" customFormat="1" ht="24" customHeight="1" x14ac:dyDescent="0.2">
      <c r="A16" s="2381" t="s">
        <v>684</v>
      </c>
      <c r="B16" s="2382"/>
      <c r="C16" s="2382"/>
      <c r="D16" s="2383"/>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0" t="s">
        <v>332</v>
      </c>
      <c r="D21" s="2391"/>
    </row>
    <row r="22" spans="1:10" ht="12.75" x14ac:dyDescent="0.2">
      <c r="A22" s="1138"/>
      <c r="B22" s="1139">
        <v>2</v>
      </c>
      <c r="C22" s="2388" t="s">
        <v>1605</v>
      </c>
      <c r="D22" s="238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2" t="s">
        <v>557</v>
      </c>
      <c r="D43" s="239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4" t="s">
        <v>817</v>
      </c>
      <c r="D56" s="238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4" t="s">
        <v>1797</v>
      </c>
      <c r="D70" s="238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29'!D138&gt;0,"OK","PLEASE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16019426026</v>
      </c>
    </row>
    <row r="3" spans="1:2" x14ac:dyDescent="0.2">
      <c r="A3" t="s">
        <v>1013</v>
      </c>
      <c r="B3" s="138" t="str">
        <f>COVER!A15</f>
        <v>Dekalb</v>
      </c>
    </row>
    <row r="4" spans="1:2" x14ac:dyDescent="0.2">
      <c r="A4" t="s">
        <v>1064</v>
      </c>
      <c r="B4" s="138" t="str">
        <f>COVER!A17</f>
        <v>Hiawatha CUSD 426</v>
      </c>
    </row>
    <row r="5" spans="1:2" x14ac:dyDescent="0.2">
      <c r="A5" t="s">
        <v>728</v>
      </c>
      <c r="B5" s="138" t="str">
        <f>COVER!A38</f>
        <v>Jared Poynter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2317046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3206956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3149185</v>
      </c>
      <c r="D92" s="2" t="str">
        <f t="shared" si="0"/>
        <v>Error?</v>
      </c>
    </row>
    <row r="93" spans="1:4" x14ac:dyDescent="0.2">
      <c r="A93" s="5">
        <v>32</v>
      </c>
      <c r="B93" s="138">
        <f>'Assets-Liab 5-6'!C41</f>
        <v>3206956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360000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554572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554572</v>
      </c>
      <c r="D123" s="2" t="str">
        <f t="shared" si="0"/>
        <v>Error?</v>
      </c>
    </row>
    <row r="124" spans="1:4" x14ac:dyDescent="0.2">
      <c r="A124" s="5">
        <v>63</v>
      </c>
      <c r="B124" s="138">
        <f>'Assets-Liab 5-6'!D41</f>
        <v>554572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247400</v>
      </c>
      <c r="D129" s="2" t="str">
        <f t="shared" si="1"/>
        <v>Error?</v>
      </c>
    </row>
    <row r="130" spans="1:4" x14ac:dyDescent="0.2">
      <c r="A130" s="5">
        <v>69</v>
      </c>
      <c r="B130" s="138">
        <f>'Assets-Liab 5-6'!E12</f>
        <v>0</v>
      </c>
      <c r="D130" s="2" t="str">
        <f t="shared" si="1"/>
        <v>Error?</v>
      </c>
    </row>
    <row r="131" spans="1:4" x14ac:dyDescent="0.2">
      <c r="A131" s="5">
        <v>70</v>
      </c>
      <c r="B131" s="138">
        <f>'Assets-Liab 5-6'!E13</f>
        <v>253742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253742</v>
      </c>
      <c r="D140" s="2" t="str">
        <f t="shared" si="1"/>
        <v>Error?</v>
      </c>
    </row>
    <row r="141" spans="1:4" x14ac:dyDescent="0.2">
      <c r="A141" s="5">
        <v>80</v>
      </c>
      <c r="B141" s="138">
        <f>'Assets-Liab 5-6'!E41</f>
        <v>253742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197800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379674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379674</v>
      </c>
      <c r="D170" s="2" t="str">
        <f t="shared" si="1"/>
        <v>Error?</v>
      </c>
    </row>
    <row r="171" spans="1:4" x14ac:dyDescent="0.2">
      <c r="A171" s="5">
        <v>110</v>
      </c>
      <c r="B171" s="138">
        <f>'Assets-Liab 5-6'!F41</f>
        <v>379674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304258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143103</v>
      </c>
      <c r="D189" s="2" t="str">
        <f t="shared" si="1"/>
        <v>Error?</v>
      </c>
    </row>
    <row r="190" spans="1:4" x14ac:dyDescent="0.2">
      <c r="A190" s="5">
        <v>129</v>
      </c>
      <c r="B190" s="138">
        <f>'Assets-Liab 5-6'!G41</f>
        <v>304258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153608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149998</v>
      </c>
      <c r="D212" s="2" t="str">
        <f t="shared" si="2"/>
        <v>Error?</v>
      </c>
    </row>
    <row r="213" spans="1:4" x14ac:dyDescent="0.2">
      <c r="A213" s="12">
        <v>152</v>
      </c>
      <c r="B213" s="138">
        <f>'Assets-Liab 5-6'!H41</f>
        <v>153608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347082</v>
      </c>
      <c r="D273" s="2" t="str">
        <f t="shared" si="3"/>
        <v>Error?</v>
      </c>
    </row>
    <row r="274" spans="1:4" x14ac:dyDescent="0.2">
      <c r="A274" s="5">
        <v>213</v>
      </c>
      <c r="B274" s="138">
        <f>'Assets-Liab 5-6'!M17</f>
        <v>12816952</v>
      </c>
      <c r="D274" s="2" t="str">
        <f t="shared" si="3"/>
        <v>Error?</v>
      </c>
    </row>
    <row r="275" spans="1:4" x14ac:dyDescent="0.2">
      <c r="A275" s="5">
        <v>214</v>
      </c>
      <c r="B275" s="138">
        <f>'Assets-Liab 5-6'!M18</f>
        <v>695829</v>
      </c>
      <c r="D275" s="2" t="str">
        <f t="shared" si="3"/>
        <v>Error?</v>
      </c>
    </row>
    <row r="276" spans="1:4" x14ac:dyDescent="0.2">
      <c r="A276" s="5">
        <v>215</v>
      </c>
      <c r="B276" s="138">
        <f>'Assets-Liab 5-6'!M19</f>
        <v>1369714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15229577</v>
      </c>
      <c r="C279" s="2" t="s">
        <v>594</v>
      </c>
      <c r="D279" s="2" t="str">
        <f t="shared" si="3"/>
        <v>Error?</v>
      </c>
    </row>
    <row r="280" spans="1:4" x14ac:dyDescent="0.2">
      <c r="A280" s="5">
        <v>219</v>
      </c>
      <c r="B280" s="138">
        <f>'Assets-Liab 5-6'!M40</f>
        <v>15229577</v>
      </c>
      <c r="D280" s="2" t="str">
        <f t="shared" si="3"/>
        <v>Error?</v>
      </c>
    </row>
    <row r="281" spans="1:4" x14ac:dyDescent="0.2">
      <c r="A281" s="5">
        <v>220</v>
      </c>
      <c r="B281" s="138">
        <f>'Assets-Liab 5-6'!M41</f>
        <v>15229577</v>
      </c>
      <c r="C281" s="2" t="s">
        <v>594</v>
      </c>
      <c r="D281" s="2" t="str">
        <f t="shared" si="3"/>
        <v>Error?</v>
      </c>
    </row>
    <row r="282" spans="1:4" x14ac:dyDescent="0.2">
      <c r="A282" s="5">
        <v>221</v>
      </c>
      <c r="B282" s="138">
        <f>'Assets-Liab 5-6'!N21</f>
        <v>253742</v>
      </c>
      <c r="D282" s="2" t="str">
        <f t="shared" si="3"/>
        <v>Error?</v>
      </c>
    </row>
    <row r="283" spans="1:4" x14ac:dyDescent="0.2">
      <c r="A283" s="5">
        <v>222</v>
      </c>
      <c r="B283" s="138">
        <f>'Assets-Liab 5-6'!N22</f>
        <v>5366258</v>
      </c>
      <c r="D283" s="2" t="str">
        <f t="shared" si="3"/>
        <v>Error?</v>
      </c>
    </row>
    <row r="284" spans="1:4" x14ac:dyDescent="0.2">
      <c r="A284" s="5">
        <v>223</v>
      </c>
      <c r="B284" s="138">
        <f>'Assets-Liab 5-6'!N23</f>
        <v>5620000</v>
      </c>
      <c r="C284" s="2" t="s">
        <v>594</v>
      </c>
      <c r="D284" s="2" t="str">
        <f t="shared" si="3"/>
        <v>Error?</v>
      </c>
    </row>
    <row r="285" spans="1:4" x14ac:dyDescent="0.2">
      <c r="A285" s="5">
        <v>224</v>
      </c>
      <c r="B285" s="138">
        <f>'Assets-Liab 5-6'!N36</f>
        <v>5620000</v>
      </c>
      <c r="D285" s="2" t="str">
        <f t="shared" si="3"/>
        <v>Error?</v>
      </c>
    </row>
    <row r="286" spans="1:4" x14ac:dyDescent="0.2">
      <c r="A286" s="10">
        <v>225</v>
      </c>
      <c r="D286" s="2" t="str">
        <f t="shared" si="3"/>
        <v>OK</v>
      </c>
    </row>
    <row r="287" spans="1:4" x14ac:dyDescent="0.2">
      <c r="A287" s="5">
        <v>226</v>
      </c>
      <c r="B287" s="138">
        <f>'Assets-Liab 5-6'!N37</f>
        <v>5620000</v>
      </c>
      <c r="C287" s="2" t="s">
        <v>594</v>
      </c>
      <c r="D287" s="2" t="str">
        <f t="shared" si="3"/>
        <v>Error?</v>
      </c>
    </row>
    <row r="288" spans="1:4" x14ac:dyDescent="0.2">
      <c r="A288" s="5">
        <v>227</v>
      </c>
      <c r="B288" s="138">
        <f>'Assets-Liab 5-6'!N41</f>
        <v>5620000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1319350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40226</v>
      </c>
      <c r="D717" s="2" t="str">
        <f t="shared" si="10"/>
        <v>Error?</v>
      </c>
    </row>
    <row r="718" spans="1:4" x14ac:dyDescent="0.2">
      <c r="A718" s="5">
        <v>657</v>
      </c>
      <c r="B718" s="138">
        <f>'Expenditures 15-22'!C14</f>
        <v>143473</v>
      </c>
      <c r="D718" s="2" t="str">
        <f t="shared" si="10"/>
        <v>Error?</v>
      </c>
    </row>
    <row r="719" spans="1:4" x14ac:dyDescent="0.2">
      <c r="A719" s="5">
        <v>658</v>
      </c>
      <c r="B719" s="138">
        <f>'Expenditures 15-22'!C15</f>
        <v>2100</v>
      </c>
      <c r="D719" s="2" t="str">
        <f t="shared" si="10"/>
        <v>Error?</v>
      </c>
    </row>
    <row r="720" spans="1:4" x14ac:dyDescent="0.2">
      <c r="A720" s="5">
        <v>659</v>
      </c>
      <c r="B720" s="138">
        <f>'Expenditures 15-22'!C33</f>
        <v>1902270</v>
      </c>
      <c r="C720" s="2" t="s">
        <v>594</v>
      </c>
      <c r="D720" s="2" t="str">
        <f t="shared" si="10"/>
        <v>Error?</v>
      </c>
    </row>
    <row r="721" spans="1:4" x14ac:dyDescent="0.2">
      <c r="A721" s="5">
        <v>660</v>
      </c>
      <c r="B721" s="138">
        <f>'Expenditures 15-22'!C36</f>
        <v>29214</v>
      </c>
      <c r="D721" s="2" t="str">
        <f t="shared" si="10"/>
        <v>Error?</v>
      </c>
    </row>
    <row r="722" spans="1:4" x14ac:dyDescent="0.2">
      <c r="A722" s="5">
        <v>661</v>
      </c>
      <c r="B722" s="138">
        <f>'Expenditures 15-22'!C37</f>
        <v>92373</v>
      </c>
      <c r="D722" s="2" t="str">
        <f t="shared" si="10"/>
        <v>Error?</v>
      </c>
    </row>
    <row r="723" spans="1:4" x14ac:dyDescent="0.2">
      <c r="A723" s="5">
        <v>662</v>
      </c>
      <c r="B723" s="138">
        <f>'Expenditures 15-22'!C38</f>
        <v>37838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159425</v>
      </c>
      <c r="C727" s="2" t="s">
        <v>594</v>
      </c>
      <c r="D727" s="2" t="str">
        <f t="shared" si="10"/>
        <v>Error?</v>
      </c>
    </row>
    <row r="728" spans="1:4" x14ac:dyDescent="0.2">
      <c r="A728" s="5">
        <v>667</v>
      </c>
      <c r="B728" s="138">
        <f>'Expenditures 15-22'!C44</f>
        <v>7671</v>
      </c>
      <c r="D728" s="2" t="str">
        <f t="shared" si="10"/>
        <v>Error?</v>
      </c>
    </row>
    <row r="729" spans="1:4" x14ac:dyDescent="0.2">
      <c r="A729" s="5">
        <v>668</v>
      </c>
      <c r="B729" s="138">
        <f>'Expenditures 15-22'!C45</f>
        <v>92198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99869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126916</v>
      </c>
      <c r="D733" s="2" t="str">
        <f t="shared" si="10"/>
        <v>Error?</v>
      </c>
    </row>
    <row r="734" spans="1:4" x14ac:dyDescent="0.2">
      <c r="A734" s="5">
        <v>673</v>
      </c>
      <c r="B734" s="138">
        <f>'Expenditures 15-22'!C53</f>
        <v>219730</v>
      </c>
      <c r="C734" s="2" t="s">
        <v>594</v>
      </c>
      <c r="D734" s="2" t="str">
        <f t="shared" si="10"/>
        <v>Error?</v>
      </c>
    </row>
    <row r="735" spans="1:4" x14ac:dyDescent="0.2">
      <c r="A735" s="5">
        <v>674</v>
      </c>
      <c r="B735" s="138">
        <f>'Expenditures 15-22'!C55</f>
        <v>233121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233121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43077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74085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117162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46231</v>
      </c>
      <c r="D751" s="2" t="str">
        <f t="shared" si="10"/>
        <v>Error?</v>
      </c>
    </row>
    <row r="752" spans="1:4" x14ac:dyDescent="0.2">
      <c r="A752" s="10">
        <v>691</v>
      </c>
      <c r="D752" s="2" t="str">
        <f t="shared" si="10"/>
        <v>OK</v>
      </c>
    </row>
    <row r="753" spans="1:4" x14ac:dyDescent="0.2">
      <c r="A753" s="5">
        <v>692</v>
      </c>
      <c r="B753" s="138">
        <f>'Expenditures 15-22'!C72</f>
        <v>46231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875538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2777808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348804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13476</v>
      </c>
      <c r="D775" s="2" t="str">
        <f t="shared" si="11"/>
        <v>Error?</v>
      </c>
    </row>
    <row r="776" spans="1:4" x14ac:dyDescent="0.2">
      <c r="A776" s="5">
        <v>715</v>
      </c>
      <c r="B776" s="138">
        <f>'Expenditures 15-22'!D14</f>
        <v>17290</v>
      </c>
      <c r="D776" s="2" t="str">
        <f t="shared" si="11"/>
        <v>Error?</v>
      </c>
    </row>
    <row r="777" spans="1:4" x14ac:dyDescent="0.2">
      <c r="A777" s="5">
        <v>716</v>
      </c>
      <c r="B777" s="138">
        <f>'Expenditures 15-22'!D15</f>
        <v>240</v>
      </c>
      <c r="D777" s="2" t="str">
        <f t="shared" si="11"/>
        <v>Error?</v>
      </c>
    </row>
    <row r="778" spans="1:4" x14ac:dyDescent="0.2">
      <c r="A778" s="5">
        <v>717</v>
      </c>
      <c r="B778" s="138">
        <f>'Expenditures 15-22'!D33</f>
        <v>507145</v>
      </c>
      <c r="C778" s="2" t="s">
        <v>594</v>
      </c>
      <c r="D778" s="2" t="str">
        <f t="shared" si="11"/>
        <v>Error?</v>
      </c>
    </row>
    <row r="779" spans="1:4" x14ac:dyDescent="0.2">
      <c r="A779" s="5">
        <v>718</v>
      </c>
      <c r="B779" s="138">
        <f>'Expenditures 15-22'!D36</f>
        <v>5037</v>
      </c>
      <c r="D779" s="2" t="str">
        <f t="shared" si="11"/>
        <v>Error?</v>
      </c>
    </row>
    <row r="780" spans="1:4" x14ac:dyDescent="0.2">
      <c r="A780" s="5">
        <v>719</v>
      </c>
      <c r="B780" s="138">
        <f>'Expenditures 15-22'!D37</f>
        <v>19351</v>
      </c>
      <c r="D780" s="2" t="str">
        <f t="shared" si="11"/>
        <v>Error?</v>
      </c>
    </row>
    <row r="781" spans="1:4" x14ac:dyDescent="0.2">
      <c r="A781" s="5">
        <v>720</v>
      </c>
      <c r="B781" s="138">
        <f>'Expenditures 15-22'!D38</f>
        <v>3090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27478</v>
      </c>
      <c r="C785" s="2" t="s">
        <v>594</v>
      </c>
      <c r="D785" s="2" t="str">
        <f t="shared" si="11"/>
        <v>Error?</v>
      </c>
    </row>
    <row r="786" spans="1:4" x14ac:dyDescent="0.2">
      <c r="A786" s="5">
        <v>725</v>
      </c>
      <c r="B786" s="138">
        <f>'Expenditures 15-22'!D44</f>
        <v>917</v>
      </c>
      <c r="D786" s="2" t="str">
        <f t="shared" si="11"/>
        <v>Error?</v>
      </c>
    </row>
    <row r="787" spans="1:4" x14ac:dyDescent="0.2">
      <c r="A787" s="5">
        <v>726</v>
      </c>
      <c r="B787" s="138">
        <f>'Expenditures 15-22'!D45</f>
        <v>27424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28341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8864</v>
      </c>
      <c r="D791" s="2" t="str">
        <f t="shared" si="11"/>
        <v>Error?</v>
      </c>
    </row>
    <row r="792" spans="1:4" x14ac:dyDescent="0.2">
      <c r="A792" s="5">
        <v>731</v>
      </c>
      <c r="B792" s="138">
        <f>'Expenditures 15-22'!D53</f>
        <v>31258</v>
      </c>
      <c r="C792" s="2" t="s">
        <v>594</v>
      </c>
      <c r="D792" s="2" t="str">
        <f t="shared" si="11"/>
        <v>Error?</v>
      </c>
    </row>
    <row r="793" spans="1:4" x14ac:dyDescent="0.2">
      <c r="A793" s="5">
        <v>732</v>
      </c>
      <c r="B793" s="138">
        <f>'Expenditures 15-22'!D55</f>
        <v>50587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50587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8962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16445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25407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10990</v>
      </c>
      <c r="D809" s="2" t="str">
        <f t="shared" si="11"/>
        <v>Error?</v>
      </c>
    </row>
    <row r="810" spans="1:4" x14ac:dyDescent="0.2">
      <c r="A810" s="10">
        <v>749</v>
      </c>
      <c r="D810" s="2" t="str">
        <f t="shared" si="11"/>
        <v>OK</v>
      </c>
    </row>
    <row r="811" spans="1:4" x14ac:dyDescent="0.2">
      <c r="A811" s="5">
        <v>750</v>
      </c>
      <c r="B811" s="138">
        <f>'Expenditures 15-22'!D72</f>
        <v>10990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174061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681206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42850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17922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82118</v>
      </c>
      <c r="C836" s="2" t="s">
        <v>594</v>
      </c>
      <c r="D836" s="2" t="str">
        <f t="shared" si="12"/>
        <v>Error?</v>
      </c>
    </row>
    <row r="837" spans="1:4" x14ac:dyDescent="0.2">
      <c r="A837" s="5">
        <v>776</v>
      </c>
      <c r="B837" s="138">
        <f>'Expenditures 15-22'!E36</f>
        <v>32</v>
      </c>
      <c r="D837" s="2" t="str">
        <f t="shared" si="12"/>
        <v>Error?</v>
      </c>
    </row>
    <row r="838" spans="1:4" x14ac:dyDescent="0.2">
      <c r="A838" s="5">
        <v>777</v>
      </c>
      <c r="B838" s="138">
        <f>'Expenditures 15-22'!E37</f>
        <v>289</v>
      </c>
      <c r="D838" s="2" t="str">
        <f t="shared" si="12"/>
        <v>Error?</v>
      </c>
    </row>
    <row r="839" spans="1:4" x14ac:dyDescent="0.2">
      <c r="A839" s="5">
        <v>778</v>
      </c>
      <c r="B839" s="138">
        <f>'Expenditures 15-22'!E38</f>
        <v>533</v>
      </c>
      <c r="D839" s="2" t="str">
        <f t="shared" si="12"/>
        <v>Error?</v>
      </c>
    </row>
    <row r="840" spans="1:4" x14ac:dyDescent="0.2">
      <c r="A840" s="5">
        <v>779</v>
      </c>
      <c r="B840" s="138">
        <f>'Expenditures 15-22'!E39</f>
        <v>18960</v>
      </c>
      <c r="D840" s="2" t="str">
        <f t="shared" si="12"/>
        <v>Error?</v>
      </c>
    </row>
    <row r="841" spans="1:4" x14ac:dyDescent="0.2">
      <c r="A841" s="5">
        <v>780</v>
      </c>
      <c r="B841" s="138">
        <f>'Expenditures 15-22'!E40</f>
        <v>101246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121060</v>
      </c>
      <c r="C843" s="2" t="s">
        <v>594</v>
      </c>
      <c r="D843" s="2" t="str">
        <f t="shared" si="12"/>
        <v>Error?</v>
      </c>
    </row>
    <row r="844" spans="1:4" x14ac:dyDescent="0.2">
      <c r="A844" s="5">
        <v>783</v>
      </c>
      <c r="B844" s="138">
        <f>'Expenditures 15-22'!E44</f>
        <v>14085</v>
      </c>
      <c r="D844" s="2" t="str">
        <f t="shared" si="12"/>
        <v>Error?</v>
      </c>
    </row>
    <row r="845" spans="1:4" x14ac:dyDescent="0.2">
      <c r="A845" s="5">
        <v>784</v>
      </c>
      <c r="B845" s="138">
        <f>'Expenditures 15-22'!E45</f>
        <v>293</v>
      </c>
      <c r="D845" s="2" t="str">
        <f t="shared" si="12"/>
        <v>Error?</v>
      </c>
    </row>
    <row r="846" spans="1:4" x14ac:dyDescent="0.2">
      <c r="A846" s="5">
        <v>785</v>
      </c>
      <c r="B846" s="138">
        <f>'Expenditures 15-22'!E46</f>
        <v>16755</v>
      </c>
      <c r="D846" s="2" t="str">
        <f t="shared" si="12"/>
        <v>Error?</v>
      </c>
    </row>
    <row r="847" spans="1:4" x14ac:dyDescent="0.2">
      <c r="A847" s="5">
        <v>786</v>
      </c>
      <c r="B847" s="138">
        <f>'Expenditures 15-22'!E47</f>
        <v>31133</v>
      </c>
      <c r="C847" s="2" t="s">
        <v>594</v>
      </c>
      <c r="D847" s="2" t="str">
        <f t="shared" si="12"/>
        <v>Error?</v>
      </c>
    </row>
    <row r="848" spans="1:4" x14ac:dyDescent="0.2">
      <c r="A848" s="5">
        <v>787</v>
      </c>
      <c r="B848" s="138">
        <f>'Expenditures 15-22'!E49</f>
        <v>37068</v>
      </c>
      <c r="D848" s="2" t="str">
        <f t="shared" si="12"/>
        <v>Error?</v>
      </c>
    </row>
    <row r="849" spans="1:4" x14ac:dyDescent="0.2">
      <c r="A849" s="5">
        <v>788</v>
      </c>
      <c r="B849" s="138">
        <f>'Expenditures 15-22'!E50</f>
        <v>1093</v>
      </c>
      <c r="D849" s="2" t="str">
        <f t="shared" si="12"/>
        <v>Error?</v>
      </c>
    </row>
    <row r="850" spans="1:4" x14ac:dyDescent="0.2">
      <c r="A850" s="5">
        <v>789</v>
      </c>
      <c r="B850" s="138">
        <f>'Expenditures 15-22'!E53</f>
        <v>43583</v>
      </c>
      <c r="C850" s="2" t="s">
        <v>594</v>
      </c>
      <c r="D850" s="2" t="str">
        <f t="shared" si="12"/>
        <v>Error?</v>
      </c>
    </row>
    <row r="851" spans="1:4" x14ac:dyDescent="0.2">
      <c r="A851" s="5">
        <v>790</v>
      </c>
      <c r="B851" s="138">
        <f>'Expenditures 15-22'!E55</f>
        <v>817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4657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5090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132648</v>
      </c>
      <c r="D867" s="2" t="str">
        <f t="shared" si="12"/>
        <v>Error?</v>
      </c>
    </row>
    <row r="868" spans="1:4" x14ac:dyDescent="0.2">
      <c r="A868" s="10">
        <v>807</v>
      </c>
      <c r="D868" s="2" t="str">
        <f t="shared" si="12"/>
        <v>OK</v>
      </c>
    </row>
    <row r="869" spans="1:4" x14ac:dyDescent="0.2">
      <c r="A869" s="5">
        <v>808</v>
      </c>
      <c r="B869" s="138">
        <f>'Expenditures 15-22'!E72</f>
        <v>132648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334331</v>
      </c>
      <c r="C871" s="2" t="s">
        <v>594</v>
      </c>
      <c r="D871" s="2" t="str">
        <f t="shared" si="12"/>
        <v>Error?</v>
      </c>
    </row>
    <row r="872" spans="1:4" x14ac:dyDescent="0.2">
      <c r="A872" s="5">
        <v>811</v>
      </c>
      <c r="B872" s="138">
        <f>'Expenditures 15-22'!E75</f>
        <v>778</v>
      </c>
      <c r="D872" s="2" t="str">
        <f t="shared" si="12"/>
        <v>Error?</v>
      </c>
    </row>
    <row r="873" spans="1:4" x14ac:dyDescent="0.2">
      <c r="A873" s="5">
        <v>812</v>
      </c>
      <c r="B873" s="138">
        <f>'Expenditures 15-22'!E114</f>
        <v>441475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25317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6471</v>
      </c>
      <c r="D891" s="2" t="str">
        <f t="shared" si="12"/>
        <v>Error?</v>
      </c>
    </row>
    <row r="892" spans="1:4" x14ac:dyDescent="0.2">
      <c r="A892" s="5">
        <v>831</v>
      </c>
      <c r="B892" s="138">
        <f>'Expenditures 15-22'!F14</f>
        <v>14861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67933</v>
      </c>
      <c r="C894" s="2" t="s">
        <v>594</v>
      </c>
      <c r="D894" s="2" t="str">
        <f t="shared" si="12"/>
        <v>Error?</v>
      </c>
    </row>
    <row r="895" spans="1:4" x14ac:dyDescent="0.2">
      <c r="A895" s="5">
        <v>834</v>
      </c>
      <c r="B895" s="138">
        <f>'Expenditures 15-22'!F36</f>
        <v>510</v>
      </c>
      <c r="D895" s="2" t="str">
        <f t="shared" ref="D895:D958" si="13">IF(ISBLANK(B895),"OK",IF(A895-B895=0,"OK","Error?"))</f>
        <v>Error?</v>
      </c>
    </row>
    <row r="896" spans="1:4" x14ac:dyDescent="0.2">
      <c r="A896" s="5">
        <v>835</v>
      </c>
      <c r="B896" s="138">
        <f>'Expenditures 15-22'!F37</f>
        <v>771</v>
      </c>
      <c r="D896" s="2" t="str">
        <f t="shared" si="13"/>
        <v>Error?</v>
      </c>
    </row>
    <row r="897" spans="1:4" x14ac:dyDescent="0.2">
      <c r="A897" s="5">
        <v>836</v>
      </c>
      <c r="B897" s="138">
        <f>'Expenditures 15-22'!F38</f>
        <v>897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2178</v>
      </c>
      <c r="C901" s="2" t="s">
        <v>594</v>
      </c>
      <c r="D901" s="2" t="str">
        <f t="shared" si="13"/>
        <v>Error?</v>
      </c>
    </row>
    <row r="902" spans="1:4" x14ac:dyDescent="0.2">
      <c r="A902" s="5">
        <v>841</v>
      </c>
      <c r="B902" s="138">
        <f>'Expenditures 15-22'!F44</f>
        <v>2330</v>
      </c>
      <c r="D902" s="2" t="str">
        <f t="shared" si="13"/>
        <v>Error?</v>
      </c>
    </row>
    <row r="903" spans="1:4" x14ac:dyDescent="0.2">
      <c r="A903" s="5">
        <v>842</v>
      </c>
      <c r="B903" s="138">
        <f>'Expenditures 15-22'!F45</f>
        <v>1504</v>
      </c>
      <c r="D903" s="2" t="str">
        <f t="shared" si="13"/>
        <v>Error?</v>
      </c>
    </row>
    <row r="904" spans="1:4" x14ac:dyDescent="0.2">
      <c r="A904" s="5">
        <v>843</v>
      </c>
      <c r="B904" s="138">
        <f>'Expenditures 15-22'!F46</f>
        <v>6982</v>
      </c>
      <c r="D904" s="2" t="str">
        <f t="shared" si="13"/>
        <v>Error?</v>
      </c>
    </row>
    <row r="905" spans="1:4" x14ac:dyDescent="0.2">
      <c r="A905" s="5">
        <v>844</v>
      </c>
      <c r="B905" s="138">
        <f>'Expenditures 15-22'!F47</f>
        <v>10816</v>
      </c>
      <c r="C905" s="2" t="s">
        <v>594</v>
      </c>
      <c r="D905" s="2" t="str">
        <f t="shared" si="13"/>
        <v>Error?</v>
      </c>
    </row>
    <row r="906" spans="1:4" x14ac:dyDescent="0.2">
      <c r="A906" s="5">
        <v>845</v>
      </c>
      <c r="B906" s="138">
        <f>'Expenditures 15-22'!F49</f>
        <v>1744</v>
      </c>
      <c r="D906" s="2" t="str">
        <f t="shared" si="13"/>
        <v>Error?</v>
      </c>
    </row>
    <row r="907" spans="1:4" x14ac:dyDescent="0.2">
      <c r="A907" s="5">
        <v>846</v>
      </c>
      <c r="B907" s="138">
        <f>'Expenditures 15-22'!F50</f>
        <v>230</v>
      </c>
      <c r="D907" s="2" t="str">
        <f t="shared" si="13"/>
        <v>Error?</v>
      </c>
    </row>
    <row r="908" spans="1:4" x14ac:dyDescent="0.2">
      <c r="A908" s="5">
        <v>847</v>
      </c>
      <c r="B908" s="138">
        <f>'Expenditures 15-22'!F53</f>
        <v>2038</v>
      </c>
      <c r="C908" s="2" t="s">
        <v>594</v>
      </c>
      <c r="D908" s="2" t="str">
        <f t="shared" si="13"/>
        <v>Error?</v>
      </c>
    </row>
    <row r="909" spans="1:4" x14ac:dyDescent="0.2">
      <c r="A909" s="5">
        <v>848</v>
      </c>
      <c r="B909" s="138">
        <f>'Expenditures 15-22'!F55</f>
        <v>793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793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88198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88548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11787</v>
      </c>
      <c r="D925" s="2" t="str">
        <f t="shared" si="13"/>
        <v>Error?</v>
      </c>
    </row>
    <row r="926" spans="1:4" x14ac:dyDescent="0.2">
      <c r="A926" s="10">
        <v>865</v>
      </c>
      <c r="D926" s="2" t="str">
        <f t="shared" si="13"/>
        <v>OK</v>
      </c>
    </row>
    <row r="927" spans="1:4" x14ac:dyDescent="0.2">
      <c r="A927" s="5">
        <v>866</v>
      </c>
      <c r="B927" s="138">
        <f>'Expenditures 15-22'!F72</f>
        <v>11787</v>
      </c>
      <c r="C927" s="2" t="s">
        <v>594</v>
      </c>
      <c r="D927" s="2" t="str">
        <f t="shared" si="13"/>
        <v>Error?</v>
      </c>
    </row>
    <row r="928" spans="1:4" x14ac:dyDescent="0.2">
      <c r="A928" s="5">
        <v>867</v>
      </c>
      <c r="B928" s="138">
        <f>'Expenditures 15-22'!F73</f>
        <v>154</v>
      </c>
      <c r="D928" s="2" t="str">
        <f t="shared" si="13"/>
        <v>Error?</v>
      </c>
    </row>
    <row r="929" spans="1:4" x14ac:dyDescent="0.2">
      <c r="A929" s="5">
        <v>868</v>
      </c>
      <c r="B929" s="138">
        <f>'Expenditures 15-22'!F74</f>
        <v>116314</v>
      </c>
      <c r="C929" s="2" t="s">
        <v>594</v>
      </c>
      <c r="D929" s="2" t="str">
        <f t="shared" si="13"/>
        <v>Error?</v>
      </c>
    </row>
    <row r="930" spans="1:4" x14ac:dyDescent="0.2">
      <c r="A930" s="5">
        <v>869</v>
      </c>
      <c r="B930" s="138">
        <f>'Expenditures 15-22'!F75</f>
        <v>385</v>
      </c>
      <c r="D930" s="2" t="str">
        <f t="shared" si="13"/>
        <v>Error?</v>
      </c>
    </row>
    <row r="931" spans="1:4" x14ac:dyDescent="0.2">
      <c r="A931" s="5">
        <v>870</v>
      </c>
      <c r="B931" s="138">
        <f>'Expenditures 15-22'!F114</f>
        <v>184632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1335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2059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3394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29967</v>
      </c>
      <c r="D983" s="2" t="str">
        <f t="shared" si="14"/>
        <v>Error?</v>
      </c>
    </row>
    <row r="984" spans="1:4" x14ac:dyDescent="0.2">
      <c r="A984" s="10">
        <v>923</v>
      </c>
      <c r="D984" s="2" t="str">
        <f t="shared" si="14"/>
        <v>OK</v>
      </c>
    </row>
    <row r="985" spans="1:4" x14ac:dyDescent="0.2">
      <c r="A985" s="5">
        <v>924</v>
      </c>
      <c r="B985" s="138">
        <f>'Expenditures 15-22'!G72</f>
        <v>29967</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29967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33361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2098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197293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3195</v>
      </c>
      <c r="D1022" s="2" t="str">
        <f t="shared" si="14"/>
        <v>Error?</v>
      </c>
    </row>
    <row r="1023" spans="1:4" x14ac:dyDescent="0.2">
      <c r="A1023" s="5">
        <v>962</v>
      </c>
      <c r="B1023" s="138">
        <f>'Expenditures 15-22'!H50</f>
        <v>330</v>
      </c>
      <c r="D1023" s="2" t="str">
        <f t="shared" ref="D1023:D1086" si="15">IF(ISBLANK(B1023),"OK",IF(A1023-B1023=0,"OK","Error?"))</f>
        <v>Error?</v>
      </c>
    </row>
    <row r="1024" spans="1:4" x14ac:dyDescent="0.2">
      <c r="A1024" s="5">
        <v>963</v>
      </c>
      <c r="B1024" s="138">
        <f>'Expenditures 15-22'!H53</f>
        <v>3655</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2229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6354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117175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320822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1739754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60173</v>
      </c>
      <c r="C1105" s="2" t="s">
        <v>594</v>
      </c>
      <c r="D1105" s="2" t="str">
        <f t="shared" si="16"/>
        <v>Error?</v>
      </c>
    </row>
    <row r="1106" spans="1:4" x14ac:dyDescent="0.2">
      <c r="A1106" s="5">
        <v>1045</v>
      </c>
      <c r="B1106" s="138">
        <f>'Expenditures 15-22'!K14</f>
        <v>198715</v>
      </c>
      <c r="C1106" s="2" t="s">
        <v>594</v>
      </c>
      <c r="D1106" s="2" t="str">
        <f t="shared" si="16"/>
        <v>Error?</v>
      </c>
    </row>
    <row r="1107" spans="1:4" x14ac:dyDescent="0.2">
      <c r="A1107" s="5">
        <v>1046</v>
      </c>
      <c r="B1107" s="138">
        <f>'Expenditures 15-22'!K15</f>
        <v>2340</v>
      </c>
      <c r="C1107" s="2" t="s">
        <v>594</v>
      </c>
      <c r="D1107" s="2" t="str">
        <f t="shared" si="16"/>
        <v>Error?</v>
      </c>
    </row>
    <row r="1108" spans="1:4" x14ac:dyDescent="0.2">
      <c r="A1108" s="5">
        <v>1047</v>
      </c>
      <c r="B1108" s="138">
        <f>'Expenditures 15-22'!K33</f>
        <v>2760153</v>
      </c>
      <c r="C1108" s="2" t="s">
        <v>594</v>
      </c>
      <c r="D1108" s="2" t="str">
        <f t="shared" si="16"/>
        <v>Error?</v>
      </c>
    </row>
    <row r="1109" spans="1:4" x14ac:dyDescent="0.2">
      <c r="A1109" s="5">
        <v>1048</v>
      </c>
      <c r="B1109" s="138">
        <f>'Expenditures 15-22'!K36</f>
        <v>34793</v>
      </c>
      <c r="C1109" s="2" t="s">
        <v>594</v>
      </c>
      <c r="D1109" s="2" t="str">
        <f t="shared" si="16"/>
        <v>Error?</v>
      </c>
    </row>
    <row r="1110" spans="1:4" x14ac:dyDescent="0.2">
      <c r="A1110" s="5">
        <v>1049</v>
      </c>
      <c r="B1110" s="138">
        <f>'Expenditures 15-22'!K37</f>
        <v>112784</v>
      </c>
      <c r="C1110" s="2" t="s">
        <v>594</v>
      </c>
      <c r="D1110" s="2" t="str">
        <f t="shared" si="16"/>
        <v>Error?</v>
      </c>
    </row>
    <row r="1111" spans="1:4" x14ac:dyDescent="0.2">
      <c r="A1111" s="5">
        <v>1050</v>
      </c>
      <c r="B1111" s="138">
        <f>'Expenditures 15-22'!K38</f>
        <v>42443</v>
      </c>
      <c r="C1111" s="2" t="s">
        <v>594</v>
      </c>
      <c r="D1111" s="2" t="str">
        <f t="shared" si="16"/>
        <v>Error?</v>
      </c>
    </row>
    <row r="1112" spans="1:4" x14ac:dyDescent="0.2">
      <c r="A1112" s="5">
        <v>1051</v>
      </c>
      <c r="B1112" s="138">
        <f>'Expenditures 15-22'!K39</f>
        <v>18960</v>
      </c>
      <c r="C1112" s="2" t="s">
        <v>594</v>
      </c>
      <c r="D1112" s="2" t="str">
        <f t="shared" si="16"/>
        <v>Error?</v>
      </c>
    </row>
    <row r="1113" spans="1:4" x14ac:dyDescent="0.2">
      <c r="A1113" s="5">
        <v>1052</v>
      </c>
      <c r="B1113" s="138">
        <f>'Expenditures 15-22'!K40</f>
        <v>101246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310226</v>
      </c>
      <c r="C1115" s="2" t="s">
        <v>594</v>
      </c>
      <c r="D1115" s="2" t="str">
        <f t="shared" si="16"/>
        <v>Error?</v>
      </c>
    </row>
    <row r="1116" spans="1:4" x14ac:dyDescent="0.2">
      <c r="A1116" s="5">
        <v>1055</v>
      </c>
      <c r="B1116" s="138">
        <f>'Expenditures 15-22'!K44</f>
        <v>25003</v>
      </c>
      <c r="C1116" s="2" t="s">
        <v>594</v>
      </c>
      <c r="D1116" s="2" t="str">
        <f t="shared" si="16"/>
        <v>Error?</v>
      </c>
    </row>
    <row r="1117" spans="1:4" x14ac:dyDescent="0.2">
      <c r="A1117" s="5">
        <v>1056</v>
      </c>
      <c r="B1117" s="138">
        <f>'Expenditures 15-22'!K45</f>
        <v>121419</v>
      </c>
      <c r="C1117" s="2" t="s">
        <v>594</v>
      </c>
      <c r="D1117" s="2" t="str">
        <f t="shared" si="16"/>
        <v>Error?</v>
      </c>
    </row>
    <row r="1118" spans="1:4" x14ac:dyDescent="0.2">
      <c r="A1118" s="5">
        <v>1057</v>
      </c>
      <c r="B1118" s="138">
        <f>'Expenditures 15-22'!K46</f>
        <v>23737</v>
      </c>
      <c r="C1118" s="2" t="s">
        <v>594</v>
      </c>
      <c r="D1118" s="2" t="str">
        <f t="shared" si="16"/>
        <v>Error?</v>
      </c>
    </row>
    <row r="1119" spans="1:4" x14ac:dyDescent="0.2">
      <c r="A1119" s="5">
        <v>1058</v>
      </c>
      <c r="B1119" s="138">
        <f>'Expenditures 15-22'!K47</f>
        <v>170159</v>
      </c>
      <c r="C1119" s="2" t="s">
        <v>594</v>
      </c>
      <c r="D1119" s="2" t="str">
        <f t="shared" si="16"/>
        <v>Error?</v>
      </c>
    </row>
    <row r="1120" spans="1:4" x14ac:dyDescent="0.2">
      <c r="A1120" s="5">
        <v>1059</v>
      </c>
      <c r="B1120" s="138">
        <f>'Expenditures 15-22'!K49</f>
        <v>42007</v>
      </c>
      <c r="C1120" s="2" t="s">
        <v>594</v>
      </c>
      <c r="D1120" s="2" t="str">
        <f t="shared" si="16"/>
        <v>Error?</v>
      </c>
    </row>
    <row r="1121" spans="1:4" x14ac:dyDescent="0.2">
      <c r="A1121" s="5">
        <v>1060</v>
      </c>
      <c r="B1121" s="138">
        <f>'Expenditures 15-22'!K50</f>
        <v>137433</v>
      </c>
      <c r="C1121" s="2" t="s">
        <v>594</v>
      </c>
      <c r="D1121" s="2" t="str">
        <f t="shared" si="16"/>
        <v>Error?</v>
      </c>
    </row>
    <row r="1122" spans="1:4" x14ac:dyDescent="0.2">
      <c r="A1122" s="5">
        <v>1061</v>
      </c>
      <c r="B1122" s="138">
        <f>'Expenditures 15-22'!K53</f>
        <v>300264</v>
      </c>
      <c r="C1122" s="2" t="s">
        <v>594</v>
      </c>
      <c r="D1122" s="2" t="str">
        <f t="shared" si="16"/>
        <v>Error?</v>
      </c>
    </row>
    <row r="1123" spans="1:4" x14ac:dyDescent="0.2">
      <c r="A1123" s="5">
        <v>1062</v>
      </c>
      <c r="B1123" s="138">
        <f>'Expenditures 15-22'!K55</f>
        <v>285703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285703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58275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180161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238436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231623</v>
      </c>
      <c r="C1139" s="2" t="s">
        <v>594</v>
      </c>
      <c r="D1139" s="2" t="str">
        <f t="shared" si="16"/>
        <v>Error?</v>
      </c>
    </row>
    <row r="1140" spans="1:4" x14ac:dyDescent="0.2">
      <c r="A1140" s="10">
        <v>1079</v>
      </c>
      <c r="D1140" s="2" t="str">
        <f t="shared" si="16"/>
        <v>OK</v>
      </c>
    </row>
    <row r="1141" spans="1:4" x14ac:dyDescent="0.2">
      <c r="A1141" s="5">
        <v>1080</v>
      </c>
      <c r="B1141" s="138">
        <f>'Expenditures 15-22'!K72</f>
        <v>231623</v>
      </c>
      <c r="C1141" s="2" t="s">
        <v>594</v>
      </c>
      <c r="D1141" s="2" t="str">
        <f t="shared" si="16"/>
        <v>Error?</v>
      </c>
    </row>
    <row r="1142" spans="1:4" x14ac:dyDescent="0.2">
      <c r="A1142" s="5">
        <v>1081</v>
      </c>
      <c r="B1142" s="138">
        <f>'Expenditures 15-22'!K73</f>
        <v>154</v>
      </c>
      <c r="C1142" s="2" t="s">
        <v>594</v>
      </c>
      <c r="D1142" s="2" t="str">
        <f t="shared" si="16"/>
        <v>Error?</v>
      </c>
    </row>
    <row r="1143" spans="1:4" x14ac:dyDescent="0.2">
      <c r="A1143" s="5">
        <v>1082</v>
      </c>
      <c r="B1143" s="138">
        <f>'Expenditures 15-22'!K74</f>
        <v>1536565</v>
      </c>
      <c r="C1143" s="2" t="s">
        <v>594</v>
      </c>
      <c r="D1143" s="2" t="str">
        <f t="shared" si="16"/>
        <v>Error?</v>
      </c>
    </row>
    <row r="1144" spans="1:4" x14ac:dyDescent="0.2">
      <c r="A1144" s="5">
        <v>1083</v>
      </c>
      <c r="B1144" s="138">
        <f>'Expenditures 15-22'!K75</f>
        <v>1163</v>
      </c>
      <c r="C1144" s="2" t="s">
        <v>594</v>
      </c>
      <c r="D1144" s="2" t="str">
        <f t="shared" si="16"/>
        <v>Error?</v>
      </c>
    </row>
    <row r="1145" spans="1:4" x14ac:dyDescent="0.2">
      <c r="A1145" s="5">
        <v>1084</v>
      </c>
      <c r="B1145" s="138">
        <f>'Expenditures 15-22'!K102</f>
        <v>141423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4439304</v>
      </c>
      <c r="C1152" s="2" t="s">
        <v>594</v>
      </c>
      <c r="D1152" s="2" t="str">
        <f t="shared" si="17"/>
        <v>Error?</v>
      </c>
    </row>
    <row r="1153" spans="1:4" x14ac:dyDescent="0.2">
      <c r="A1153" s="5">
        <v>1092</v>
      </c>
      <c r="B1153" s="138">
        <f>'Expenditures 15-22'!K115</f>
        <v>505735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211629</v>
      </c>
      <c r="D1221" s="2" t="str">
        <f t="shared" si="18"/>
        <v>Error?</v>
      </c>
    </row>
    <row r="1222" spans="1:4" x14ac:dyDescent="0.2">
      <c r="A1222" s="10">
        <v>1161</v>
      </c>
      <c r="D1222" s="2" t="str">
        <f t="shared" si="18"/>
        <v>OK</v>
      </c>
    </row>
    <row r="1223" spans="1:4" x14ac:dyDescent="0.2">
      <c r="A1223" s="5">
        <v>1162</v>
      </c>
      <c r="B1223" s="138">
        <f>'Expenditures 15-22'!C127</f>
        <v>211629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211629</v>
      </c>
      <c r="C1225" s="2" t="s">
        <v>594</v>
      </c>
      <c r="D1225" s="2" t="str">
        <f t="shared" si="18"/>
        <v>Error?</v>
      </c>
    </row>
    <row r="1226" spans="1:4" x14ac:dyDescent="0.2">
      <c r="A1226" s="5">
        <v>1165</v>
      </c>
      <c r="B1226" s="138">
        <f>'Expenditures 15-22'!C151</f>
        <v>211629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72347</v>
      </c>
      <c r="D1229" s="2" t="str">
        <f t="shared" si="18"/>
        <v>Error?</v>
      </c>
    </row>
    <row r="1230" spans="1:4" x14ac:dyDescent="0.2">
      <c r="A1230" s="10">
        <v>1169</v>
      </c>
      <c r="D1230" s="2" t="str">
        <f t="shared" si="18"/>
        <v>OK</v>
      </c>
    </row>
    <row r="1231" spans="1:4" x14ac:dyDescent="0.2">
      <c r="A1231" s="5">
        <v>1170</v>
      </c>
      <c r="B1231" s="138">
        <f>'Expenditures 15-22'!D127</f>
        <v>72347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72347</v>
      </c>
      <c r="C1233" s="2" t="s">
        <v>594</v>
      </c>
      <c r="D1233" s="2" t="str">
        <f t="shared" si="18"/>
        <v>Error?</v>
      </c>
    </row>
    <row r="1234" spans="1:4" x14ac:dyDescent="0.2">
      <c r="A1234" s="5">
        <v>1173</v>
      </c>
      <c r="B1234" s="138">
        <f>'Expenditures 15-22'!D151</f>
        <v>72347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55784</v>
      </c>
      <c r="D1237" s="2" t="str">
        <f t="shared" si="18"/>
        <v>Error?</v>
      </c>
    </row>
    <row r="1238" spans="1:4" x14ac:dyDescent="0.2">
      <c r="A1238" s="10">
        <v>1177</v>
      </c>
      <c r="D1238" s="2" t="str">
        <f t="shared" si="18"/>
        <v>OK</v>
      </c>
    </row>
    <row r="1239" spans="1:4" x14ac:dyDescent="0.2">
      <c r="A1239" s="5">
        <v>1178</v>
      </c>
      <c r="B1239" s="138">
        <f>'Expenditures 15-22'!E127</f>
        <v>55784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55784</v>
      </c>
      <c r="C1241" s="2" t="s">
        <v>594</v>
      </c>
      <c r="D1241" s="2" t="str">
        <f t="shared" si="18"/>
        <v>Error?</v>
      </c>
    </row>
    <row r="1242" spans="1:4" x14ac:dyDescent="0.2">
      <c r="A1242" s="5">
        <v>1181</v>
      </c>
      <c r="B1242" s="138">
        <f>'Expenditures 15-22'!E151</f>
        <v>55784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123108</v>
      </c>
      <c r="D1245" s="2" t="str">
        <f t="shared" si="18"/>
        <v>Error?</v>
      </c>
    </row>
    <row r="1246" spans="1:4" x14ac:dyDescent="0.2">
      <c r="A1246" s="10">
        <v>1185</v>
      </c>
      <c r="D1246" s="2" t="str">
        <f t="shared" si="18"/>
        <v>OK</v>
      </c>
    </row>
    <row r="1247" spans="1:4" x14ac:dyDescent="0.2">
      <c r="A1247" s="5">
        <v>1186</v>
      </c>
      <c r="B1247" s="138">
        <f>'Expenditures 15-22'!F127</f>
        <v>123108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123108</v>
      </c>
      <c r="C1249" s="2" t="s">
        <v>594</v>
      </c>
      <c r="D1249" s="2" t="str">
        <f t="shared" si="18"/>
        <v>Error?</v>
      </c>
    </row>
    <row r="1250" spans="1:4" x14ac:dyDescent="0.2">
      <c r="A1250" s="5">
        <v>1189</v>
      </c>
      <c r="B1250" s="138">
        <f>'Expenditures 15-22'!F151</f>
        <v>123108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12892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12892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12892</v>
      </c>
      <c r="C1258" s="2" t="s">
        <v>594</v>
      </c>
      <c r="D1258" s="2" t="str">
        <f t="shared" si="18"/>
        <v>Error?</v>
      </c>
    </row>
    <row r="1259" spans="1:4" x14ac:dyDescent="0.2">
      <c r="A1259" s="5">
        <v>1198</v>
      </c>
      <c r="B1259" s="138">
        <f>'Expenditures 15-22'!G151</f>
        <v>12892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475760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475760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475760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475760</v>
      </c>
      <c r="C1288" s="2" t="s">
        <v>594</v>
      </c>
      <c r="D1288" s="2" t="str">
        <f t="shared" si="19"/>
        <v>Error?</v>
      </c>
    </row>
    <row r="1289" spans="1:4" x14ac:dyDescent="0.2">
      <c r="A1289" s="5">
        <v>1228</v>
      </c>
      <c r="B1289" s="138">
        <f>'Expenditures 15-22'!K152</f>
        <v>127932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800</v>
      </c>
      <c r="D1307" s="2" t="str">
        <f t="shared" si="19"/>
        <v>Error?</v>
      </c>
    </row>
    <row r="1308" spans="1:4" x14ac:dyDescent="0.2">
      <c r="A1308" s="5">
        <v>1247</v>
      </c>
      <c r="B1308" s="138">
        <f>'Expenditures 15-22'!E172</f>
        <v>800</v>
      </c>
      <c r="C1308" s="2" t="s">
        <v>594</v>
      </c>
      <c r="D1308" s="2" t="str">
        <f t="shared" si="19"/>
        <v>Error?</v>
      </c>
    </row>
    <row r="1309" spans="1:4" x14ac:dyDescent="0.2">
      <c r="A1309" s="5">
        <v>1248</v>
      </c>
      <c r="B1309" s="138">
        <f>'Expenditures 15-22'!E174</f>
        <v>800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300603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330000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630603</v>
      </c>
      <c r="C1317" s="2" t="s">
        <v>594</v>
      </c>
      <c r="D1317" s="2" t="str">
        <f t="shared" si="19"/>
        <v>Error?</v>
      </c>
    </row>
    <row r="1318" spans="1:4" x14ac:dyDescent="0.2">
      <c r="A1318" s="5">
        <v>1257</v>
      </c>
      <c r="B1318" s="138">
        <f>'Expenditures 15-22'!H174</f>
        <v>630603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300603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330000</v>
      </c>
      <c r="C1329" s="2" t="s">
        <v>594</v>
      </c>
      <c r="D1329" s="2" t="str">
        <f t="shared" si="19"/>
        <v>Error?</v>
      </c>
    </row>
    <row r="1330" spans="1:4" x14ac:dyDescent="0.2">
      <c r="A1330" s="5">
        <v>1269</v>
      </c>
      <c r="B1330" s="138">
        <f>'Expenditures 15-22'!K171</f>
        <v>800</v>
      </c>
      <c r="C1330" s="2" t="s">
        <v>594</v>
      </c>
      <c r="D1330" s="2" t="str">
        <f t="shared" si="19"/>
        <v>Error?</v>
      </c>
    </row>
    <row r="1331" spans="1:4" x14ac:dyDescent="0.2">
      <c r="A1331" s="5">
        <v>1270</v>
      </c>
      <c r="B1331" s="138">
        <f>'Expenditures 15-22'!K172</f>
        <v>631403</v>
      </c>
      <c r="C1331" s="2" t="s">
        <v>594</v>
      </c>
      <c r="D1331" s="2" t="str">
        <f t="shared" si="19"/>
        <v>Error?</v>
      </c>
    </row>
    <row r="1332" spans="1:4" x14ac:dyDescent="0.2">
      <c r="A1332" s="5">
        <v>1271</v>
      </c>
      <c r="B1332" s="138">
        <f>'Expenditures 15-22'!K174</f>
        <v>631403</v>
      </c>
      <c r="C1332" s="2" t="s">
        <v>594</v>
      </c>
      <c r="D1332" s="2" t="str">
        <f t="shared" si="19"/>
        <v>Error?</v>
      </c>
    </row>
    <row r="1333" spans="1:4" x14ac:dyDescent="0.2">
      <c r="A1333" s="5">
        <v>1272</v>
      </c>
      <c r="B1333" s="138">
        <f>'Expenditures 15-22'!K175</f>
        <v>15489</v>
      </c>
      <c r="C1333" s="2" t="s">
        <v>594</v>
      </c>
      <c r="D1333" s="2" t="str">
        <f t="shared" si="19"/>
        <v>Error?</v>
      </c>
    </row>
    <row r="1334" spans="1:4" x14ac:dyDescent="0.2">
      <c r="A1334" s="10">
        <v>1273</v>
      </c>
      <c r="D1334" s="2" t="str">
        <f t="shared" si="19"/>
        <v>OK</v>
      </c>
    </row>
    <row r="1335" spans="1:4" x14ac:dyDescent="0.2">
      <c r="A1335" s="5">
        <v>1274</v>
      </c>
      <c r="B1335" s="138">
        <f>'Expenditures 15-22'!C182</f>
        <v>185366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185366</v>
      </c>
      <c r="C1339" s="2" t="s">
        <v>594</v>
      </c>
      <c r="D1339" s="2" t="str">
        <f t="shared" si="19"/>
        <v>Error?</v>
      </c>
    </row>
    <row r="1340" spans="1:4" x14ac:dyDescent="0.2">
      <c r="A1340" s="5">
        <v>1279</v>
      </c>
      <c r="B1340" s="138">
        <f>'Expenditures 15-22'!C210</f>
        <v>185366</v>
      </c>
      <c r="C1340" s="2" t="s">
        <v>594</v>
      </c>
      <c r="D1340" s="2" t="str">
        <f t="shared" si="19"/>
        <v>Error?</v>
      </c>
    </row>
    <row r="1341" spans="1:4" x14ac:dyDescent="0.2">
      <c r="A1341" s="5">
        <v>1280</v>
      </c>
      <c r="B1341" s="138">
        <f>'Expenditures 15-22'!D182</f>
        <v>28687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28687</v>
      </c>
      <c r="C1345" s="2" t="s">
        <v>594</v>
      </c>
      <c r="D1345" s="2" t="str">
        <f t="shared" si="20"/>
        <v>Error?</v>
      </c>
    </row>
    <row r="1346" spans="1:4" x14ac:dyDescent="0.2">
      <c r="A1346" s="5">
        <v>1285</v>
      </c>
      <c r="B1346" s="138">
        <f>'Expenditures 15-22'!D210</f>
        <v>28687</v>
      </c>
      <c r="C1346" s="2" t="s">
        <v>594</v>
      </c>
      <c r="D1346" s="2" t="str">
        <f t="shared" si="20"/>
        <v>Error?</v>
      </c>
    </row>
    <row r="1347" spans="1:4" x14ac:dyDescent="0.2">
      <c r="A1347" s="5">
        <v>1286</v>
      </c>
      <c r="B1347" s="138">
        <f>'Expenditures 15-22'!E182</f>
        <v>55380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55380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55380</v>
      </c>
      <c r="C1353" s="2" t="s">
        <v>594</v>
      </c>
      <c r="D1353" s="2" t="str">
        <f t="shared" si="20"/>
        <v>Error?</v>
      </c>
    </row>
    <row r="1354" spans="1:4" x14ac:dyDescent="0.2">
      <c r="A1354" s="5">
        <v>1293</v>
      </c>
      <c r="B1354" s="138">
        <f>'Expenditures 15-22'!F182</f>
        <v>38859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38859</v>
      </c>
      <c r="C1358" s="2" t="s">
        <v>594</v>
      </c>
      <c r="D1358" s="2" t="str">
        <f t="shared" si="20"/>
        <v>Error?</v>
      </c>
    </row>
    <row r="1359" spans="1:4" x14ac:dyDescent="0.2">
      <c r="A1359" s="5">
        <v>1298</v>
      </c>
      <c r="B1359" s="138">
        <f>'Expenditures 15-22'!F210</f>
        <v>38859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4051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4051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4051</v>
      </c>
      <c r="C1376" s="2" t="s">
        <v>594</v>
      </c>
      <c r="D1376" s="2" t="str">
        <f t="shared" si="20"/>
        <v>Error?</v>
      </c>
    </row>
    <row r="1377" spans="1:4" x14ac:dyDescent="0.2">
      <c r="A1377" s="5">
        <v>1316</v>
      </c>
      <c r="B1377" s="138">
        <f>'Expenditures 15-22'!K182</f>
        <v>312343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312343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312343</v>
      </c>
      <c r="C1388" s="2" t="s">
        <v>594</v>
      </c>
      <c r="D1388" s="2" t="str">
        <f t="shared" si="20"/>
        <v>Error?</v>
      </c>
    </row>
    <row r="1389" spans="1:4" x14ac:dyDescent="0.2">
      <c r="A1389" s="5">
        <v>1328</v>
      </c>
      <c r="B1389" s="138">
        <f>'Expenditures 15-22'!K211</f>
        <v>111465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564</v>
      </c>
      <c r="D1407" s="2" t="str">
        <f t="shared" ref="D1407:D1470" si="21">IF(ISBLANK(B1407),"OK",IF(A1407-B1407=0,"OK","Error?"))</f>
        <v>Error?</v>
      </c>
    </row>
    <row r="1408" spans="1:4" x14ac:dyDescent="0.2">
      <c r="A1408" s="5">
        <v>1347</v>
      </c>
      <c r="B1408" s="138">
        <f>'Expenditures 15-22'!D223</f>
        <v>11018</v>
      </c>
      <c r="D1408" s="2" t="str">
        <f t="shared" si="21"/>
        <v>Error?</v>
      </c>
    </row>
    <row r="1409" spans="1:4" x14ac:dyDescent="0.2">
      <c r="A1409" s="5">
        <v>1348</v>
      </c>
      <c r="B1409" s="138">
        <f>'Expenditures 15-22'!D224</f>
        <v>31</v>
      </c>
      <c r="D1409" s="2" t="str">
        <f t="shared" si="21"/>
        <v>Error?</v>
      </c>
    </row>
    <row r="1410" spans="1:4" x14ac:dyDescent="0.2">
      <c r="A1410" s="5">
        <v>1349</v>
      </c>
      <c r="B1410" s="138">
        <f>'Expenditures 15-22'!D229</f>
        <v>57011</v>
      </c>
      <c r="C1410" s="2" t="s">
        <v>594</v>
      </c>
      <c r="D1410" s="2" t="str">
        <f t="shared" si="21"/>
        <v>Error?</v>
      </c>
    </row>
    <row r="1411" spans="1:4" x14ac:dyDescent="0.2">
      <c r="A1411" s="5">
        <v>1350</v>
      </c>
      <c r="B1411" s="138">
        <f>'Expenditures 15-22'!D232</f>
        <v>424</v>
      </c>
      <c r="D1411" s="2" t="str">
        <f t="shared" si="21"/>
        <v>Error?</v>
      </c>
    </row>
    <row r="1412" spans="1:4" x14ac:dyDescent="0.2">
      <c r="A1412" s="5">
        <v>1351</v>
      </c>
      <c r="B1412" s="138">
        <f>'Expenditures 15-22'!D233</f>
        <v>1320</v>
      </c>
      <c r="D1412" s="2" t="str">
        <f t="shared" si="21"/>
        <v>Error?</v>
      </c>
    </row>
    <row r="1413" spans="1:4" x14ac:dyDescent="0.2">
      <c r="A1413" s="5">
        <v>1352</v>
      </c>
      <c r="B1413" s="138">
        <f>'Expenditures 15-22'!D234</f>
        <v>6776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8520</v>
      </c>
      <c r="C1417" s="2" t="s">
        <v>594</v>
      </c>
      <c r="D1417" s="2" t="str">
        <f t="shared" si="21"/>
        <v>Error?</v>
      </c>
    </row>
    <row r="1418" spans="1:4" x14ac:dyDescent="0.2">
      <c r="A1418" s="5">
        <v>1357</v>
      </c>
      <c r="B1418" s="138">
        <f>'Expenditures 15-22'!D240</f>
        <v>140</v>
      </c>
      <c r="D1418" s="2" t="str">
        <f t="shared" si="21"/>
        <v>Error?</v>
      </c>
    </row>
    <row r="1419" spans="1:4" x14ac:dyDescent="0.2">
      <c r="A1419" s="5">
        <v>1358</v>
      </c>
      <c r="B1419" s="138">
        <f>'Expenditures 15-22'!D241</f>
        <v>5994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6134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10407</v>
      </c>
      <c r="D1423" s="2" t="str">
        <f t="shared" si="21"/>
        <v>Error?</v>
      </c>
    </row>
    <row r="1424" spans="1:4" x14ac:dyDescent="0.2">
      <c r="A1424" s="5">
        <v>1363</v>
      </c>
      <c r="B1424" s="138">
        <f>'Expenditures 15-22'!D257</f>
        <v>15485</v>
      </c>
      <c r="C1424" s="2" t="s">
        <v>594</v>
      </c>
      <c r="D1424" s="2" t="str">
        <f t="shared" si="21"/>
        <v>Error?</v>
      </c>
    </row>
    <row r="1425" spans="1:4" x14ac:dyDescent="0.2">
      <c r="A1425" s="5">
        <v>1364</v>
      </c>
      <c r="B1425" s="138">
        <f>'Expenditures 15-22'!D259</f>
        <v>10570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10570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37562</v>
      </c>
      <c r="D1431" s="2" t="str">
        <f t="shared" si="21"/>
        <v>Error?</v>
      </c>
    </row>
    <row r="1432" spans="1:4" x14ac:dyDescent="0.2">
      <c r="A1432" s="5">
        <v>1371</v>
      </c>
      <c r="B1432" s="138">
        <f>'Expenditures 15-22'!D267</f>
        <v>31840</v>
      </c>
      <c r="D1432" s="2" t="str">
        <f t="shared" si="21"/>
        <v>Error?</v>
      </c>
    </row>
    <row r="1433" spans="1:4" x14ac:dyDescent="0.2">
      <c r="A1433" s="5">
        <v>1372</v>
      </c>
      <c r="B1433" s="138">
        <f>'Expenditures 15-22'!D268</f>
        <v>13403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90601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8369</v>
      </c>
      <c r="D1442" s="2" t="str">
        <f t="shared" si="21"/>
        <v>Error?</v>
      </c>
    </row>
    <row r="1443" spans="1:4" x14ac:dyDescent="0.2">
      <c r="A1443" s="10">
        <v>1382</v>
      </c>
      <c r="D1443" s="2" t="str">
        <f t="shared" si="21"/>
        <v>OK</v>
      </c>
    </row>
    <row r="1444" spans="1:4" x14ac:dyDescent="0.2">
      <c r="A1444" s="5">
        <v>1383</v>
      </c>
      <c r="B1444" s="138">
        <f>'Expenditures 15-22'!D277</f>
        <v>8369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139679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196690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564</v>
      </c>
      <c r="C1471" s="2" t="s">
        <v>594</v>
      </c>
      <c r="D1471" s="2" t="str">
        <f t="shared" ref="D1471:D1534" si="22">IF(ISBLANK(B1471),"OK",IF(A1471-B1471=0,"OK","Error?"))</f>
        <v>Error?</v>
      </c>
    </row>
    <row r="1472" spans="1:4" x14ac:dyDescent="0.2">
      <c r="A1472" s="5">
        <v>1411</v>
      </c>
      <c r="B1472" s="138">
        <f>'Expenditures 15-22'!K223</f>
        <v>11018</v>
      </c>
      <c r="C1472" s="2" t="s">
        <v>594</v>
      </c>
      <c r="D1472" s="2" t="str">
        <f t="shared" si="22"/>
        <v>Error?</v>
      </c>
    </row>
    <row r="1473" spans="1:4" x14ac:dyDescent="0.2">
      <c r="A1473" s="5">
        <v>1412</v>
      </c>
      <c r="B1473" s="138">
        <f>'Expenditures 15-22'!K224</f>
        <v>31</v>
      </c>
      <c r="C1473" s="2" t="s">
        <v>594</v>
      </c>
      <c r="D1473" s="2" t="str">
        <f t="shared" si="22"/>
        <v>Error?</v>
      </c>
    </row>
    <row r="1474" spans="1:4" x14ac:dyDescent="0.2">
      <c r="A1474" s="5">
        <v>1413</v>
      </c>
      <c r="B1474" s="138">
        <f>'Expenditures 15-22'!K229</f>
        <v>57011</v>
      </c>
      <c r="C1474" s="2" t="s">
        <v>594</v>
      </c>
      <c r="D1474" s="2" t="str">
        <f t="shared" si="22"/>
        <v>Error?</v>
      </c>
    </row>
    <row r="1475" spans="1:4" x14ac:dyDescent="0.2">
      <c r="A1475" s="5">
        <v>1414</v>
      </c>
      <c r="B1475" s="138">
        <f>'Expenditures 15-22'!K232</f>
        <v>424</v>
      </c>
      <c r="C1475" s="2" t="s">
        <v>594</v>
      </c>
      <c r="D1475" s="2" t="str">
        <f t="shared" si="22"/>
        <v>Error?</v>
      </c>
    </row>
    <row r="1476" spans="1:4" x14ac:dyDescent="0.2">
      <c r="A1476" s="5">
        <v>1415</v>
      </c>
      <c r="B1476" s="138">
        <f>'Expenditures 15-22'!K233</f>
        <v>1320</v>
      </c>
      <c r="C1476" s="2" t="s">
        <v>594</v>
      </c>
      <c r="D1476" s="2" t="str">
        <f t="shared" si="22"/>
        <v>Error?</v>
      </c>
    </row>
    <row r="1477" spans="1:4" x14ac:dyDescent="0.2">
      <c r="A1477" s="5">
        <v>1416</v>
      </c>
      <c r="B1477" s="138">
        <f>'Expenditures 15-22'!K234</f>
        <v>6776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8520</v>
      </c>
      <c r="C1481" s="2" t="s">
        <v>594</v>
      </c>
      <c r="D1481" s="2" t="str">
        <f t="shared" si="22"/>
        <v>Error?</v>
      </c>
    </row>
    <row r="1482" spans="1:4" x14ac:dyDescent="0.2">
      <c r="A1482" s="5">
        <v>1421</v>
      </c>
      <c r="B1482" s="138">
        <f>'Expenditures 15-22'!K240</f>
        <v>140</v>
      </c>
      <c r="C1482" s="2" t="s">
        <v>594</v>
      </c>
      <c r="D1482" s="2" t="str">
        <f t="shared" si="22"/>
        <v>Error?</v>
      </c>
    </row>
    <row r="1483" spans="1:4" x14ac:dyDescent="0.2">
      <c r="A1483" s="5">
        <v>1422</v>
      </c>
      <c r="B1483" s="138">
        <f>'Expenditures 15-22'!K241</f>
        <v>5994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6134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10407</v>
      </c>
      <c r="C1487" s="2" t="s">
        <v>594</v>
      </c>
      <c r="D1487" s="2" t="str">
        <f t="shared" si="22"/>
        <v>Error?</v>
      </c>
    </row>
    <row r="1488" spans="1:4" x14ac:dyDescent="0.2">
      <c r="A1488" s="5">
        <v>1427</v>
      </c>
      <c r="B1488" s="138">
        <f>'Expenditures 15-22'!K257</f>
        <v>15485</v>
      </c>
      <c r="C1488" s="2" t="s">
        <v>594</v>
      </c>
      <c r="D1488" s="2" t="str">
        <f t="shared" si="22"/>
        <v>Error?</v>
      </c>
    </row>
    <row r="1489" spans="1:4" x14ac:dyDescent="0.2">
      <c r="A1489" s="5">
        <v>1428</v>
      </c>
      <c r="B1489" s="138">
        <f>'Expenditures 15-22'!K259</f>
        <v>10570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10570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7796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37562</v>
      </c>
      <c r="C1495" s="2" t="s">
        <v>594</v>
      </c>
      <c r="D1495" s="2" t="str">
        <f t="shared" si="22"/>
        <v>Error?</v>
      </c>
    </row>
    <row r="1496" spans="1:4" x14ac:dyDescent="0.2">
      <c r="A1496" s="5">
        <v>1435</v>
      </c>
      <c r="B1496" s="138">
        <f>'Expenditures 15-22'!K267</f>
        <v>31840</v>
      </c>
      <c r="C1496" s="2" t="s">
        <v>594</v>
      </c>
      <c r="D1496" s="2" t="str">
        <f t="shared" si="22"/>
        <v>Error?</v>
      </c>
    </row>
    <row r="1497" spans="1:4" x14ac:dyDescent="0.2">
      <c r="A1497" s="5">
        <v>1436</v>
      </c>
      <c r="B1497" s="138">
        <f>'Expenditures 15-22'!K268</f>
        <v>13403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90601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8369</v>
      </c>
      <c r="C1506" s="2" t="s">
        <v>594</v>
      </c>
      <c r="D1506" s="2" t="str">
        <f t="shared" si="22"/>
        <v>Error?</v>
      </c>
    </row>
    <row r="1507" spans="1:4" x14ac:dyDescent="0.2">
      <c r="A1507" s="10">
        <v>1446</v>
      </c>
      <c r="D1507" s="2" t="str">
        <f t="shared" si="22"/>
        <v>OK</v>
      </c>
    </row>
    <row r="1508" spans="1:4" x14ac:dyDescent="0.2">
      <c r="A1508" s="5">
        <v>1447</v>
      </c>
      <c r="B1508" s="138">
        <f>'Expenditures 15-22'!K277</f>
        <v>8369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139679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196690</v>
      </c>
      <c r="C1517" s="2" t="s">
        <v>594</v>
      </c>
      <c r="D1517" s="2" t="str">
        <f t="shared" si="22"/>
        <v>Error?</v>
      </c>
    </row>
    <row r="1518" spans="1:4" x14ac:dyDescent="0.2">
      <c r="A1518" s="5">
        <v>1457</v>
      </c>
      <c r="B1518" s="138">
        <f>'Expenditures 15-22'!K296</f>
        <v>23896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7875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7875</v>
      </c>
      <c r="C1547" s="2" t="s">
        <v>594</v>
      </c>
      <c r="D1547" s="2" t="str">
        <f t="shared" si="23"/>
        <v>Error?</v>
      </c>
    </row>
    <row r="1548" spans="1:4" x14ac:dyDescent="0.2">
      <c r="A1548" s="5">
        <v>1487</v>
      </c>
      <c r="B1548" s="138">
        <f>'Expenditures 15-22'!G312</f>
        <v>7875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7875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7875</v>
      </c>
      <c r="C1559" s="2" t="s">
        <v>594</v>
      </c>
      <c r="D1559" s="2" t="str">
        <f t="shared" si="23"/>
        <v>Error?</v>
      </c>
    </row>
    <row r="1560" spans="1:4" x14ac:dyDescent="0.2">
      <c r="A1560" s="5">
        <v>1499</v>
      </c>
      <c r="B1560" s="138">
        <f>'Expenditures 15-22'!K312</f>
        <v>7875</v>
      </c>
      <c r="C1560" s="2" t="s">
        <v>594</v>
      </c>
      <c r="D1560" s="2" t="str">
        <f t="shared" si="23"/>
        <v>Error?</v>
      </c>
    </row>
    <row r="1561" spans="1:4" x14ac:dyDescent="0.2">
      <c r="A1561" s="5">
        <v>1500</v>
      </c>
      <c r="B1561" s="138">
        <f>'Expenditures 15-22'!K313</f>
        <v>146101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2701221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3206956</v>
      </c>
      <c r="C1630" s="2" t="s">
        <v>594</v>
      </c>
      <c r="D1630" s="2" t="str">
        <f t="shared" si="24"/>
        <v>Error?</v>
      </c>
    </row>
    <row r="1631" spans="1:4" x14ac:dyDescent="0.2">
      <c r="A1631" s="5">
        <v>1570</v>
      </c>
      <c r="B1631" s="138">
        <f>'Acct Summary 7-8'!D79</f>
        <v>426640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554572</v>
      </c>
      <c r="C1644" s="2" t="s">
        <v>594</v>
      </c>
      <c r="D1644" s="2" t="str">
        <f t="shared" si="24"/>
        <v>Error?</v>
      </c>
    </row>
    <row r="1645" spans="1:4" x14ac:dyDescent="0.2">
      <c r="A1645" s="5">
        <v>1584</v>
      </c>
      <c r="B1645" s="138">
        <f>'Acct Summary 7-8'!E79</f>
        <v>238253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253742</v>
      </c>
      <c r="C1658" s="2" t="s">
        <v>594</v>
      </c>
      <c r="D1658" s="2" t="str">
        <f t="shared" si="24"/>
        <v>Error?</v>
      </c>
    </row>
    <row r="1659" spans="1:4" x14ac:dyDescent="0.2">
      <c r="A1659" s="5">
        <v>1598</v>
      </c>
      <c r="B1659" s="138">
        <f>'Acct Summary 7-8'!F79</f>
        <v>268209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379674</v>
      </c>
      <c r="C1672" s="2" t="s">
        <v>594</v>
      </c>
      <c r="D1672" s="2" t="str">
        <f t="shared" si="25"/>
        <v>Error?</v>
      </c>
    </row>
    <row r="1673" spans="1:4" x14ac:dyDescent="0.2">
      <c r="A1673" s="5">
        <v>1612</v>
      </c>
      <c r="B1673" s="138">
        <f>'Acct Summary 7-8'!G79</f>
        <v>280362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304258</v>
      </c>
      <c r="C1686" s="2" t="s">
        <v>594</v>
      </c>
      <c r="D1686" s="2" t="str">
        <f t="shared" si="25"/>
        <v>Error?</v>
      </c>
    </row>
    <row r="1687" spans="1:4" x14ac:dyDescent="0.2">
      <c r="A1687" s="5">
        <v>1626</v>
      </c>
      <c r="B1687" s="138">
        <f>'Acct Summary 7-8'!H79</f>
        <v>7507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153608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2606098</v>
      </c>
      <c r="C1744" s="2" t="s">
        <v>594</v>
      </c>
      <c r="D1744" s="2" t="str">
        <f t="shared" si="26"/>
        <v>Error?</v>
      </c>
    </row>
    <row r="1745" spans="1:5" x14ac:dyDescent="0.2">
      <c r="A1745" s="5">
        <v>1684</v>
      </c>
      <c r="B1745" s="138">
        <f>'Tax Sched 23'!B5</f>
        <v>520521</v>
      </c>
      <c r="C1745" s="2" t="s">
        <v>594</v>
      </c>
      <c r="D1745" s="2" t="str">
        <f t="shared" si="26"/>
        <v>Error?</v>
      </c>
    </row>
    <row r="1746" spans="1:5" x14ac:dyDescent="0.2">
      <c r="A1746" s="5">
        <v>1685</v>
      </c>
      <c r="B1746" s="138">
        <f>'Tax Sched 23'!B6</f>
        <v>643976</v>
      </c>
      <c r="C1746" s="2" t="s">
        <v>594</v>
      </c>
      <c r="D1746" s="2" t="str">
        <f t="shared" si="26"/>
        <v>Error?</v>
      </c>
    </row>
    <row r="1747" spans="1:5" x14ac:dyDescent="0.2">
      <c r="A1747" s="5">
        <v>1686</v>
      </c>
      <c r="B1747" s="138">
        <f>'Tax Sched 23'!B7</f>
        <v>139737</v>
      </c>
      <c r="C1747" s="2" t="s">
        <v>594</v>
      </c>
      <c r="D1747" s="2" t="str">
        <f t="shared" si="26"/>
        <v>Error?</v>
      </c>
    </row>
    <row r="1748" spans="1:5" x14ac:dyDescent="0.2">
      <c r="A1748" s="5">
        <v>1687</v>
      </c>
      <c r="B1748" s="138">
        <f>'Tax Sched 23'!B8</f>
        <v>86697</v>
      </c>
      <c r="C1748" s="2" t="s">
        <v>594</v>
      </c>
      <c r="D1748" s="2" t="str">
        <f t="shared" si="26"/>
        <v>Error?</v>
      </c>
    </row>
    <row r="1749" spans="1:5" x14ac:dyDescent="0.2">
      <c r="A1749" s="5">
        <v>1688</v>
      </c>
      <c r="B1749" s="138">
        <f>'Tax Sched 23'!B10</f>
        <v>34935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217231</v>
      </c>
      <c r="C1752" s="2" t="s">
        <v>594</v>
      </c>
      <c r="D1752" s="2" t="str">
        <f t="shared" si="26"/>
        <v>Error?</v>
      </c>
    </row>
    <row r="1753" spans="1:5" x14ac:dyDescent="0.2">
      <c r="A1753" s="5">
        <v>1692</v>
      </c>
      <c r="B1753" s="138">
        <f>'Tax Sched 23'!B12</f>
        <v>34932</v>
      </c>
      <c r="C1753" s="2" t="s">
        <v>594</v>
      </c>
      <c r="D1753" s="2" t="str">
        <f t="shared" si="26"/>
        <v>Error?</v>
      </c>
    </row>
    <row r="1754" spans="1:5" x14ac:dyDescent="0.2">
      <c r="A1754" s="5">
        <v>1693</v>
      </c>
      <c r="B1754" s="138">
        <f>'Tax Sched 23'!B14</f>
        <v>27947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4449211</v>
      </c>
      <c r="C1759" s="2" t="s">
        <v>594</v>
      </c>
      <c r="D1759" s="2" t="str">
        <f t="shared" si="26"/>
        <v>Error?</v>
      </c>
    </row>
    <row r="1760" spans="1:5" x14ac:dyDescent="0.2">
      <c r="A1760" s="5">
        <v>1699</v>
      </c>
      <c r="B1760" s="138">
        <f>'Tax Sched 23'!D4</f>
        <v>1163952</v>
      </c>
      <c r="C1760" s="2" t="s">
        <v>594</v>
      </c>
      <c r="D1760" s="2" t="str">
        <f t="shared" si="26"/>
        <v>Error?</v>
      </c>
    </row>
    <row r="1761" spans="1:5" x14ac:dyDescent="0.2">
      <c r="A1761" s="5">
        <v>1700</v>
      </c>
      <c r="B1761" s="138">
        <f>'Tax Sched 23'!D5</f>
        <v>232479</v>
      </c>
      <c r="C1761" s="2" t="s">
        <v>594</v>
      </c>
      <c r="D1761" s="2" t="str">
        <f t="shared" si="26"/>
        <v>Error?</v>
      </c>
    </row>
    <row r="1762" spans="1:5" s="8" customFormat="1" x14ac:dyDescent="0.2">
      <c r="A1762" s="5">
        <v>1701</v>
      </c>
      <c r="B1762" s="138">
        <f>'Tax Sched 23'!D6</f>
        <v>291296</v>
      </c>
      <c r="C1762" s="2" t="s">
        <v>594</v>
      </c>
      <c r="D1762" s="2" t="str">
        <f t="shared" si="26"/>
        <v>Error?</v>
      </c>
      <c r="E1762" s="9"/>
    </row>
    <row r="1763" spans="1:5" x14ac:dyDescent="0.2">
      <c r="A1763" s="5">
        <v>1702</v>
      </c>
      <c r="B1763" s="138">
        <f>'Tax Sched 23'!D7</f>
        <v>62410</v>
      </c>
      <c r="C1763" s="2" t="s">
        <v>594</v>
      </c>
      <c r="D1763" s="2" t="str">
        <f t="shared" si="26"/>
        <v>Error?</v>
      </c>
    </row>
    <row r="1764" spans="1:5" x14ac:dyDescent="0.2">
      <c r="A1764" s="5">
        <v>1703</v>
      </c>
      <c r="B1764" s="138">
        <f>'Tax Sched 23'!D8</f>
        <v>39419</v>
      </c>
      <c r="C1764" s="2" t="s">
        <v>594</v>
      </c>
      <c r="D1764" s="2" t="str">
        <f t="shared" si="26"/>
        <v>Error?</v>
      </c>
    </row>
    <row r="1765" spans="1:5" x14ac:dyDescent="0.2">
      <c r="A1765" s="5">
        <v>1704</v>
      </c>
      <c r="B1765" s="138">
        <f>'Tax Sched 23'!D10</f>
        <v>15603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117785</v>
      </c>
      <c r="C1768" s="2" t="s">
        <v>594</v>
      </c>
      <c r="D1768" s="2" t="str">
        <f t="shared" si="26"/>
        <v>Error?</v>
      </c>
    </row>
    <row r="1769" spans="1:5" x14ac:dyDescent="0.2">
      <c r="A1769" s="5">
        <v>1708</v>
      </c>
      <c r="B1769" s="138">
        <f>'Tax Sched 23'!D12</f>
        <v>15600</v>
      </c>
      <c r="C1769" s="2" t="s">
        <v>594</v>
      </c>
      <c r="D1769" s="2" t="str">
        <f t="shared" si="26"/>
        <v>Error?</v>
      </c>
    </row>
    <row r="1770" spans="1:5" x14ac:dyDescent="0.2">
      <c r="A1770" s="5">
        <v>1709</v>
      </c>
      <c r="B1770" s="138">
        <f>'Tax Sched 23'!D14</f>
        <v>12482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2009673</v>
      </c>
      <c r="C1775" s="2" t="s">
        <v>594</v>
      </c>
      <c r="D1775" s="2" t="str">
        <f t="shared" si="26"/>
        <v>Error?</v>
      </c>
    </row>
    <row r="1776" spans="1:5" x14ac:dyDescent="0.2">
      <c r="A1776" s="5">
        <v>1715</v>
      </c>
      <c r="B1776" s="138">
        <f>'Tax Sched 23'!C4</f>
        <v>1442146</v>
      </c>
      <c r="D1776" s="2" t="str">
        <f t="shared" si="26"/>
        <v>Error?</v>
      </c>
    </row>
    <row r="1777" spans="1:4" x14ac:dyDescent="0.2">
      <c r="A1777" s="5">
        <v>1716</v>
      </c>
      <c r="B1777" s="138">
        <f>'Tax Sched 23'!C5</f>
        <v>288042</v>
      </c>
      <c r="D1777" s="2" t="str">
        <f t="shared" si="26"/>
        <v>Error?</v>
      </c>
    </row>
    <row r="1778" spans="1:4" x14ac:dyDescent="0.2">
      <c r="A1778" s="5">
        <v>1717</v>
      </c>
      <c r="B1778" s="138">
        <f>'Tax Sched 23'!C6</f>
        <v>352680</v>
      </c>
      <c r="D1778" s="2" t="str">
        <f t="shared" si="26"/>
        <v>Error?</v>
      </c>
    </row>
    <row r="1779" spans="1:4" x14ac:dyDescent="0.2">
      <c r="A1779" s="5">
        <v>1718</v>
      </c>
      <c r="B1779" s="138">
        <f>'Tax Sched 23'!C7</f>
        <v>77327</v>
      </c>
      <c r="D1779" s="2" t="str">
        <f t="shared" si="26"/>
        <v>Error?</v>
      </c>
    </row>
    <row r="1780" spans="1:4" x14ac:dyDescent="0.2">
      <c r="A1780" s="5">
        <v>1719</v>
      </c>
      <c r="B1780" s="138">
        <f>'Tax Sched 23'!C8</f>
        <v>47278</v>
      </c>
      <c r="D1780" s="2" t="str">
        <f t="shared" si="26"/>
        <v>Error?</v>
      </c>
    </row>
    <row r="1781" spans="1:4" x14ac:dyDescent="0.2">
      <c r="A1781" s="5">
        <v>1720</v>
      </c>
      <c r="B1781" s="138">
        <f>'Tax Sched 23'!C10</f>
        <v>19332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99446</v>
      </c>
      <c r="D1784" s="2" t="str">
        <f t="shared" si="26"/>
        <v>Error?</v>
      </c>
    </row>
    <row r="1785" spans="1:4" x14ac:dyDescent="0.2">
      <c r="A1785" s="5">
        <v>1724</v>
      </c>
      <c r="B1785" s="138">
        <f>'Tax Sched 23'!C12</f>
        <v>19332</v>
      </c>
      <c r="D1785" s="2" t="str">
        <f t="shared" si="26"/>
        <v>Error?</v>
      </c>
    </row>
    <row r="1786" spans="1:4" x14ac:dyDescent="0.2">
      <c r="A1786" s="5">
        <v>1725</v>
      </c>
      <c r="B1786" s="138">
        <f>'Tax Sched 23'!C14</f>
        <v>15465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2439538</v>
      </c>
      <c r="C1791" s="2" t="s">
        <v>594</v>
      </c>
      <c r="D1791" s="2" t="str">
        <f t="shared" ref="D1791:D1854" si="27">IF(ISBLANK(B1791),"OK",IF(A1791-B1791=0,"OK","Error?"))</f>
        <v>Error?</v>
      </c>
    </row>
    <row r="1792" spans="1:4" x14ac:dyDescent="0.2">
      <c r="A1792" s="5">
        <v>1731</v>
      </c>
      <c r="B1792" s="138">
        <f>'Tax Sched 23'!F4</f>
        <v>1236546</v>
      </c>
      <c r="C1792" s="2" t="s">
        <v>594</v>
      </c>
      <c r="D1792" s="2" t="str">
        <f t="shared" si="27"/>
        <v>Error?</v>
      </c>
    </row>
    <row r="1793" spans="1:4" x14ac:dyDescent="0.2">
      <c r="A1793" s="5">
        <v>1732</v>
      </c>
      <c r="B1793" s="138">
        <f>'Tax Sched 23'!F5</f>
        <v>246978</v>
      </c>
      <c r="C1793" s="2" t="s">
        <v>594</v>
      </c>
      <c r="D1793" s="2" t="str">
        <f t="shared" si="27"/>
        <v>Error?</v>
      </c>
    </row>
    <row r="1794" spans="1:4" x14ac:dyDescent="0.2">
      <c r="A1794" s="5">
        <v>1733</v>
      </c>
      <c r="B1794" s="138">
        <f>'Tax Sched 23'!F6</f>
        <v>302400</v>
      </c>
      <c r="C1794" s="2" t="s">
        <v>594</v>
      </c>
      <c r="D1794" s="2" t="str">
        <f t="shared" si="27"/>
        <v>Error?</v>
      </c>
    </row>
    <row r="1795" spans="1:4" x14ac:dyDescent="0.2">
      <c r="A1795" s="5">
        <v>1734</v>
      </c>
      <c r="B1795" s="138">
        <f>'Tax Sched 23'!F7</f>
        <v>66303</v>
      </c>
      <c r="C1795" s="2" t="s">
        <v>594</v>
      </c>
      <c r="D1795" s="2" t="str">
        <f t="shared" si="27"/>
        <v>Error?</v>
      </c>
    </row>
    <row r="1796" spans="1:4" x14ac:dyDescent="0.2">
      <c r="A1796" s="5">
        <v>1735</v>
      </c>
      <c r="B1796" s="138">
        <f>'Tax Sched 23'!F8</f>
        <v>40537</v>
      </c>
      <c r="C1796" s="2" t="s">
        <v>594</v>
      </c>
      <c r="D1796" s="2" t="str">
        <f t="shared" si="27"/>
        <v>Error?</v>
      </c>
    </row>
    <row r="1797" spans="1:4" x14ac:dyDescent="0.2">
      <c r="A1797" s="5">
        <v>1736</v>
      </c>
      <c r="B1797" s="138">
        <f>'Tax Sched 23'!F10</f>
        <v>16575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85269</v>
      </c>
      <c r="C1800" s="2" t="s">
        <v>594</v>
      </c>
      <c r="D1800" s="2" t="str">
        <f t="shared" si="27"/>
        <v>Error?</v>
      </c>
    </row>
    <row r="1801" spans="1:4" x14ac:dyDescent="0.2">
      <c r="A1801" s="5">
        <v>1740</v>
      </c>
      <c r="B1801" s="138">
        <f>'Tax Sched 23'!F12</f>
        <v>16575</v>
      </c>
      <c r="C1801" s="2" t="s">
        <v>594</v>
      </c>
      <c r="D1801" s="2" t="str">
        <f t="shared" si="27"/>
        <v>Error?</v>
      </c>
    </row>
    <row r="1802" spans="1:4" x14ac:dyDescent="0.2">
      <c r="A1802" s="5">
        <v>1741</v>
      </c>
      <c r="B1802" s="138">
        <f>'Tax Sched 23'!F14</f>
        <v>13261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2091745</v>
      </c>
      <c r="C1807" s="2" t="s">
        <v>594</v>
      </c>
      <c r="D1807" s="2" t="str">
        <f t="shared" si="27"/>
        <v>Error?</v>
      </c>
    </row>
    <row r="1808" spans="1:4" x14ac:dyDescent="0.2">
      <c r="A1808" s="5">
        <v>1747</v>
      </c>
      <c r="B1808" s="138">
        <f>'Tax Sched 23'!E4</f>
        <v>2678692</v>
      </c>
      <c r="D1808" s="2" t="str">
        <f t="shared" si="27"/>
        <v>Error?</v>
      </c>
    </row>
    <row r="1809" spans="1:4" x14ac:dyDescent="0.2">
      <c r="A1809" s="5">
        <v>1748</v>
      </c>
      <c r="B1809" s="138">
        <f>'Tax Sched 23'!E5</f>
        <v>535020</v>
      </c>
      <c r="D1809" s="2" t="str">
        <f t="shared" si="27"/>
        <v>Error?</v>
      </c>
    </row>
    <row r="1810" spans="1:4" x14ac:dyDescent="0.2">
      <c r="A1810" s="5">
        <v>1749</v>
      </c>
      <c r="B1810" s="138">
        <f>'Tax Sched 23'!E6</f>
        <v>655080</v>
      </c>
      <c r="D1810" s="2" t="str">
        <f t="shared" si="27"/>
        <v>Error?</v>
      </c>
    </row>
    <row r="1811" spans="1:4" x14ac:dyDescent="0.2">
      <c r="A1811" s="5">
        <v>1750</v>
      </c>
      <c r="B1811" s="138">
        <f>'Tax Sched 23'!E7</f>
        <v>143630</v>
      </c>
      <c r="D1811" s="2" t="str">
        <f t="shared" si="27"/>
        <v>Error?</v>
      </c>
    </row>
    <row r="1812" spans="1:4" x14ac:dyDescent="0.2">
      <c r="A1812" s="5">
        <v>1751</v>
      </c>
      <c r="B1812" s="138">
        <f>'Tax Sched 23'!E8</f>
        <v>87815</v>
      </c>
      <c r="D1812" s="2" t="str">
        <f t="shared" si="27"/>
        <v>Error?</v>
      </c>
    </row>
    <row r="1813" spans="1:4" x14ac:dyDescent="0.2">
      <c r="A1813" s="5">
        <v>1752</v>
      </c>
      <c r="B1813" s="138">
        <f>'Tax Sched 23'!E10</f>
        <v>35907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184715</v>
      </c>
      <c r="D1816" s="2" t="str">
        <f t="shared" si="27"/>
        <v>Error?</v>
      </c>
    </row>
    <row r="1817" spans="1:4" x14ac:dyDescent="0.2">
      <c r="A1817" s="5">
        <v>1756</v>
      </c>
      <c r="B1817" s="138">
        <f>'Tax Sched 23'!E12</f>
        <v>35907</v>
      </c>
      <c r="D1817" s="2" t="str">
        <f t="shared" si="27"/>
        <v>Error?</v>
      </c>
    </row>
    <row r="1818" spans="1:4" x14ac:dyDescent="0.2">
      <c r="A1818" s="5">
        <v>1757</v>
      </c>
      <c r="B1818" s="138">
        <f>'Tax Sched 23'!E14</f>
        <v>28726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4531283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5950000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27947</v>
      </c>
      <c r="D1972" s="2" t="str">
        <f t="shared" si="29"/>
        <v>Error?</v>
      </c>
    </row>
    <row r="1973" spans="1:5" x14ac:dyDescent="0.2">
      <c r="A1973" s="5">
        <v>1912</v>
      </c>
      <c r="B1973" s="138">
        <f>'Rest Tax Levies-Tort Im 25'!H6</f>
        <v>10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27957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27957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347082</v>
      </c>
      <c r="D2008" s="2" t="str">
        <f t="shared" si="30"/>
        <v>Error?</v>
      </c>
    </row>
    <row r="2009" spans="1:4" x14ac:dyDescent="0.2">
      <c r="A2009" s="5">
        <v>1948</v>
      </c>
      <c r="B2009" s="138">
        <f>'Cap Outlay Deprec 26'!C8</f>
        <v>12791264</v>
      </c>
      <c r="D2009" s="2" t="str">
        <f t="shared" si="30"/>
        <v>Error?</v>
      </c>
    </row>
    <row r="2010" spans="1:4" x14ac:dyDescent="0.2">
      <c r="A2010" s="5">
        <v>1949</v>
      </c>
      <c r="B2010" s="138">
        <f>'Cap Outlay Deprec 26'!C10</f>
        <v>687954</v>
      </c>
      <c r="D2010" s="2" t="str">
        <f t="shared" si="30"/>
        <v>Error?</v>
      </c>
    </row>
    <row r="2011" spans="1:4" x14ac:dyDescent="0.2">
      <c r="A2011" s="5">
        <v>1950</v>
      </c>
      <c r="B2011" s="138">
        <f>'Cap Outlay Deprec 26'!C12</f>
        <v>1098864</v>
      </c>
      <c r="D2011" s="2" t="str">
        <f t="shared" si="30"/>
        <v>Error?</v>
      </c>
    </row>
    <row r="2012" spans="1:4" x14ac:dyDescent="0.2">
      <c r="A2012" s="5">
        <v>1951</v>
      </c>
      <c r="B2012" s="138">
        <f>'Cap Outlay Deprec 26'!C13</f>
        <v>445030</v>
      </c>
      <c r="D2012" s="2" t="str">
        <f t="shared" si="30"/>
        <v>Error?</v>
      </c>
    </row>
    <row r="2013" spans="1:4" x14ac:dyDescent="0.2">
      <c r="A2013" s="5">
        <v>1952</v>
      </c>
      <c r="B2013" s="138">
        <f>'Cap Outlay Deprec 26'!C16</f>
        <v>15372767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25688</v>
      </c>
      <c r="D2015" s="2" t="str">
        <f t="shared" si="30"/>
        <v>Error?</v>
      </c>
    </row>
    <row r="2016" spans="1:4" x14ac:dyDescent="0.2">
      <c r="A2016" s="5">
        <v>1955</v>
      </c>
      <c r="B2016" s="138">
        <f>'Cap Outlay Deprec 26'!D10</f>
        <v>7875</v>
      </c>
      <c r="D2016" s="2" t="str">
        <f t="shared" si="30"/>
        <v>Error?</v>
      </c>
    </row>
    <row r="2017" spans="1:4" x14ac:dyDescent="0.2">
      <c r="A2017" s="5">
        <v>1956</v>
      </c>
      <c r="B2017" s="138">
        <f>'Cap Outlay Deprec 26'!D12</f>
        <v>43657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77220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220410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220410</v>
      </c>
      <c r="C2025" s="2" t="s">
        <v>594</v>
      </c>
      <c r="D2025" s="2" t="str">
        <f t="shared" si="30"/>
        <v>Error?</v>
      </c>
    </row>
    <row r="2026" spans="1:4" x14ac:dyDescent="0.2">
      <c r="A2026" s="5">
        <v>1965</v>
      </c>
      <c r="B2026" s="138">
        <f>'Cap Outlay Deprec 26'!F5</f>
        <v>347082</v>
      </c>
      <c r="C2026" s="2" t="s">
        <v>594</v>
      </c>
      <c r="D2026" s="2" t="str">
        <f t="shared" si="30"/>
        <v>Error?</v>
      </c>
    </row>
    <row r="2027" spans="1:4" x14ac:dyDescent="0.2">
      <c r="A2027" s="5">
        <v>1966</v>
      </c>
      <c r="B2027" s="138">
        <f>'Cap Outlay Deprec 26'!F8</f>
        <v>12816952</v>
      </c>
      <c r="C2027" s="2" t="s">
        <v>594</v>
      </c>
      <c r="D2027" s="2" t="str">
        <f t="shared" si="30"/>
        <v>Error?</v>
      </c>
    </row>
    <row r="2028" spans="1:4" x14ac:dyDescent="0.2">
      <c r="A2028" s="5">
        <v>1967</v>
      </c>
      <c r="B2028" s="138">
        <f>'Cap Outlay Deprec 26'!F10</f>
        <v>695829</v>
      </c>
      <c r="C2028" s="2" t="s">
        <v>594</v>
      </c>
      <c r="D2028" s="2" t="str">
        <f t="shared" si="30"/>
        <v>Error?</v>
      </c>
    </row>
    <row r="2029" spans="1:4" x14ac:dyDescent="0.2">
      <c r="A2029" s="5">
        <v>1968</v>
      </c>
      <c r="B2029" s="138">
        <f>'Cap Outlay Deprec 26'!F12</f>
        <v>922111</v>
      </c>
      <c r="C2029" s="2" t="s">
        <v>594</v>
      </c>
      <c r="D2029" s="2" t="str">
        <f t="shared" si="30"/>
        <v>Error?</v>
      </c>
    </row>
    <row r="2030" spans="1:4" x14ac:dyDescent="0.2">
      <c r="A2030" s="5">
        <v>1969</v>
      </c>
      <c r="B2030" s="138">
        <f>'Cap Outlay Deprec 26'!F13</f>
        <v>445030</v>
      </c>
      <c r="C2030" s="2" t="s">
        <v>594</v>
      </c>
      <c r="D2030" s="2" t="str">
        <f t="shared" si="30"/>
        <v>Error?</v>
      </c>
    </row>
    <row r="2031" spans="1:4" x14ac:dyDescent="0.2">
      <c r="A2031" s="5">
        <v>1970</v>
      </c>
      <c r="B2031" s="138">
        <f>'Cap Outlay Deprec 26'!F16</f>
        <v>15229577</v>
      </c>
      <c r="C2031" s="2" t="s">
        <v>594</v>
      </c>
      <c r="D2031" s="2" t="str">
        <f t="shared" si="30"/>
        <v>Error?</v>
      </c>
    </row>
    <row r="2032" spans="1:4" x14ac:dyDescent="0.2">
      <c r="A2032" s="10">
        <v>1971</v>
      </c>
      <c r="D2032" s="2" t="str">
        <f t="shared" si="30"/>
        <v>OK</v>
      </c>
    </row>
    <row r="2033" spans="1:4" x14ac:dyDescent="0.2">
      <c r="A2033" s="5">
        <v>1972</v>
      </c>
      <c r="B2033" s="138">
        <f>'Cap Outlay Deprec 26'!H8</f>
        <v>4327148</v>
      </c>
      <c r="D2033" s="2" t="str">
        <f t="shared" si="30"/>
        <v>Error?</v>
      </c>
    </row>
    <row r="2034" spans="1:4" x14ac:dyDescent="0.2">
      <c r="A2034" s="5">
        <v>1973</v>
      </c>
      <c r="B2034" s="138">
        <f>'Cap Outlay Deprec 26'!H10</f>
        <v>341833</v>
      </c>
      <c r="D2034" s="2" t="str">
        <f t="shared" si="30"/>
        <v>Error?</v>
      </c>
    </row>
    <row r="2035" spans="1:4" x14ac:dyDescent="0.2">
      <c r="A2035" s="5">
        <v>1974</v>
      </c>
      <c r="B2035" s="138">
        <f>'Cap Outlay Deprec 26'!H12</f>
        <v>649616</v>
      </c>
      <c r="D2035" s="2" t="str">
        <f t="shared" si="30"/>
        <v>Error?</v>
      </c>
    </row>
    <row r="2036" spans="1:4" x14ac:dyDescent="0.2">
      <c r="A2036" s="5">
        <v>1975</v>
      </c>
      <c r="B2036" s="138">
        <f>'Cap Outlay Deprec 26'!H13</f>
        <v>431971</v>
      </c>
      <c r="D2036" s="2" t="str">
        <f t="shared" si="30"/>
        <v>Error?</v>
      </c>
    </row>
    <row r="2037" spans="1:4" x14ac:dyDescent="0.2">
      <c r="A2037" s="5">
        <v>1976</v>
      </c>
      <c r="B2037" s="138">
        <f>'Cap Outlay Deprec 26'!H16</f>
        <v>5753141</v>
      </c>
      <c r="C2037" s="2" t="s">
        <v>594</v>
      </c>
      <c r="D2037" s="2" t="str">
        <f t="shared" si="30"/>
        <v>Error?</v>
      </c>
    </row>
    <row r="2038" spans="1:4" x14ac:dyDescent="0.2">
      <c r="A2038" s="10">
        <v>1977</v>
      </c>
      <c r="D2038" s="2" t="str">
        <f t="shared" si="30"/>
        <v>OK</v>
      </c>
    </row>
    <row r="2039" spans="1:4" x14ac:dyDescent="0.2">
      <c r="A2039" s="5">
        <v>1978</v>
      </c>
      <c r="B2039" s="138">
        <f>'Cap Outlay Deprec 26'!I8</f>
        <v>256338</v>
      </c>
      <c r="D2039" s="2" t="str">
        <f t="shared" si="30"/>
        <v>Error?</v>
      </c>
    </row>
    <row r="2040" spans="1:4" x14ac:dyDescent="0.2">
      <c r="A2040" s="5">
        <v>1979</v>
      </c>
      <c r="B2040" s="138">
        <f>'Cap Outlay Deprec 26'!I10</f>
        <v>24868</v>
      </c>
      <c r="D2040" s="2" t="str">
        <f t="shared" si="30"/>
        <v>Error?</v>
      </c>
    </row>
    <row r="2041" spans="1:4" x14ac:dyDescent="0.2">
      <c r="A2041" s="5">
        <v>1980</v>
      </c>
      <c r="B2041" s="138">
        <f>'Cap Outlay Deprec 26'!I12</f>
        <v>92208</v>
      </c>
      <c r="D2041" s="2" t="str">
        <f t="shared" si="30"/>
        <v>Error?</v>
      </c>
    </row>
    <row r="2042" spans="1:4" x14ac:dyDescent="0.2">
      <c r="A2042" s="5">
        <v>1981</v>
      </c>
      <c r="B2042" s="138">
        <f>'Cap Outlay Deprec 26'!I13</f>
        <v>3265</v>
      </c>
      <c r="D2042" s="2" t="str">
        <f t="shared" si="30"/>
        <v>Error?</v>
      </c>
    </row>
    <row r="2043" spans="1:4" x14ac:dyDescent="0.2">
      <c r="A2043" s="5">
        <v>1982</v>
      </c>
      <c r="B2043" s="138">
        <f>'Cap Outlay Deprec 26'!I16</f>
        <v>376679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220410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220410</v>
      </c>
      <c r="C2049" s="2" t="s">
        <v>594</v>
      </c>
      <c r="D2049" s="2" t="str">
        <f t="shared" si="31"/>
        <v>Error?</v>
      </c>
    </row>
    <row r="2050" spans="1:4" x14ac:dyDescent="0.2">
      <c r="A2050" s="10">
        <v>1989</v>
      </c>
      <c r="D2050" s="2" t="str">
        <f t="shared" si="31"/>
        <v>OK</v>
      </c>
    </row>
    <row r="2051" spans="1:4" x14ac:dyDescent="0.2">
      <c r="A2051" s="5">
        <v>1990</v>
      </c>
      <c r="B2051" s="138">
        <f>'Cap Outlay Deprec 26'!K8</f>
        <v>4583486</v>
      </c>
      <c r="C2051" s="2" t="s">
        <v>594</v>
      </c>
      <c r="D2051" s="2" t="str">
        <f t="shared" si="31"/>
        <v>Error?</v>
      </c>
    </row>
    <row r="2052" spans="1:4" x14ac:dyDescent="0.2">
      <c r="A2052" s="5">
        <v>1991</v>
      </c>
      <c r="B2052" s="138">
        <f>'Cap Outlay Deprec 26'!K10</f>
        <v>366701</v>
      </c>
      <c r="C2052" s="2" t="s">
        <v>594</v>
      </c>
      <c r="D2052" s="2" t="str">
        <f t="shared" si="31"/>
        <v>Error?</v>
      </c>
    </row>
    <row r="2053" spans="1:4" x14ac:dyDescent="0.2">
      <c r="A2053" s="5">
        <v>1992</v>
      </c>
      <c r="B2053" s="138">
        <f>'Cap Outlay Deprec 26'!K12</f>
        <v>521414</v>
      </c>
      <c r="C2053" s="2" t="s">
        <v>594</v>
      </c>
      <c r="D2053" s="2" t="str">
        <f t="shared" si="31"/>
        <v>Error?</v>
      </c>
    </row>
    <row r="2054" spans="1:4" x14ac:dyDescent="0.2">
      <c r="A2054" s="5">
        <v>1993</v>
      </c>
      <c r="B2054" s="138">
        <f>'Cap Outlay Deprec 26'!K13</f>
        <v>435236</v>
      </c>
      <c r="C2054" s="2" t="s">
        <v>594</v>
      </c>
      <c r="D2054" s="2" t="str">
        <f t="shared" si="31"/>
        <v>Error?</v>
      </c>
    </row>
    <row r="2055" spans="1:4" x14ac:dyDescent="0.2">
      <c r="A2055" s="5">
        <v>1994</v>
      </c>
      <c r="B2055" s="138">
        <f>'Cap Outlay Deprec 26'!K16</f>
        <v>5909410</v>
      </c>
      <c r="C2055" s="2" t="s">
        <v>594</v>
      </c>
      <c r="D2055" s="2" t="str">
        <f t="shared" si="31"/>
        <v>Error?</v>
      </c>
    </row>
    <row r="2056" spans="1:4" x14ac:dyDescent="0.2">
      <c r="A2056" s="5">
        <v>1995</v>
      </c>
      <c r="B2056" s="138">
        <f>'Cap Outlay Deprec 26'!L5</f>
        <v>347082</v>
      </c>
      <c r="C2056" s="2" t="s">
        <v>594</v>
      </c>
      <c r="D2056" s="2" t="str">
        <f t="shared" si="31"/>
        <v>Error?</v>
      </c>
    </row>
    <row r="2057" spans="1:4" x14ac:dyDescent="0.2">
      <c r="A2057" s="5">
        <v>1996</v>
      </c>
      <c r="B2057" s="138">
        <f>'Cap Outlay Deprec 26'!L8</f>
        <v>8233466</v>
      </c>
      <c r="C2057" s="2" t="s">
        <v>594</v>
      </c>
      <c r="D2057" s="2" t="str">
        <f t="shared" si="31"/>
        <v>Error?</v>
      </c>
    </row>
    <row r="2058" spans="1:4" x14ac:dyDescent="0.2">
      <c r="A2058" s="5">
        <v>1997</v>
      </c>
      <c r="B2058" s="138">
        <f>'Cap Outlay Deprec 26'!L10</f>
        <v>329128</v>
      </c>
      <c r="C2058" s="2" t="s">
        <v>594</v>
      </c>
      <c r="D2058" s="2" t="str">
        <f t="shared" si="31"/>
        <v>Error?</v>
      </c>
    </row>
    <row r="2059" spans="1:4" x14ac:dyDescent="0.2">
      <c r="A2059" s="5">
        <v>1998</v>
      </c>
      <c r="B2059" s="138">
        <f>'Cap Outlay Deprec 26'!L12</f>
        <v>400697</v>
      </c>
      <c r="C2059" s="2" t="s">
        <v>594</v>
      </c>
      <c r="D2059" s="2" t="str">
        <f t="shared" si="31"/>
        <v>Error?</v>
      </c>
    </row>
    <row r="2060" spans="1:4" x14ac:dyDescent="0.2">
      <c r="A2060" s="5">
        <v>1999</v>
      </c>
      <c r="B2060" s="138">
        <f>'Cap Outlay Deprec 26'!L13</f>
        <v>9794</v>
      </c>
      <c r="C2060" s="2" t="s">
        <v>594</v>
      </c>
      <c r="D2060" s="2" t="str">
        <f t="shared" si="31"/>
        <v>Error?</v>
      </c>
    </row>
    <row r="2061" spans="1:4" x14ac:dyDescent="0.2">
      <c r="A2061" s="5">
        <v>2000</v>
      </c>
      <c r="B2061" s="138">
        <f>'Cap Outlay Deprec 26'!L16</f>
        <v>9320167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32617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56865</v>
      </c>
      <c r="C2088" s="2" t="s">
        <v>594</v>
      </c>
      <c r="D2088" s="2" t="str">
        <f t="shared" si="31"/>
        <v>Error?</v>
      </c>
    </row>
    <row r="2089" spans="1:4" x14ac:dyDescent="0.2">
      <c r="A2089" s="5">
        <v>2028</v>
      </c>
      <c r="B2089" s="138">
        <f>'Expenditures 15-22'!K92</f>
        <v>84558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57771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161155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3610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2942275</v>
      </c>
      <c r="C2551" s="2" t="s">
        <v>594</v>
      </c>
      <c r="D2551" s="2" t="str">
        <f t="shared" si="38"/>
        <v>Error?</v>
      </c>
    </row>
    <row r="2552" spans="1:4" x14ac:dyDescent="0.2">
      <c r="A2552" s="10">
        <v>2491</v>
      </c>
      <c r="D2552" s="2" t="str">
        <f t="shared" si="38"/>
        <v>OK</v>
      </c>
    </row>
    <row r="2553" spans="1:4" x14ac:dyDescent="0.2">
      <c r="A2553" s="5">
        <v>2492</v>
      </c>
      <c r="B2553" s="138">
        <f>'Acct Summary 7-8'!C6</f>
        <v>1615988</v>
      </c>
      <c r="C2553" s="2" t="s">
        <v>594</v>
      </c>
      <c r="D2553" s="2" t="str">
        <f t="shared" si="38"/>
        <v>Error?</v>
      </c>
    </row>
    <row r="2554" spans="1:4" x14ac:dyDescent="0.2">
      <c r="A2554" s="5">
        <v>2493</v>
      </c>
      <c r="B2554" s="138">
        <f>'Acct Summary 7-8'!C7</f>
        <v>386776</v>
      </c>
      <c r="C2554" s="2" t="s">
        <v>594</v>
      </c>
      <c r="D2554" s="2" t="str">
        <f t="shared" si="38"/>
        <v>Error?</v>
      </c>
    </row>
    <row r="2555" spans="1:4" x14ac:dyDescent="0.2">
      <c r="A2555" s="5">
        <v>2494</v>
      </c>
      <c r="B2555" s="138">
        <f>'Acct Summary 7-8'!C8</f>
        <v>4945039</v>
      </c>
      <c r="C2555" s="2" t="s">
        <v>594</v>
      </c>
      <c r="D2555" s="2" t="str">
        <f t="shared" si="38"/>
        <v>Error?</v>
      </c>
    </row>
    <row r="2556" spans="1:4" x14ac:dyDescent="0.2">
      <c r="A2556" s="5">
        <v>2495</v>
      </c>
      <c r="B2556" s="138">
        <f>'Acct Summary 7-8'!C12</f>
        <v>2760153</v>
      </c>
      <c r="C2556" s="2" t="s">
        <v>594</v>
      </c>
      <c r="D2556" s="2" t="str">
        <f t="shared" si="38"/>
        <v>Error?</v>
      </c>
    </row>
    <row r="2557" spans="1:4" x14ac:dyDescent="0.2">
      <c r="A2557" s="5">
        <v>2496</v>
      </c>
      <c r="B2557" s="138">
        <f>'Acct Summary 7-8'!C13</f>
        <v>1536565</v>
      </c>
      <c r="C2557" s="2" t="s">
        <v>594</v>
      </c>
      <c r="D2557" s="2" t="str">
        <f t="shared" si="38"/>
        <v>Error?</v>
      </c>
    </row>
    <row r="2558" spans="1:4" x14ac:dyDescent="0.2">
      <c r="A2558" s="5">
        <v>2497</v>
      </c>
      <c r="B2558" s="138">
        <f>'Acct Summary 7-8'!C14</f>
        <v>1163</v>
      </c>
      <c r="C2558" s="2" t="s">
        <v>594</v>
      </c>
      <c r="D2558" s="2" t="str">
        <f t="shared" si="38"/>
        <v>Error?</v>
      </c>
    </row>
    <row r="2559" spans="1:4" x14ac:dyDescent="0.2">
      <c r="A2559" s="5">
        <v>2498</v>
      </c>
      <c r="B2559" s="138">
        <f>'Acct Summary 7-8'!C15</f>
        <v>141423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4439304</v>
      </c>
      <c r="C2561" s="2" t="s">
        <v>594</v>
      </c>
      <c r="D2561" s="2" t="str">
        <f t="shared" si="39"/>
        <v>Error?</v>
      </c>
    </row>
    <row r="2562" spans="1:4" x14ac:dyDescent="0.2">
      <c r="A2562" s="5">
        <v>2501</v>
      </c>
      <c r="B2562" s="138">
        <f>'Acct Summary 7-8'!C20</f>
        <v>505735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525692</v>
      </c>
      <c r="C2564" s="2" t="s">
        <v>594</v>
      </c>
      <c r="D2564" s="2" t="str">
        <f t="shared" si="39"/>
        <v>Error?</v>
      </c>
    </row>
    <row r="2565" spans="1:4" x14ac:dyDescent="0.2">
      <c r="A2565" s="10">
        <v>2504</v>
      </c>
      <c r="D2565" s="2" t="str">
        <f t="shared" si="39"/>
        <v>OK</v>
      </c>
    </row>
    <row r="2566" spans="1:4" x14ac:dyDescent="0.2">
      <c r="A2566" s="5">
        <v>2505</v>
      </c>
      <c r="B2566" s="138">
        <f>'Acct Summary 7-8'!D6</f>
        <v>78000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603692</v>
      </c>
      <c r="C2568" s="2" t="s">
        <v>594</v>
      </c>
      <c r="D2568" s="2" t="str">
        <f t="shared" si="39"/>
        <v>Error?</v>
      </c>
    </row>
    <row r="2569" spans="1:4" x14ac:dyDescent="0.2">
      <c r="A2569" s="5">
        <v>2508</v>
      </c>
      <c r="B2569" s="138">
        <f>'Acct Summary 7-8'!D13</f>
        <v>475760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475760</v>
      </c>
      <c r="C2573" s="2" t="s">
        <v>594</v>
      </c>
      <c r="D2573" s="2" t="str">
        <f t="shared" si="39"/>
        <v>Error?</v>
      </c>
    </row>
    <row r="2574" spans="1:4" x14ac:dyDescent="0.2">
      <c r="A2574" s="5">
        <v>2513</v>
      </c>
      <c r="B2574" s="138">
        <f>'Acct Summary 7-8'!D20</f>
        <v>127932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148850</v>
      </c>
      <c r="C2591" s="2" t="s">
        <v>594</v>
      </c>
      <c r="D2591" s="2" t="str">
        <f t="shared" si="39"/>
        <v>Error?</v>
      </c>
    </row>
    <row r="2592" spans="1:4" x14ac:dyDescent="0.2">
      <c r="A2592" s="10">
        <v>2531</v>
      </c>
      <c r="D2592" s="2" t="str">
        <f t="shared" si="39"/>
        <v>OK</v>
      </c>
    </row>
    <row r="2593" spans="1:4" x14ac:dyDescent="0.2">
      <c r="A2593" s="5">
        <v>2532</v>
      </c>
      <c r="B2593" s="138">
        <f>'Acct Summary 7-8'!F6</f>
        <v>273963</v>
      </c>
      <c r="C2593" s="2" t="s">
        <v>594</v>
      </c>
      <c r="D2593" s="2" t="str">
        <f t="shared" si="39"/>
        <v>Error?</v>
      </c>
    </row>
    <row r="2594" spans="1:4" x14ac:dyDescent="0.2">
      <c r="A2594" s="5">
        <v>2533</v>
      </c>
      <c r="B2594" s="138">
        <f>'Acct Summary 7-8'!F7</f>
        <v>995</v>
      </c>
      <c r="C2594" s="2" t="s">
        <v>594</v>
      </c>
      <c r="D2594" s="2" t="str">
        <f t="shared" si="39"/>
        <v>Error?</v>
      </c>
    </row>
    <row r="2595" spans="1:4" x14ac:dyDescent="0.2">
      <c r="A2595" s="5">
        <v>2534</v>
      </c>
      <c r="B2595" s="138">
        <f>'Acct Summary 7-8'!F8</f>
        <v>423808</v>
      </c>
      <c r="C2595" s="2" t="s">
        <v>594</v>
      </c>
      <c r="D2595" s="2" t="str">
        <f t="shared" si="39"/>
        <v>Error?</v>
      </c>
    </row>
    <row r="2596" spans="1:4" x14ac:dyDescent="0.2">
      <c r="A2596" s="5">
        <v>2535</v>
      </c>
      <c r="B2596" s="138">
        <f>'Acct Summary 7-8'!F13</f>
        <v>312343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312343</v>
      </c>
      <c r="C2600" s="2" t="s">
        <v>594</v>
      </c>
      <c r="D2600" s="2" t="str">
        <f t="shared" si="39"/>
        <v>Error?</v>
      </c>
    </row>
    <row r="2601" spans="1:4" x14ac:dyDescent="0.2">
      <c r="A2601" s="5">
        <v>2540</v>
      </c>
      <c r="B2601" s="138">
        <f>'Acct Summary 7-8'!F20</f>
        <v>111465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199918</v>
      </c>
      <c r="C2603" s="2" t="s">
        <v>594</v>
      </c>
      <c r="D2603" s="2" t="str">
        <f t="shared" si="39"/>
        <v>Error?</v>
      </c>
    </row>
    <row r="2604" spans="1:4" x14ac:dyDescent="0.2">
      <c r="A2604" s="5">
        <v>2543</v>
      </c>
      <c r="B2604" s="138">
        <f>'Acct Summary 7-8'!G6</f>
        <v>9183</v>
      </c>
      <c r="C2604" s="2" t="s">
        <v>594</v>
      </c>
      <c r="D2604" s="2" t="str">
        <f t="shared" si="39"/>
        <v>Error?</v>
      </c>
    </row>
    <row r="2605" spans="1:4" x14ac:dyDescent="0.2">
      <c r="A2605" s="5">
        <v>2544</v>
      </c>
      <c r="B2605" s="138">
        <f>'Acct Summary 7-8'!G7</f>
        <v>11485</v>
      </c>
      <c r="C2605" s="2" t="s">
        <v>594</v>
      </c>
      <c r="D2605" s="2" t="str">
        <f t="shared" si="39"/>
        <v>Error?</v>
      </c>
    </row>
    <row r="2606" spans="1:4" x14ac:dyDescent="0.2">
      <c r="A2606" s="5">
        <v>2545</v>
      </c>
      <c r="B2606" s="138">
        <f>'Acct Summary 7-8'!G8</f>
        <v>220586</v>
      </c>
      <c r="C2606" s="2" t="s">
        <v>594</v>
      </c>
      <c r="D2606" s="2" t="str">
        <f t="shared" si="39"/>
        <v>Error?</v>
      </c>
    </row>
    <row r="2607" spans="1:4" x14ac:dyDescent="0.2">
      <c r="A2607" s="5">
        <v>2546</v>
      </c>
      <c r="B2607" s="138">
        <f>'Acct Summary 7-8'!G12</f>
        <v>57011</v>
      </c>
      <c r="C2607" s="2" t="s">
        <v>594</v>
      </c>
      <c r="D2607" s="2" t="str">
        <f t="shared" si="39"/>
        <v>Error?</v>
      </c>
    </row>
    <row r="2608" spans="1:4" x14ac:dyDescent="0.2">
      <c r="A2608" s="5">
        <v>2547</v>
      </c>
      <c r="B2608" s="138">
        <f>'Acct Summary 7-8'!G13</f>
        <v>139679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196690</v>
      </c>
      <c r="C2612" s="2" t="s">
        <v>594</v>
      </c>
      <c r="D2612" s="2" t="str">
        <f t="shared" si="39"/>
        <v>Error?</v>
      </c>
    </row>
    <row r="2613" spans="1:4" x14ac:dyDescent="0.2">
      <c r="A2613" s="5">
        <v>2552</v>
      </c>
      <c r="B2613" s="138">
        <f>'Acct Summary 7-8'!G20</f>
        <v>23896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646892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646892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631403</v>
      </c>
      <c r="C2634" s="2" t="s">
        <v>594</v>
      </c>
      <c r="D2634" s="2" t="str">
        <f t="shared" si="40"/>
        <v>Error?</v>
      </c>
    </row>
    <row r="2635" spans="1:4" x14ac:dyDescent="0.2">
      <c r="A2635" s="5">
        <v>2574</v>
      </c>
      <c r="B2635" s="138">
        <f>'Acct Summary 7-8'!E17</f>
        <v>631403</v>
      </c>
      <c r="C2635" s="2" t="s">
        <v>594</v>
      </c>
      <c r="D2635" s="2" t="str">
        <f t="shared" si="40"/>
        <v>Error?</v>
      </c>
    </row>
    <row r="2636" spans="1:4" x14ac:dyDescent="0.2">
      <c r="A2636" s="5">
        <v>2575</v>
      </c>
      <c r="B2636" s="138">
        <f>'Acct Summary 7-8'!E20</f>
        <v>15489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3976</v>
      </c>
      <c r="C2655" s="2" t="s">
        <v>594</v>
      </c>
      <c r="D2655" s="2" t="str">
        <f t="shared" si="40"/>
        <v>Error?</v>
      </c>
    </row>
    <row r="2656" spans="1:4" x14ac:dyDescent="0.2">
      <c r="A2656" s="5">
        <v>2595</v>
      </c>
      <c r="B2656" s="138">
        <f>'Acct Summary 7-8'!H6</f>
        <v>150000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153976</v>
      </c>
      <c r="C2658" s="2" t="s">
        <v>594</v>
      </c>
      <c r="D2658" s="2" t="str">
        <f t="shared" si="40"/>
        <v>Error?</v>
      </c>
    </row>
    <row r="2659" spans="1:4" x14ac:dyDescent="0.2">
      <c r="A2659" s="5">
        <v>2598</v>
      </c>
      <c r="B2659" s="138">
        <f>'Acct Summary 7-8'!H13</f>
        <v>7875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7875</v>
      </c>
      <c r="C2661" s="2" t="s">
        <v>594</v>
      </c>
      <c r="D2661" s="2" t="str">
        <f t="shared" si="40"/>
        <v>Error?</v>
      </c>
    </row>
    <row r="2662" spans="1:4" x14ac:dyDescent="0.2">
      <c r="A2662" s="5">
        <v>2601</v>
      </c>
      <c r="B2662" s="138">
        <f>'Acct Summary 7-8'!H20</f>
        <v>146101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92814</v>
      </c>
      <c r="D2718" s="2" t="str">
        <f t="shared" si="41"/>
        <v>Error?</v>
      </c>
    </row>
    <row r="2719" spans="1:4" x14ac:dyDescent="0.2">
      <c r="A2719" s="5">
        <v>2658</v>
      </c>
      <c r="B2719" s="138">
        <f>'Expenditures 15-22'!D51</f>
        <v>22394</v>
      </c>
      <c r="D2719" s="2" t="str">
        <f t="shared" si="41"/>
        <v>Error?</v>
      </c>
    </row>
    <row r="2720" spans="1:4" x14ac:dyDescent="0.2">
      <c r="A2720" s="5">
        <v>2659</v>
      </c>
      <c r="B2720" s="138">
        <f>'Expenditures 15-22'!E51</f>
        <v>5422</v>
      </c>
      <c r="D2720" s="2" t="str">
        <f t="shared" si="41"/>
        <v>Error?</v>
      </c>
    </row>
    <row r="2721" spans="1:4" x14ac:dyDescent="0.2">
      <c r="A2721" s="5">
        <v>2660</v>
      </c>
      <c r="B2721" s="138">
        <f>'Expenditures 15-22'!F51</f>
        <v>64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130</v>
      </c>
      <c r="D2723" s="2" t="str">
        <f t="shared" si="41"/>
        <v>Error?</v>
      </c>
    </row>
    <row r="2724" spans="1:4" x14ac:dyDescent="0.2">
      <c r="A2724" s="5">
        <v>2663</v>
      </c>
      <c r="B2724" s="138">
        <f>'Expenditures 15-22'!K51</f>
        <v>120824</v>
      </c>
      <c r="C2724" s="2" t="s">
        <v>594</v>
      </c>
      <c r="D2724" s="2" t="str">
        <f t="shared" si="41"/>
        <v>Error?</v>
      </c>
    </row>
    <row r="2725" spans="1:4" x14ac:dyDescent="0.2">
      <c r="A2725" s="5">
        <v>2664</v>
      </c>
      <c r="B2725" s="138">
        <f>'Expenditures 15-22'!D247</f>
        <v>2680</v>
      </c>
      <c r="D2725" s="2" t="str">
        <f t="shared" si="41"/>
        <v>Error?</v>
      </c>
    </row>
    <row r="2726" spans="1:4" x14ac:dyDescent="0.2">
      <c r="A2726" s="5">
        <v>2665</v>
      </c>
      <c r="B2726" s="138">
        <f>'Expenditures 15-22'!K247</f>
        <v>2680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24248</v>
      </c>
      <c r="C2789" s="2" t="s">
        <v>594</v>
      </c>
      <c r="D2789" s="2" t="str">
        <f t="shared" si="42"/>
        <v>Error?</v>
      </c>
    </row>
    <row r="2790" spans="1:4" x14ac:dyDescent="0.2">
      <c r="A2790" s="5">
        <v>2729</v>
      </c>
      <c r="B2790" s="138">
        <f>'Expenditures 15-22'!E102</f>
        <v>24248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476500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479311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102567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479311</v>
      </c>
      <c r="D2912" s="2" t="str">
        <f t="shared" si="44"/>
        <v>Error?</v>
      </c>
    </row>
    <row r="2913" spans="1:4" x14ac:dyDescent="0.2">
      <c r="A2913" s="5">
        <v>2852</v>
      </c>
      <c r="B2913" s="138">
        <f>'Assets-Liab 5-6'!I41</f>
        <v>479311</v>
      </c>
      <c r="C2913" s="2" t="s">
        <v>594</v>
      </c>
      <c r="D2913" s="2" t="str">
        <f t="shared" si="44"/>
        <v>Error?</v>
      </c>
    </row>
    <row r="2914" spans="1:4" x14ac:dyDescent="0.2">
      <c r="A2914" s="5">
        <v>2853</v>
      </c>
      <c r="B2914" s="138">
        <f>'Assets-Liab 5-6'!L33</f>
        <v>102567</v>
      </c>
      <c r="D2914" s="2" t="str">
        <f t="shared" si="44"/>
        <v>Error?</v>
      </c>
    </row>
    <row r="2915" spans="1:4" x14ac:dyDescent="0.2">
      <c r="A2915" s="10">
        <v>2854</v>
      </c>
      <c r="D2915" s="2" t="str">
        <f t="shared" si="44"/>
        <v>OK</v>
      </c>
    </row>
    <row r="2916" spans="1:4" x14ac:dyDescent="0.2">
      <c r="A2916" s="5">
        <v>2855</v>
      </c>
      <c r="B2916" s="138">
        <f>'Assets-Liab 5-6'!L34</f>
        <v>102567</v>
      </c>
      <c r="C2916" s="2" t="s">
        <v>594</v>
      </c>
      <c r="D2916" s="2" t="str">
        <f t="shared" si="44"/>
        <v>Error?</v>
      </c>
    </row>
    <row r="2917" spans="1:4" x14ac:dyDescent="0.2">
      <c r="A2917" s="5">
        <v>2856</v>
      </c>
      <c r="B2917" s="138">
        <f>'Assets-Liab 5-6'!L41</f>
        <v>102567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16548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7700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32617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16548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40317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80562</v>
      </c>
      <c r="D3055" s="2" t="str">
        <f t="shared" si="46"/>
        <v>Error?</v>
      </c>
    </row>
    <row r="3056" spans="1:4" x14ac:dyDescent="0.2">
      <c r="A3056" s="5">
        <v>2995</v>
      </c>
      <c r="B3056" s="138">
        <f>'Expenditures 15-22'!D10</f>
        <v>20854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3594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105010</v>
      </c>
      <c r="C3062" s="2" t="s">
        <v>594</v>
      </c>
      <c r="D3062" s="2" t="str">
        <f t="shared" si="46"/>
        <v>Error?</v>
      </c>
    </row>
    <row r="3063" spans="1:4" x14ac:dyDescent="0.2">
      <c r="A3063" s="10">
        <v>3002</v>
      </c>
      <c r="D3063" s="2" t="str">
        <f t="shared" si="46"/>
        <v>OK</v>
      </c>
    </row>
    <row r="3064" spans="1:4" x14ac:dyDescent="0.2">
      <c r="A3064" s="5">
        <v>3003</v>
      </c>
      <c r="B3064" s="138">
        <f>'Expenditures 15-22'!D219</f>
        <v>3594</v>
      </c>
      <c r="D3064" s="2" t="str">
        <f t="shared" si="46"/>
        <v>Error?</v>
      </c>
    </row>
    <row r="3065" spans="1:4" x14ac:dyDescent="0.2">
      <c r="A3065" s="5">
        <v>3004</v>
      </c>
      <c r="B3065" s="138">
        <f>'Expenditures 15-22'!K219</f>
        <v>3594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38462</v>
      </c>
      <c r="C3225" s="2" t="s">
        <v>594</v>
      </c>
      <c r="D3225" s="2" t="str">
        <f t="shared" si="49"/>
        <v>Error?</v>
      </c>
    </row>
    <row r="3226" spans="1:4" x14ac:dyDescent="0.2">
      <c r="A3226" s="5">
        <v>3165</v>
      </c>
      <c r="B3226" s="138">
        <f>'Acct Summary 7-8'!I8</f>
        <v>38462</v>
      </c>
      <c r="C3226" s="2" t="s">
        <v>594</v>
      </c>
      <c r="D3226" s="2" t="str">
        <f t="shared" si="49"/>
        <v>Error?</v>
      </c>
    </row>
    <row r="3227" spans="1:4" x14ac:dyDescent="0.2">
      <c r="A3227" s="5">
        <v>3166</v>
      </c>
      <c r="B3227" s="138">
        <f>'Acct Summary 7-8'!I20</f>
        <v>38462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505735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127932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111465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23896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15489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146101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38462</v>
      </c>
      <c r="C3320" s="2" t="s">
        <v>594</v>
      </c>
      <c r="D3320" s="2" t="str">
        <f t="shared" si="50"/>
        <v>Error?</v>
      </c>
    </row>
    <row r="3321" spans="1:4" x14ac:dyDescent="0.2">
      <c r="A3321" s="5">
        <v>3260</v>
      </c>
      <c r="B3321" s="138">
        <f>'Acct Summary 7-8'!I79</f>
        <v>440849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479311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250262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85411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20386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12409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368468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19332</v>
      </c>
      <c r="D3387" s="2" t="str">
        <f t="shared" si="51"/>
        <v>Error?</v>
      </c>
    </row>
    <row r="3388" spans="1:4" x14ac:dyDescent="0.2">
      <c r="A3388" s="5">
        <v>3327</v>
      </c>
      <c r="B3388" s="138">
        <f>'Expenditures 15-22'!D217</f>
        <v>17239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19332</v>
      </c>
      <c r="C3390" s="2" t="s">
        <v>594</v>
      </c>
      <c r="D3390" s="2" t="str">
        <f t="shared" si="51"/>
        <v>Error?</v>
      </c>
    </row>
    <row r="3391" spans="1:4" x14ac:dyDescent="0.2">
      <c r="A3391" s="5">
        <v>3330</v>
      </c>
      <c r="B3391" s="138">
        <f>'Expenditures 15-22'!K217</f>
        <v>17239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889910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194572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6342</v>
      </c>
      <c r="D3417" s="2" t="str">
        <f t="shared" si="52"/>
        <v>Error?</v>
      </c>
    </row>
    <row r="3418" spans="1:4" x14ac:dyDescent="0.2">
      <c r="A3418" s="10">
        <v>3357</v>
      </c>
      <c r="D3418" s="2" t="str">
        <f t="shared" si="52"/>
        <v>OK</v>
      </c>
    </row>
    <row r="3419" spans="1:4" x14ac:dyDescent="0.2">
      <c r="A3419" s="5">
        <v>3358</v>
      </c>
      <c r="B3419" s="138">
        <f>'Assets-Liab 5-6'!F4</f>
        <v>181874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54258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53608</v>
      </c>
      <c r="D3425" s="2" t="str">
        <f t="shared" si="52"/>
        <v>Error?</v>
      </c>
    </row>
    <row r="3426" spans="1:4" x14ac:dyDescent="0.2">
      <c r="A3426" s="10">
        <v>3365</v>
      </c>
      <c r="D3426" s="2" t="str">
        <f t="shared" si="52"/>
        <v>OK</v>
      </c>
    </row>
    <row r="3427" spans="1:4" x14ac:dyDescent="0.2">
      <c r="A3427" s="5">
        <v>3366</v>
      </c>
      <c r="B3427" s="138">
        <f>'Assets-Liab 5-6'!I4</f>
        <v>2811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102567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102201</v>
      </c>
      <c r="C3446" s="2" t="s">
        <v>594</v>
      </c>
      <c r="D3446" s="2" t="str">
        <f t="shared" si="52"/>
        <v>Error?</v>
      </c>
    </row>
    <row r="3447" spans="1:4" x14ac:dyDescent="0.2">
      <c r="A3447" s="5">
        <v>3386</v>
      </c>
      <c r="B3447" s="138">
        <f>'Tax Sched 23'!D16</f>
        <v>43042</v>
      </c>
      <c r="C3447" s="2" t="s">
        <v>594</v>
      </c>
      <c r="D3447" s="2" t="str">
        <f t="shared" si="52"/>
        <v>Error?</v>
      </c>
    </row>
    <row r="3448" spans="1:4" x14ac:dyDescent="0.2">
      <c r="A3448" s="5">
        <v>3387</v>
      </c>
      <c r="B3448" s="138">
        <f>'Tax Sched 23'!C16</f>
        <v>59159</v>
      </c>
      <c r="D3448" s="2" t="str">
        <f t="shared" si="52"/>
        <v>Error?</v>
      </c>
    </row>
    <row r="3449" spans="1:4" x14ac:dyDescent="0.2">
      <c r="A3449" s="5">
        <v>3388</v>
      </c>
      <c r="B3449" s="138">
        <f>'Tax Sched 23'!F16</f>
        <v>50725</v>
      </c>
      <c r="C3449" s="2" t="s">
        <v>594</v>
      </c>
      <c r="D3449" s="2" t="str">
        <f t="shared" si="52"/>
        <v>Error?</v>
      </c>
    </row>
    <row r="3450" spans="1:4" x14ac:dyDescent="0.2">
      <c r="A3450" s="5">
        <v>3389</v>
      </c>
      <c r="B3450" s="138">
        <f>'Tax Sched 23'!E16</f>
        <v>109884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27346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67346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67346</v>
      </c>
      <c r="D3567" s="2" t="str">
        <f t="shared" si="54"/>
        <v>Error?</v>
      </c>
    </row>
    <row r="3568" spans="1:4" x14ac:dyDescent="0.2">
      <c r="A3568" s="5">
        <v>3507</v>
      </c>
      <c r="B3568" s="138">
        <f>'Assets-Liab 5-6'!K41</f>
        <v>67346</v>
      </c>
      <c r="C3568" s="2" t="s">
        <v>594</v>
      </c>
      <c r="D3568" s="2" t="str">
        <f t="shared" si="54"/>
        <v>Error?</v>
      </c>
    </row>
    <row r="3569" spans="1:4" x14ac:dyDescent="0.2">
      <c r="A3569" s="5">
        <v>3508</v>
      </c>
      <c r="B3569" s="138">
        <f>'Acct Summary 7-8'!K4</f>
        <v>35669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35669</v>
      </c>
      <c r="C3571" s="2" t="s">
        <v>594</v>
      </c>
      <c r="D3571" s="2" t="str">
        <f t="shared" si="54"/>
        <v>Error?</v>
      </c>
    </row>
    <row r="3572" spans="1:4" x14ac:dyDescent="0.2">
      <c r="A3572" s="5">
        <v>3511</v>
      </c>
      <c r="B3572" s="138">
        <f>'Acct Summary 7-8'!K13</f>
        <v>23092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23092</v>
      </c>
      <c r="C3575" s="2" t="s">
        <v>594</v>
      </c>
      <c r="D3575" s="2" t="str">
        <f t="shared" si="54"/>
        <v>Error?</v>
      </c>
    </row>
    <row r="3576" spans="1:4" x14ac:dyDescent="0.2">
      <c r="A3576" s="5">
        <v>3515</v>
      </c>
      <c r="B3576" s="138">
        <f>'Acct Summary 7-8'!K20</f>
        <v>12577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12577</v>
      </c>
      <c r="C3588" s="2" t="s">
        <v>594</v>
      </c>
      <c r="D3588" s="2" t="str">
        <f t="shared" si="55"/>
        <v>Error?</v>
      </c>
    </row>
    <row r="3589" spans="1:4" x14ac:dyDescent="0.2">
      <c r="A3589" s="5">
        <v>3528</v>
      </c>
      <c r="B3589" s="138">
        <f>'Acct Summary 7-8'!K79</f>
        <v>54769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67346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23092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23092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23092</v>
      </c>
      <c r="C3649" s="2" t="s">
        <v>594</v>
      </c>
      <c r="D3649" s="2" t="str">
        <f t="shared" si="56"/>
        <v>Error?</v>
      </c>
    </row>
    <row r="3650" spans="1:4" x14ac:dyDescent="0.2">
      <c r="A3650" s="5">
        <v>3589</v>
      </c>
      <c r="B3650" s="138">
        <f>'Expenditures 15-22'!G367</f>
        <v>23092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23092</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23092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23092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23092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12577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34936</v>
      </c>
      <c r="C3725" s="2" t="s">
        <v>594</v>
      </c>
      <c r="D3725" s="2" t="str">
        <f t="shared" si="57"/>
        <v>Error?</v>
      </c>
    </row>
    <row r="3726" spans="1:4" x14ac:dyDescent="0.2">
      <c r="A3726" s="5">
        <v>3665</v>
      </c>
      <c r="B3726" s="138">
        <f>'Tax Sched 23'!D13</f>
        <v>15605</v>
      </c>
      <c r="C3726" s="2" t="s">
        <v>594</v>
      </c>
      <c r="D3726" s="2" t="str">
        <f t="shared" si="57"/>
        <v>Error?</v>
      </c>
    </row>
    <row r="3727" spans="1:4" x14ac:dyDescent="0.2">
      <c r="A3727" s="5">
        <v>3666</v>
      </c>
      <c r="B3727" s="138">
        <f>'Tax Sched 23'!C13</f>
        <v>19331</v>
      </c>
      <c r="D3727" s="2" t="str">
        <f t="shared" si="57"/>
        <v>Error?</v>
      </c>
    </row>
    <row r="3728" spans="1:4" x14ac:dyDescent="0.2">
      <c r="A3728" s="5">
        <v>3667</v>
      </c>
      <c r="B3728" s="138">
        <f>'Tax Sched 23'!F13</f>
        <v>16576</v>
      </c>
      <c r="C3728" s="2" t="s">
        <v>594</v>
      </c>
      <c r="D3728" s="2" t="str">
        <f t="shared" si="57"/>
        <v>Error?</v>
      </c>
    </row>
    <row r="3729" spans="1:4" x14ac:dyDescent="0.2">
      <c r="A3729" s="5">
        <v>3668</v>
      </c>
      <c r="B3729" s="138">
        <f>'Tax Sched 23'!E13</f>
        <v>35907</v>
      </c>
      <c r="D3729" s="2" t="str">
        <f t="shared" si="57"/>
        <v>Error?</v>
      </c>
    </row>
    <row r="3730" spans="1:4" x14ac:dyDescent="0.2">
      <c r="A3730" s="5">
        <v>3669</v>
      </c>
      <c r="B3730" s="138">
        <f>'ICR Computation 30'!E10</f>
        <v>88198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1813599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6758638</v>
      </c>
      <c r="C4122" s="2" t="s">
        <v>594</v>
      </c>
      <c r="D4122" s="2" t="str">
        <f t="shared" si="63"/>
        <v>Error?</v>
      </c>
    </row>
    <row r="4123" spans="1:4" x14ac:dyDescent="0.2">
      <c r="A4123" s="5">
        <v>4062</v>
      </c>
      <c r="B4123" s="138">
        <f>'Acct Summary 7-8'!D10</f>
        <v>603692</v>
      </c>
      <c r="C4123" s="2" t="s">
        <v>594</v>
      </c>
      <c r="D4123" s="2" t="str">
        <f t="shared" si="63"/>
        <v>Error?</v>
      </c>
    </row>
    <row r="4124" spans="1:4" x14ac:dyDescent="0.2">
      <c r="A4124" s="5">
        <v>4063</v>
      </c>
      <c r="B4124" s="138">
        <f>'Acct Summary 7-8'!E10</f>
        <v>646892</v>
      </c>
      <c r="C4124" s="2" t="s">
        <v>594</v>
      </c>
      <c r="D4124" s="2" t="str">
        <f t="shared" si="63"/>
        <v>Error?</v>
      </c>
    </row>
    <row r="4125" spans="1:4" x14ac:dyDescent="0.2">
      <c r="A4125" s="5">
        <v>4064</v>
      </c>
      <c r="B4125" s="138">
        <f>'Acct Summary 7-8'!F10</f>
        <v>423808</v>
      </c>
      <c r="C4125" s="2" t="s">
        <v>594</v>
      </c>
      <c r="D4125" s="2" t="str">
        <f t="shared" si="63"/>
        <v>Error?</v>
      </c>
    </row>
    <row r="4126" spans="1:4" x14ac:dyDescent="0.2">
      <c r="A4126" s="5">
        <v>4065</v>
      </c>
      <c r="B4126" s="138">
        <f>'Acct Summary 7-8'!G10</f>
        <v>220586</v>
      </c>
      <c r="C4126" s="2" t="s">
        <v>594</v>
      </c>
      <c r="D4126" s="2" t="str">
        <f t="shared" si="63"/>
        <v>Error?</v>
      </c>
    </row>
    <row r="4127" spans="1:4" x14ac:dyDescent="0.2">
      <c r="A4127" s="5">
        <v>4066</v>
      </c>
      <c r="B4127" s="138">
        <f>'Acct Summary 7-8'!H10</f>
        <v>153976</v>
      </c>
      <c r="C4127" s="2" t="s">
        <v>594</v>
      </c>
      <c r="D4127" s="2" t="str">
        <f t="shared" si="63"/>
        <v>Error?</v>
      </c>
    </row>
    <row r="4128" spans="1:4" x14ac:dyDescent="0.2">
      <c r="A4128" s="5">
        <v>4067</v>
      </c>
      <c r="B4128" s="138">
        <f>'Acct Summary 7-8'!I10</f>
        <v>38462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35669</v>
      </c>
      <c r="C4130" s="2" t="s">
        <v>594</v>
      </c>
      <c r="D4130" s="2" t="str">
        <f t="shared" si="63"/>
        <v>Error?</v>
      </c>
    </row>
    <row r="4131" spans="1:4" x14ac:dyDescent="0.2">
      <c r="A4131" s="5">
        <v>4070</v>
      </c>
      <c r="B4131" s="138">
        <f>'Acct Summary 7-8'!C18</f>
        <v>1813599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6252903</v>
      </c>
      <c r="C4136" s="2" t="s">
        <v>594</v>
      </c>
      <c r="D4136" s="2" t="str">
        <f t="shared" si="63"/>
        <v>Error?</v>
      </c>
    </row>
    <row r="4137" spans="1:4" x14ac:dyDescent="0.2">
      <c r="A4137" s="5">
        <v>4076</v>
      </c>
      <c r="B4137" s="138">
        <f>'Acct Summary 7-8'!D19</f>
        <v>475760</v>
      </c>
      <c r="C4137" s="2" t="s">
        <v>594</v>
      </c>
      <c r="D4137" s="2" t="str">
        <f t="shared" si="63"/>
        <v>Error?</v>
      </c>
    </row>
    <row r="4138" spans="1:4" x14ac:dyDescent="0.2">
      <c r="A4138" s="5">
        <v>4077</v>
      </c>
      <c r="B4138" s="138">
        <f>'Acct Summary 7-8'!E19</f>
        <v>631403</v>
      </c>
      <c r="C4138" s="2" t="s">
        <v>594</v>
      </c>
      <c r="D4138" s="2" t="str">
        <f t="shared" si="63"/>
        <v>Error?</v>
      </c>
    </row>
    <row r="4139" spans="1:4" x14ac:dyDescent="0.2">
      <c r="A4139" s="5">
        <v>4078</v>
      </c>
      <c r="B4139" s="138">
        <f>'Acct Summary 7-8'!F19</f>
        <v>312343</v>
      </c>
      <c r="C4139" s="2" t="s">
        <v>594</v>
      </c>
      <c r="D4139" s="2" t="str">
        <f t="shared" si="63"/>
        <v>Error?</v>
      </c>
    </row>
    <row r="4140" spans="1:4" x14ac:dyDescent="0.2">
      <c r="A4140" s="5">
        <v>4079</v>
      </c>
      <c r="B4140" s="138">
        <f>'Acct Summary 7-8'!G19</f>
        <v>196690</v>
      </c>
      <c r="C4140" s="2" t="s">
        <v>594</v>
      </c>
      <c r="D4140" s="2" t="str">
        <f t="shared" si="63"/>
        <v>Error?</v>
      </c>
    </row>
    <row r="4141" spans="1:4" x14ac:dyDescent="0.2">
      <c r="A4141" s="5">
        <v>4080</v>
      </c>
      <c r="B4141" s="138">
        <f>'Acct Summary 7-8'!H19</f>
        <v>7875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23092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5620000</v>
      </c>
      <c r="C4171" s="2" t="s">
        <v>594</v>
      </c>
      <c r="D4171" s="2" t="str">
        <f t="shared" si="64"/>
        <v>Error?</v>
      </c>
    </row>
    <row r="4172" spans="1:4" x14ac:dyDescent="0.2">
      <c r="A4172" s="5">
        <v>4111</v>
      </c>
      <c r="B4172" s="138">
        <f>'Short-Term Long-Term Debt 24'!J49</f>
        <v>5366258</v>
      </c>
      <c r="C4172" s="2" t="s">
        <v>594</v>
      </c>
      <c r="D4172" s="2" t="str">
        <f t="shared" si="64"/>
        <v>Error?</v>
      </c>
    </row>
    <row r="4173" spans="1:4" x14ac:dyDescent="0.2">
      <c r="A4173" s="5">
        <v>4112</v>
      </c>
      <c r="B4173" s="138">
        <f>'Short-Term Long-Term Debt 24'!H49</f>
        <v>330000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3730</v>
      </c>
      <c r="C4265" s="2" t="s">
        <v>594</v>
      </c>
      <c r="D4265" s="2" t="str">
        <f t="shared" si="65"/>
        <v>Error?</v>
      </c>
      <c r="E4265" s="128"/>
    </row>
    <row r="4266" spans="1:5" x14ac:dyDescent="0.2">
      <c r="A4266" s="12">
        <v>4205</v>
      </c>
      <c r="B4266" s="138">
        <f>('FP Info 3'!F10)*100000</f>
        <v>745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4675</v>
      </c>
      <c r="C4268" s="2" t="s">
        <v>594</v>
      </c>
      <c r="D4268" s="2" t="str">
        <f t="shared" si="65"/>
        <v>Error?</v>
      </c>
    </row>
    <row r="4269" spans="1:5" x14ac:dyDescent="0.2">
      <c r="A4269" s="12">
        <v>4208</v>
      </c>
      <c r="B4269" s="138">
        <f>'FP Info 3'!J16</f>
        <v>4620513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14990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9251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26357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26357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3461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85</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18350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747</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71814790</v>
      </c>
      <c r="D4995" s="2" t="str">
        <f t="shared" si="77"/>
        <v>Error?</v>
      </c>
    </row>
    <row r="4996" spans="1:4" x14ac:dyDescent="0.2">
      <c r="A4996" s="12">
        <v>4935</v>
      </c>
      <c r="B4996" s="138">
        <f>'FP Info 3'!H31</f>
        <v>9910441.0200000014</v>
      </c>
      <c r="D4996" s="2" t="str">
        <f t="shared" si="77"/>
        <v>Error?</v>
      </c>
    </row>
    <row r="4997" spans="1:4" x14ac:dyDescent="0.2">
      <c r="A4997" s="12">
        <v>4936</v>
      </c>
      <c r="B4997" s="138">
        <f>'FP Info 3'!H37</f>
        <v>5620000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34936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2606098</v>
      </c>
      <c r="D5061" s="2" t="str">
        <f t="shared" si="78"/>
        <v>Error?</v>
      </c>
    </row>
    <row r="5062" spans="1:4" x14ac:dyDescent="0.2">
      <c r="A5062" s="10">
        <v>5001</v>
      </c>
      <c r="D5062" s="2" t="str">
        <f t="shared" si="78"/>
        <v>OK</v>
      </c>
    </row>
    <row r="5063" spans="1:4" x14ac:dyDescent="0.2">
      <c r="A5063" s="5">
        <v>5002</v>
      </c>
      <c r="B5063" s="138">
        <f>'Revenues 9-14'!C7</f>
        <v>27947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2668981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90875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90875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29212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29212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1265</v>
      </c>
      <c r="D5093" s="2" t="str">
        <f t="shared" si="78"/>
        <v>Error?</v>
      </c>
    </row>
    <row r="5094" spans="1:4" x14ac:dyDescent="0.2">
      <c r="A5094" s="5">
        <v>5033</v>
      </c>
      <c r="B5094" s="138">
        <f>'Revenues 9-14'!C73</f>
        <v>1964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79619</v>
      </c>
      <c r="C5096" s="2" t="s">
        <v>594</v>
      </c>
      <c r="D5096" s="2" t="str">
        <f t="shared" si="78"/>
        <v>Error?</v>
      </c>
    </row>
    <row r="5097" spans="1:4" x14ac:dyDescent="0.2">
      <c r="A5097" s="5">
        <v>5036</v>
      </c>
      <c r="B5097" s="138">
        <f>'Revenues 9-14'!C77</f>
        <v>7694</v>
      </c>
      <c r="D5097" s="2" t="str">
        <f t="shared" si="78"/>
        <v>Error?</v>
      </c>
    </row>
    <row r="5098" spans="1:4" x14ac:dyDescent="0.2">
      <c r="A5098" s="5">
        <v>5037</v>
      </c>
      <c r="B5098" s="138">
        <f>'Revenues 9-14'!C78</f>
        <v>400</v>
      </c>
      <c r="D5098" s="2" t="str">
        <f t="shared" si="78"/>
        <v>Error?</v>
      </c>
    </row>
    <row r="5099" spans="1:4" x14ac:dyDescent="0.2">
      <c r="A5099" s="5">
        <v>5038</v>
      </c>
      <c r="B5099" s="138">
        <f>'Revenues 9-14'!C79</f>
        <v>10148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18242</v>
      </c>
      <c r="C5102" s="2" t="s">
        <v>594</v>
      </c>
      <c r="D5102" s="2" t="str">
        <f t="shared" si="78"/>
        <v>Error?</v>
      </c>
    </row>
    <row r="5103" spans="1:4" x14ac:dyDescent="0.2">
      <c r="A5103" s="5">
        <v>5042</v>
      </c>
      <c r="B5103" s="138">
        <f>'Revenues 9-14'!C84</f>
        <v>24557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24557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13678</v>
      </c>
      <c r="D5114" s="2" t="str">
        <f t="shared" si="78"/>
        <v>Error?</v>
      </c>
    </row>
    <row r="5115" spans="1:4" x14ac:dyDescent="0.2">
      <c r="A5115" s="5">
        <v>5054</v>
      </c>
      <c r="B5115" s="138">
        <f>'Revenues 9-14'!C98</f>
        <v>7269</v>
      </c>
      <c r="D5115" s="2" t="str">
        <f t="shared" si="78"/>
        <v>Error?</v>
      </c>
    </row>
    <row r="5116" spans="1:4" x14ac:dyDescent="0.2">
      <c r="A5116" s="5">
        <v>5055</v>
      </c>
      <c r="B5116" s="138">
        <f>'Revenues 9-14'!C99</f>
        <v>7194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148</v>
      </c>
      <c r="D5119" s="2" t="str">
        <f t="shared" ref="D5119:D5182" si="79">IF(ISBLANK(B5119),"OK",IF(A5119-B5119=0,"OK","Error?"))</f>
        <v>Error?</v>
      </c>
    </row>
    <row r="5120" spans="1:4" x14ac:dyDescent="0.2">
      <c r="A5120" s="5">
        <v>5059</v>
      </c>
      <c r="B5120" s="138">
        <f>'Revenues 9-14'!C108</f>
        <v>30789</v>
      </c>
      <c r="C5120" s="2" t="s">
        <v>594</v>
      </c>
      <c r="D5120" s="2" t="str">
        <f t="shared" si="79"/>
        <v>Error?</v>
      </c>
    </row>
    <row r="5121" spans="1:4" x14ac:dyDescent="0.2">
      <c r="A5121" s="5">
        <v>5060</v>
      </c>
      <c r="B5121" s="138">
        <f>'Revenues 9-14'!C109</f>
        <v>2942275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1279254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1279254</v>
      </c>
      <c r="C5132" s="2" t="s">
        <v>594</v>
      </c>
      <c r="D5132" s="2" t="str">
        <f t="shared" si="79"/>
        <v>Error?</v>
      </c>
    </row>
    <row r="5133" spans="1:4" x14ac:dyDescent="0.2">
      <c r="A5133" s="5">
        <v>5072</v>
      </c>
      <c r="B5133" s="138">
        <f>'Revenues 9-14'!C124</f>
        <v>104834</v>
      </c>
      <c r="D5133" s="2" t="str">
        <f t="shared" si="79"/>
        <v>Error?</v>
      </c>
    </row>
    <row r="5134" spans="1:4" x14ac:dyDescent="0.2">
      <c r="A5134" s="5">
        <v>5073</v>
      </c>
      <c r="B5134" s="138">
        <f>'Revenues 9-14'!C125</f>
        <v>34913</v>
      </c>
      <c r="D5134" s="2" t="str">
        <f t="shared" si="79"/>
        <v>Error?</v>
      </c>
    </row>
    <row r="5135" spans="1:4" x14ac:dyDescent="0.2">
      <c r="A5135" s="5">
        <v>5074</v>
      </c>
      <c r="B5135" s="138">
        <f>'Revenues 9-14'!C126</f>
        <v>67433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584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207764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3066</v>
      </c>
      <c r="C5161" s="2" t="s">
        <v>594</v>
      </c>
      <c r="D5161" s="2" t="str">
        <f t="shared" si="79"/>
        <v>Error?</v>
      </c>
    </row>
    <row r="5162" spans="1:4" x14ac:dyDescent="0.2">
      <c r="A5162" s="10">
        <v>5101</v>
      </c>
      <c r="D5162" s="2" t="str">
        <f t="shared" si="79"/>
        <v>OK</v>
      </c>
    </row>
    <row r="5163" spans="1:4" x14ac:dyDescent="0.2">
      <c r="A5163" s="5">
        <v>5102</v>
      </c>
      <c r="B5163" s="138">
        <f>'Revenues 9-14'!C142</f>
        <v>1778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1778</v>
      </c>
      <c r="C5165" s="2" t="s">
        <v>594</v>
      </c>
      <c r="D5165" s="2" t="str">
        <f t="shared" si="79"/>
        <v>Error?</v>
      </c>
    </row>
    <row r="5166" spans="1:4" x14ac:dyDescent="0.2">
      <c r="A5166" s="10">
        <v>5105</v>
      </c>
      <c r="D5166" s="2" t="str">
        <f t="shared" si="79"/>
        <v>OK</v>
      </c>
    </row>
    <row r="5167" spans="1:4" x14ac:dyDescent="0.2">
      <c r="A5167" s="5">
        <v>5106</v>
      </c>
      <c r="B5167" s="138">
        <f>'Revenues 9-14'!C145</f>
        <v>1181</v>
      </c>
      <c r="D5167" s="2" t="str">
        <f t="shared" si="79"/>
        <v>Error?</v>
      </c>
    </row>
    <row r="5168" spans="1:4" x14ac:dyDescent="0.2">
      <c r="A5168" s="5">
        <v>5107</v>
      </c>
      <c r="B5168" s="138">
        <f>'Revenues 9-14'!C147</f>
        <v>2189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120006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336734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1615988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75159</v>
      </c>
      <c r="D5239" s="2" t="str">
        <f t="shared" si="80"/>
        <v>Error?</v>
      </c>
    </row>
    <row r="5240" spans="1:4" x14ac:dyDescent="0.2">
      <c r="A5240" s="5">
        <v>5179</v>
      </c>
      <c r="B5240" s="138">
        <f>'Revenues 9-14'!C195</f>
        <v>871</v>
      </c>
      <c r="D5240" s="2" t="str">
        <f t="shared" si="80"/>
        <v>Error?</v>
      </c>
    </row>
    <row r="5241" spans="1:4" x14ac:dyDescent="0.2">
      <c r="A5241" s="5">
        <v>5180</v>
      </c>
      <c r="B5241" s="138">
        <f>'Revenues 9-14'!C196</f>
        <v>11429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87459</v>
      </c>
      <c r="C5246" s="2" t="s">
        <v>594</v>
      </c>
      <c r="D5246" s="2" t="str">
        <f t="shared" si="80"/>
        <v>Error?</v>
      </c>
    </row>
    <row r="5247" spans="1:4" x14ac:dyDescent="0.2">
      <c r="A5247" s="5">
        <v>5186</v>
      </c>
      <c r="B5247" s="138">
        <f>'Revenues 9-14'!C203</f>
        <v>72371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3461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72371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1835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99560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101395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386776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386776</v>
      </c>
      <c r="C5326" s="2" t="s">
        <v>594</v>
      </c>
      <c r="D5326" s="2" t="str">
        <f t="shared" si="82"/>
        <v>Error?</v>
      </c>
    </row>
    <row r="5327" spans="1:4" x14ac:dyDescent="0.2">
      <c r="A5327" s="5">
        <v>5266</v>
      </c>
      <c r="B5327" s="138">
        <f>'Revenues 9-14'!C275</f>
        <v>4945039</v>
      </c>
      <c r="C5327" s="2" t="s">
        <v>594</v>
      </c>
      <c r="D5327" s="2" t="str">
        <f t="shared" si="82"/>
        <v>Error?</v>
      </c>
    </row>
    <row r="5328" spans="1:4" x14ac:dyDescent="0.2">
      <c r="A5328" s="5">
        <v>5267</v>
      </c>
      <c r="B5328" s="138">
        <f>'Revenues 9-14'!D5</f>
        <v>520521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520521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3743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3743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1178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250</v>
      </c>
      <c r="D5354" s="2" t="str">
        <f t="shared" si="82"/>
        <v>Error?</v>
      </c>
    </row>
    <row r="5355" spans="1:4" x14ac:dyDescent="0.2">
      <c r="A5355" s="5">
        <v>5294</v>
      </c>
      <c r="B5355" s="138">
        <f>'Revenues 9-14'!D108</f>
        <v>1428</v>
      </c>
      <c r="C5355" s="2" t="s">
        <v>594</v>
      </c>
      <c r="D5355" s="2" t="str">
        <f t="shared" si="82"/>
        <v>Error?</v>
      </c>
    </row>
    <row r="5356" spans="1:4" x14ac:dyDescent="0.2">
      <c r="A5356" s="5">
        <v>5295</v>
      </c>
      <c r="B5356" s="138">
        <f>'Revenues 9-14'!D109</f>
        <v>525692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78000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78000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78000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603692</v>
      </c>
      <c r="C5508" s="2" t="s">
        <v>594</v>
      </c>
      <c r="D5508" s="2" t="str">
        <f t="shared" si="85"/>
        <v>Error?</v>
      </c>
    </row>
    <row r="5509" spans="1:4" x14ac:dyDescent="0.2">
      <c r="A5509" s="5">
        <v>5448</v>
      </c>
      <c r="B5509" s="138">
        <f>'Revenues 9-14'!E5</f>
        <v>643976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643976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2916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2916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646892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646892</v>
      </c>
      <c r="C5552" s="2" t="s">
        <v>594</v>
      </c>
      <c r="D5552" s="2" t="str">
        <f t="shared" si="85"/>
        <v>Error?</v>
      </c>
    </row>
    <row r="5553" spans="1:4" x14ac:dyDescent="0.2">
      <c r="A5553" s="5">
        <v>5492</v>
      </c>
      <c r="B5553" s="138">
        <f>'Revenues 9-14'!F5</f>
        <v>139737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139737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6903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6903</v>
      </c>
      <c r="C5579" s="2" t="s">
        <v>594</v>
      </c>
      <c r="D5579" s="2" t="str">
        <f t="shared" si="86"/>
        <v>Error?</v>
      </c>
    </row>
    <row r="5580" spans="1:4" x14ac:dyDescent="0.2">
      <c r="A5580" s="5">
        <v>5519</v>
      </c>
      <c r="B5580" s="138">
        <f>'Revenues 9-14'!F65</f>
        <v>2210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2210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148850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64864</v>
      </c>
      <c r="D5615" s="2" t="str">
        <f t="shared" si="86"/>
        <v>Error?</v>
      </c>
    </row>
    <row r="5616" spans="1:4" x14ac:dyDescent="0.2">
      <c r="A5616" s="10">
        <v>5555</v>
      </c>
      <c r="D5616" s="2" t="str">
        <f t="shared" si="86"/>
        <v>OK</v>
      </c>
    </row>
    <row r="5617" spans="1:4" x14ac:dyDescent="0.2">
      <c r="A5617" s="5">
        <v>5556</v>
      </c>
      <c r="B5617" s="138">
        <f>'Revenues 9-14'!F152</f>
        <v>123917</v>
      </c>
      <c r="D5617" s="2" t="str">
        <f t="shared" si="86"/>
        <v>Error?</v>
      </c>
    </row>
    <row r="5618" spans="1:4" x14ac:dyDescent="0.2">
      <c r="A5618" s="5">
        <v>5557</v>
      </c>
      <c r="B5618" s="138">
        <f>'Revenues 9-14'!F154</f>
        <v>188781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35182</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223963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273963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995</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995</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995</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995</v>
      </c>
      <c r="C5719" s="2" t="s">
        <v>594</v>
      </c>
      <c r="D5719" s="2" t="str">
        <f t="shared" si="88"/>
        <v>Error?</v>
      </c>
    </row>
    <row r="5720" spans="1:4" x14ac:dyDescent="0.2">
      <c r="A5720" s="5">
        <v>5659</v>
      </c>
      <c r="B5720" s="138">
        <f>'Revenues 9-14'!F275</f>
        <v>423808</v>
      </c>
      <c r="C5720" s="2" t="s">
        <v>594</v>
      </c>
      <c r="D5720" s="2" t="str">
        <f t="shared" si="88"/>
        <v>Error?</v>
      </c>
    </row>
    <row r="5721" spans="1:4" x14ac:dyDescent="0.2">
      <c r="A5721" s="5">
        <v>5660</v>
      </c>
      <c r="B5721" s="138">
        <f>'Revenues 9-14'!G5</f>
        <v>86697</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102201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188898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8350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8350</v>
      </c>
      <c r="C5730" s="2" t="s">
        <v>594</v>
      </c>
      <c r="D5730" s="2" t="str">
        <f t="shared" si="88"/>
        <v>Error?</v>
      </c>
    </row>
    <row r="5731" spans="1:4" x14ac:dyDescent="0.2">
      <c r="A5731" s="5">
        <v>5670</v>
      </c>
      <c r="B5731" s="138">
        <f>'Revenues 9-14'!G65</f>
        <v>2670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2670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9183</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9183</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9183</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2667</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85</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2667</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7986</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7986</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11485</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11485</v>
      </c>
      <c r="C5869" s="2" t="s">
        <v>594</v>
      </c>
      <c r="D5869" s="2" t="str">
        <f t="shared" si="90"/>
        <v>Error?</v>
      </c>
    </row>
    <row r="5870" spans="1:4" x14ac:dyDescent="0.2">
      <c r="A5870" s="5">
        <v>5809</v>
      </c>
      <c r="B5870" s="138">
        <f>'Revenues 9-14'!G275</f>
        <v>220586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3976</v>
      </c>
      <c r="C5886" s="2" t="s">
        <v>594</v>
      </c>
      <c r="D5886" s="2" t="str">
        <f t="shared" si="90"/>
        <v>Error?</v>
      </c>
    </row>
    <row r="5887" spans="1:4" x14ac:dyDescent="0.2">
      <c r="A5887" s="5">
        <v>5826</v>
      </c>
      <c r="B5887" s="138">
        <f>'Revenues 9-14'!H117</f>
        <v>150000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150000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150000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153976</v>
      </c>
      <c r="C5915" s="2" t="s">
        <v>594</v>
      </c>
      <c r="D5915" s="2" t="str">
        <f t="shared" si="91"/>
        <v>Error?</v>
      </c>
    </row>
    <row r="5916" spans="1:4" x14ac:dyDescent="0.2">
      <c r="A5916" s="5">
        <v>5855</v>
      </c>
      <c r="B5916" s="138">
        <f>'Revenues 9-14'!I5</f>
        <v>34935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34935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3527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3527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38462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34932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34932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737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35669</v>
      </c>
      <c r="C6023" s="2" t="s">
        <v>594</v>
      </c>
      <c r="D6023" s="2" t="str">
        <f t="shared" si="93"/>
        <v>Error?</v>
      </c>
    </row>
    <row r="6024" spans="1:5" x14ac:dyDescent="0.2">
      <c r="A6024" s="5">
        <v>5963</v>
      </c>
      <c r="B6024" s="138">
        <f>'Revenues 9-14'!G109</f>
        <v>199918</v>
      </c>
      <c r="C6024" s="2" t="s">
        <v>594</v>
      </c>
      <c r="D6024" s="2" t="str">
        <f t="shared" si="93"/>
        <v>Error?</v>
      </c>
    </row>
    <row r="6025" spans="1:5" x14ac:dyDescent="0.2">
      <c r="A6025" s="5">
        <v>5964</v>
      </c>
      <c r="B6025" s="138">
        <f>'Revenues 9-14'!H109</f>
        <v>3976</v>
      </c>
      <c r="C6025" s="2" t="s">
        <v>594</v>
      </c>
      <c r="D6025" s="2" t="str">
        <f t="shared" si="93"/>
        <v>Error?</v>
      </c>
    </row>
    <row r="6026" spans="1:5" x14ac:dyDescent="0.2">
      <c r="A6026" s="5">
        <v>5965</v>
      </c>
      <c r="B6026" s="138">
        <f>'Revenues 9-14'!I109</f>
        <v>38462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35669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76390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15314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481.97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291289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291289</v>
      </c>
      <c r="D6215" s="2" t="str">
        <f t="shared" si="96"/>
        <v>Error?</v>
      </c>
      <c r="E6215" s="2" t="s">
        <v>199</v>
      </c>
    </row>
    <row r="6216" spans="1:5" x14ac:dyDescent="0.2">
      <c r="A6216">
        <v>6155</v>
      </c>
      <c r="B6216" s="138">
        <f>'Assets-Liab 5-6'!J41</f>
        <v>291289</v>
      </c>
      <c r="D6216" s="2" t="str">
        <f t="shared" si="96"/>
        <v>Error?</v>
      </c>
      <c r="E6216" s="2" t="s">
        <v>199</v>
      </c>
    </row>
    <row r="6217" spans="1:5" x14ac:dyDescent="0.2">
      <c r="A6217">
        <v>6156</v>
      </c>
      <c r="B6217" s="138">
        <f>'Assets-Liab 5-6'!J4</f>
        <v>111289</v>
      </c>
      <c r="D6217" s="2" t="str">
        <f t="shared" si="96"/>
        <v>Error?</v>
      </c>
      <c r="E6217" s="2" t="s">
        <v>199</v>
      </c>
    </row>
    <row r="6218" spans="1:5" x14ac:dyDescent="0.2">
      <c r="A6218">
        <v>6157</v>
      </c>
      <c r="B6218" s="138">
        <f>'Assets-Liab 5-6'!J5</f>
        <v>180000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219693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219693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219693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152535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152535</v>
      </c>
      <c r="D6229" s="2" t="str">
        <f t="shared" si="96"/>
        <v>Error?</v>
      </c>
      <c r="E6229" s="2" t="s">
        <v>199</v>
      </c>
    </row>
    <row r="6230" spans="1:5" x14ac:dyDescent="0.2">
      <c r="A6230">
        <v>6169</v>
      </c>
      <c r="B6230" s="138">
        <f>'Acct Summary 7-8'!J20</f>
        <v>67158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67158</v>
      </c>
      <c r="D6263" s="2" t="str">
        <f t="shared" si="96"/>
        <v>Error?</v>
      </c>
      <c r="E6263" s="2" t="s">
        <v>199</v>
      </c>
    </row>
    <row r="6264" spans="1:5" x14ac:dyDescent="0.2">
      <c r="A6264">
        <v>6203</v>
      </c>
      <c r="B6264" s="138">
        <f>'Acct Summary 7-8'!J79</f>
        <v>224131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291289</v>
      </c>
      <c r="D6266" s="2" t="str">
        <f t="shared" si="96"/>
        <v>Error?</v>
      </c>
      <c r="E6266" s="2" t="s">
        <v>199</v>
      </c>
    </row>
    <row r="6267" spans="1:5" x14ac:dyDescent="0.2">
      <c r="A6267">
        <v>6206</v>
      </c>
      <c r="B6267" s="138">
        <f>'Acct Summary 7-8'!C82</f>
        <v>505735</v>
      </c>
      <c r="D6267" s="2" t="str">
        <f t="shared" si="96"/>
        <v>Error?</v>
      </c>
      <c r="E6267" s="2" t="s">
        <v>199</v>
      </c>
    </row>
    <row r="6268" spans="1:5" x14ac:dyDescent="0.2">
      <c r="A6268">
        <v>6207</v>
      </c>
      <c r="B6268" s="138">
        <f>'Acct Summary 7-8'!D82</f>
        <v>127932</v>
      </c>
      <c r="D6268" s="2" t="str">
        <f t="shared" si="96"/>
        <v>Error?</v>
      </c>
      <c r="E6268" s="2" t="s">
        <v>199</v>
      </c>
    </row>
    <row r="6269" spans="1:5" x14ac:dyDescent="0.2">
      <c r="A6269">
        <v>6208</v>
      </c>
      <c r="B6269" s="138">
        <f>'Acct Summary 7-8'!E82</f>
        <v>15489</v>
      </c>
      <c r="D6269" s="2" t="str">
        <f t="shared" si="96"/>
        <v>Error?</v>
      </c>
      <c r="E6269" s="2" t="s">
        <v>199</v>
      </c>
    </row>
    <row r="6270" spans="1:5" x14ac:dyDescent="0.2">
      <c r="A6270">
        <v>6209</v>
      </c>
      <c r="B6270" s="138">
        <f>'Acct Summary 7-8'!F82</f>
        <v>111465</v>
      </c>
      <c r="D6270" s="2" t="str">
        <f t="shared" si="96"/>
        <v>Error?</v>
      </c>
      <c r="E6270" s="2" t="s">
        <v>199</v>
      </c>
    </row>
    <row r="6271" spans="1:5" x14ac:dyDescent="0.2">
      <c r="A6271">
        <v>6210</v>
      </c>
      <c r="B6271" s="138">
        <f>'Acct Summary 7-8'!G82</f>
        <v>23896</v>
      </c>
      <c r="D6271" s="2" t="str">
        <f t="shared" ref="D6271:D6334" si="97">IF(ISBLANK(B6271),"OK",IF(A6271-B6271=0,"OK","Error?"))</f>
        <v>Error?</v>
      </c>
      <c r="E6271" s="2" t="s">
        <v>199</v>
      </c>
    </row>
    <row r="6272" spans="1:5" x14ac:dyDescent="0.2">
      <c r="A6272">
        <v>6211</v>
      </c>
      <c r="B6272" s="138">
        <f>'Acct Summary 7-8'!H82</f>
        <v>146101</v>
      </c>
      <c r="D6272" s="2" t="str">
        <f t="shared" si="97"/>
        <v>Error?</v>
      </c>
      <c r="E6272" s="2" t="s">
        <v>199</v>
      </c>
    </row>
    <row r="6273" spans="1:5" x14ac:dyDescent="0.2">
      <c r="A6273">
        <v>6212</v>
      </c>
      <c r="B6273" s="138">
        <f>'Acct Summary 7-8'!I82</f>
        <v>38462</v>
      </c>
      <c r="D6273" s="2" t="str">
        <f t="shared" si="97"/>
        <v>Error?</v>
      </c>
      <c r="E6273" s="2" t="s">
        <v>199</v>
      </c>
    </row>
    <row r="6274" spans="1:5" x14ac:dyDescent="0.2">
      <c r="A6274">
        <v>6213</v>
      </c>
      <c r="B6274" s="138">
        <f>'Acct Summary 7-8'!J82</f>
        <v>67158</v>
      </c>
      <c r="D6274" s="2" t="str">
        <f t="shared" si="97"/>
        <v>Error?</v>
      </c>
      <c r="E6274" s="2" t="s">
        <v>199</v>
      </c>
    </row>
    <row r="6275" spans="1:5" x14ac:dyDescent="0.2">
      <c r="A6275">
        <v>6214</v>
      </c>
      <c r="B6275" s="138">
        <f>'Acct Summary 7-8'!K82</f>
        <v>12577</v>
      </c>
      <c r="D6275" s="2" t="str">
        <f t="shared" si="97"/>
        <v>Error?</v>
      </c>
      <c r="E6275" s="2" t="s">
        <v>199</v>
      </c>
    </row>
    <row r="6276" spans="1:5" x14ac:dyDescent="0.2">
      <c r="A6276">
        <v>6215</v>
      </c>
      <c r="B6276" s="138">
        <f>'Acct Summary 7-8'!C83</f>
        <v>0.15769938845434736</v>
      </c>
      <c r="D6276" s="2" t="str">
        <f t="shared" si="97"/>
        <v>Error?</v>
      </c>
      <c r="E6276" s="2" t="s">
        <v>199</v>
      </c>
    </row>
    <row r="6277" spans="1:5" x14ac:dyDescent="0.2">
      <c r="A6277">
        <v>6216</v>
      </c>
      <c r="B6277" s="138">
        <f>'Acct Summary 7-8'!D83</f>
        <v>0.23068600650591808</v>
      </c>
      <c r="D6277" s="2" t="str">
        <f t="shared" si="97"/>
        <v>Error?</v>
      </c>
      <c r="E6277" s="2" t="s">
        <v>199</v>
      </c>
    </row>
    <row r="6278" spans="1:5" x14ac:dyDescent="0.2">
      <c r="A6278">
        <v>6217</v>
      </c>
      <c r="B6278" s="138">
        <f>'Acct Summary 7-8'!E83</f>
        <v>6.1042318575561E-2</v>
      </c>
      <c r="D6278" s="2" t="str">
        <f t="shared" si="97"/>
        <v>Error?</v>
      </c>
      <c r="E6278" s="2" t="s">
        <v>199</v>
      </c>
    </row>
    <row r="6279" spans="1:5" x14ac:dyDescent="0.2">
      <c r="A6279">
        <v>6218</v>
      </c>
      <c r="B6279" s="138">
        <f>'Acct Summary 7-8'!F83</f>
        <v>0.29358080879912768</v>
      </c>
      <c r="D6279" s="2" t="str">
        <f t="shared" si="97"/>
        <v>Error?</v>
      </c>
      <c r="E6279" s="2" t="s">
        <v>199</v>
      </c>
    </row>
    <row r="6280" spans="1:5" x14ac:dyDescent="0.2">
      <c r="A6280">
        <v>6219</v>
      </c>
      <c r="B6280" s="138">
        <f>'Acct Summary 7-8'!G83</f>
        <v>7.8538608680790642E-2</v>
      </c>
      <c r="D6280" s="2" t="str">
        <f t="shared" si="97"/>
        <v>Error?</v>
      </c>
      <c r="E6280" s="2" t="s">
        <v>199</v>
      </c>
    </row>
    <row r="6281" spans="1:5" x14ac:dyDescent="0.2">
      <c r="A6281">
        <v>6220</v>
      </c>
      <c r="B6281" s="138">
        <f>'Acct Summary 7-8'!H83</f>
        <v>0.95112884745586168</v>
      </c>
      <c r="D6281" s="2" t="str">
        <f t="shared" si="97"/>
        <v>Error?</v>
      </c>
      <c r="E6281" s="2" t="s">
        <v>199</v>
      </c>
    </row>
    <row r="6282" spans="1:5" x14ac:dyDescent="0.2">
      <c r="A6282">
        <v>6221</v>
      </c>
      <c r="B6282" s="138">
        <f>'Acct Summary 7-8'!I83</f>
        <v>8.0244350745132073E-2</v>
      </c>
      <c r="D6282" s="2" t="str">
        <f t="shared" si="97"/>
        <v>Error?</v>
      </c>
      <c r="E6282" s="2" t="s">
        <v>199</v>
      </c>
    </row>
    <row r="6283" spans="1:5" x14ac:dyDescent="0.2">
      <c r="A6283">
        <v>6222</v>
      </c>
      <c r="B6283" s="138">
        <f>'Acct Summary 7-8'!J83</f>
        <v>0.2305545351867046</v>
      </c>
      <c r="D6283" s="2" t="str">
        <f t="shared" si="97"/>
        <v>Error?</v>
      </c>
      <c r="E6283" s="2" t="s">
        <v>199</v>
      </c>
    </row>
    <row r="6284" spans="1:5" x14ac:dyDescent="0.2">
      <c r="A6284">
        <v>6223</v>
      </c>
      <c r="B6284" s="138">
        <f>'Acct Summary 7-8'!K83</f>
        <v>0.18675199714905116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217231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217231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2140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2140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322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2500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322</v>
      </c>
      <c r="D6351" s="2" t="str">
        <f t="shared" si="98"/>
        <v>Error?</v>
      </c>
      <c r="E6351" s="2" t="s">
        <v>199</v>
      </c>
    </row>
    <row r="6352" spans="1:5" x14ac:dyDescent="0.2">
      <c r="A6352">
        <v>6291</v>
      </c>
      <c r="B6352" s="138">
        <f>'Revenues 9-14'!J109</f>
        <v>219693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3066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63059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53142</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53142</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89786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3822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192085</v>
      </c>
      <c r="D6880" s="2" t="str">
        <f t="shared" si="106"/>
        <v>Error?</v>
      </c>
    </row>
    <row r="6881" spans="1:4" x14ac:dyDescent="0.2">
      <c r="A6881">
        <v>6820</v>
      </c>
      <c r="B6881" s="138">
        <f>'Expenditures 15-22'!K22</f>
        <v>192085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32558</v>
      </c>
      <c r="D6983" s="2" t="str">
        <f t="shared" si="108"/>
        <v>Error?</v>
      </c>
    </row>
    <row r="6984" spans="1:4" x14ac:dyDescent="0.2">
      <c r="A6984">
        <v>6923</v>
      </c>
      <c r="B6984" s="138">
        <f>'Expenditures 15-22'!K86</f>
        <v>32558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52000</v>
      </c>
      <c r="D6987" s="2" t="str">
        <f t="shared" si="108"/>
        <v>Error?</v>
      </c>
    </row>
    <row r="6988" spans="1:4" x14ac:dyDescent="0.2">
      <c r="A6988">
        <v>6927</v>
      </c>
      <c r="B6988" s="138">
        <f>'Expenditures 15-22'!K88</f>
        <v>52000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84558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152535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219693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5186</v>
      </c>
      <c r="D7073" s="2" t="str">
        <f t="shared" si="109"/>
        <v>Error?</v>
      </c>
    </row>
    <row r="7074" spans="1:4" x14ac:dyDescent="0.2">
      <c r="A7074">
        <v>7013</v>
      </c>
      <c r="B7074" s="138">
        <f>'Expenditures 15-22'!K216</f>
        <v>5186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47</v>
      </c>
      <c r="D7079" s="2" t="str">
        <f t="shared" si="109"/>
        <v>Error?</v>
      </c>
    </row>
    <row r="7080" spans="1:4" x14ac:dyDescent="0.2">
      <c r="A7080">
        <v>7019</v>
      </c>
      <c r="B7080" s="138">
        <f>'Expenditures 15-22'!K226</f>
        <v>47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2398</v>
      </c>
      <c r="D7093" s="2" t="str">
        <f t="shared" si="109"/>
        <v>Error?</v>
      </c>
    </row>
    <row r="7094" spans="1:4" x14ac:dyDescent="0.2">
      <c r="A7094">
        <v>7033</v>
      </c>
      <c r="B7094" s="138">
        <f>'Expenditures 15-22'!K254</f>
        <v>2398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30927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30927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74411</v>
      </c>
      <c r="D7172" s="2" t="str">
        <f t="shared" si="111"/>
        <v>Error?</v>
      </c>
    </row>
    <row r="7173" spans="1:4" x14ac:dyDescent="0.2">
      <c r="A7173">
        <v>7112</v>
      </c>
      <c r="B7173" s="138">
        <f>'Expenditures 15-22'!D325</f>
        <v>18704</v>
      </c>
      <c r="D7173" s="2" t="str">
        <f t="shared" si="111"/>
        <v>Error?</v>
      </c>
    </row>
    <row r="7174" spans="1:4" x14ac:dyDescent="0.2">
      <c r="A7174">
        <v>7113</v>
      </c>
      <c r="B7174" s="138">
        <f>'Expenditures 15-22'!E325</f>
        <v>935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94050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4588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4588</v>
      </c>
      <c r="D7198" s="2" t="str">
        <f t="shared" si="111"/>
        <v>Error?</v>
      </c>
    </row>
    <row r="7199" spans="1:4" x14ac:dyDescent="0.2">
      <c r="A7199">
        <v>7138</v>
      </c>
      <c r="B7199" s="138">
        <f>'Expenditures 15-22'!C330</f>
        <v>74411</v>
      </c>
      <c r="D7199" s="2" t="str">
        <f t="shared" si="111"/>
        <v>Error?</v>
      </c>
    </row>
    <row r="7200" spans="1:4" x14ac:dyDescent="0.2">
      <c r="A7200">
        <v>7139</v>
      </c>
      <c r="B7200" s="138">
        <f>'Expenditures 15-22'!D330</f>
        <v>18704</v>
      </c>
      <c r="D7200" s="2" t="str">
        <f t="shared" si="111"/>
        <v>Error?</v>
      </c>
    </row>
    <row r="7201" spans="1:4" x14ac:dyDescent="0.2">
      <c r="A7201">
        <v>7140</v>
      </c>
      <c r="B7201" s="138">
        <f>'Expenditures 15-22'!E330</f>
        <v>59420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152535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74411</v>
      </c>
      <c r="D7216" s="2" t="str">
        <f t="shared" si="111"/>
        <v>Error?</v>
      </c>
    </row>
    <row r="7217" spans="1:4" x14ac:dyDescent="0.2">
      <c r="A7217">
        <v>7156</v>
      </c>
      <c r="B7217" s="138">
        <f>'Expenditures 15-22'!D342</f>
        <v>18704</v>
      </c>
      <c r="D7217" s="2" t="str">
        <f t="shared" si="111"/>
        <v>Error?</v>
      </c>
    </row>
    <row r="7218" spans="1:4" x14ac:dyDescent="0.2">
      <c r="A7218">
        <v>7157</v>
      </c>
      <c r="B7218" s="138">
        <f>'Expenditures 15-22'!E342</f>
        <v>59420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152535</v>
      </c>
      <c r="D7224" s="2" t="str">
        <f t="shared" si="111"/>
        <v>Error?</v>
      </c>
    </row>
    <row r="7225" spans="1:4" x14ac:dyDescent="0.2">
      <c r="A7225">
        <v>7164</v>
      </c>
      <c r="B7225" s="138">
        <f>'Expenditures 15-22'!K343</f>
        <v>67158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20699</v>
      </c>
      <c r="D7246" s="2" t="str">
        <f t="shared" si="112"/>
        <v>Error?</v>
      </c>
    </row>
    <row r="7247" spans="1:4" x14ac:dyDescent="0.2">
      <c r="A7247">
        <f t="shared" si="113"/>
        <v>7186</v>
      </c>
      <c r="B7247" s="138">
        <f>'Expenditures 15-22'!E7</f>
        <v>880</v>
      </c>
      <c r="D7247" s="2" t="str">
        <f t="shared" si="112"/>
        <v>Error?</v>
      </c>
    </row>
    <row r="7248" spans="1:4" x14ac:dyDescent="0.2">
      <c r="A7248">
        <f t="shared" si="113"/>
        <v>7187</v>
      </c>
      <c r="B7248" s="138">
        <f>'Expenditures 15-22'!F7</f>
        <v>5148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3238</v>
      </c>
      <c r="D7263" s="2" t="str">
        <f t="shared" si="112"/>
        <v>Error?</v>
      </c>
    </row>
    <row r="7264" spans="1:4" x14ac:dyDescent="0.2">
      <c r="A7264">
        <f t="shared" si="113"/>
        <v>7203</v>
      </c>
      <c r="B7264" s="138">
        <f>'Expenditures 15-22'!D17</f>
        <v>371</v>
      </c>
      <c r="D7264" s="2" t="str">
        <f t="shared" si="112"/>
        <v>Error?</v>
      </c>
    </row>
    <row r="7265" spans="1:5" x14ac:dyDescent="0.2">
      <c r="A7265">
        <f t="shared" si="113"/>
        <v>7204</v>
      </c>
      <c r="B7265" s="138">
        <f>'Expenditures 15-22'!E17</f>
        <v>80</v>
      </c>
      <c r="D7265" s="2" t="str">
        <f t="shared" si="112"/>
        <v>Error?</v>
      </c>
    </row>
    <row r="7266" spans="1:5" x14ac:dyDescent="0.2">
      <c r="A7266">
        <f t="shared" si="113"/>
        <v>7205</v>
      </c>
      <c r="B7266" s="138">
        <f>'Expenditures 15-22'!F17</f>
        <v>133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2573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2573</v>
      </c>
      <c r="D7618" s="2" t="str">
        <f t="shared" si="124"/>
        <v>Error?</v>
      </c>
      <c r="E7618" s="2" t="s">
        <v>19</v>
      </c>
    </row>
    <row r="7619" spans="1:5" x14ac:dyDescent="0.2">
      <c r="A7619">
        <f t="shared" si="123"/>
        <v>7558</v>
      </c>
      <c r="B7619" s="138">
        <f>'Cap Outlay Deprec 26'!H14</f>
        <v>2573</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2573</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376679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22970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22970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7507</v>
      </c>
      <c r="D7708" s="2" t="str">
        <f t="shared" si="126"/>
        <v>Error?</v>
      </c>
      <c r="E7708" s="2" t="s">
        <v>881</v>
      </c>
    </row>
    <row r="7709" spans="1:5" x14ac:dyDescent="0.2">
      <c r="A7709">
        <v>7648</v>
      </c>
      <c r="B7709" s="138">
        <f>'Rest Tax Levies-Tort Im 25'!K3</f>
        <v>6739</v>
      </c>
      <c r="D7709" s="2" t="str">
        <f t="shared" si="126"/>
        <v>Error?</v>
      </c>
      <c r="E7709" s="2" t="s">
        <v>881</v>
      </c>
    </row>
    <row r="7710" spans="1:5" x14ac:dyDescent="0.2">
      <c r="A7710">
        <v>7649</v>
      </c>
      <c r="B7710" s="138">
        <f>'Rest Tax Levies-Tort Im 25'!J6</f>
        <v>3</v>
      </c>
      <c r="D7710" s="2" t="str">
        <f t="shared" si="126"/>
        <v>Error?</v>
      </c>
      <c r="E7710" s="2" t="s">
        <v>881</v>
      </c>
    </row>
    <row r="7711" spans="1:5" x14ac:dyDescent="0.2">
      <c r="A7711">
        <v>7650</v>
      </c>
      <c r="B7711" s="138">
        <f>'Rest Tax Levies-Tort Im 25'!K6</f>
        <v>4</v>
      </c>
      <c r="D7711" s="2" t="str">
        <f t="shared" si="126"/>
        <v>Error?</v>
      </c>
      <c r="E7711" s="2" t="s">
        <v>881</v>
      </c>
    </row>
    <row r="7712" spans="1:5" x14ac:dyDescent="0.2">
      <c r="A7712">
        <v>7651</v>
      </c>
      <c r="B7712" s="138">
        <f>'Rest Tax Levies-Tort Im 25'!K7</f>
        <v>2500</v>
      </c>
      <c r="D7712" s="2" t="str">
        <f t="shared" si="126"/>
        <v>Error?</v>
      </c>
      <c r="E7712" s="2" t="s">
        <v>881</v>
      </c>
    </row>
    <row r="7713" spans="1:6" x14ac:dyDescent="0.2">
      <c r="A7713">
        <v>7652</v>
      </c>
      <c r="B7713" s="138">
        <f>'Rest Tax Levies-Tort Im 25'!J8</f>
        <v>3975</v>
      </c>
      <c r="D7713" s="2" t="str">
        <f t="shared" si="126"/>
        <v>Error?</v>
      </c>
      <c r="E7713" s="2" t="s">
        <v>881</v>
      </c>
    </row>
    <row r="7714" spans="1:6" x14ac:dyDescent="0.2">
      <c r="A7714">
        <v>7653</v>
      </c>
      <c r="B7714" s="138">
        <f>'Rest Tax Levies-Tort Im 25'!K9</f>
        <v>2189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3978</v>
      </c>
      <c r="D7718" s="2" t="str">
        <f t="shared" si="126"/>
        <v>Error?</v>
      </c>
      <c r="E7718" s="2" t="s">
        <v>881</v>
      </c>
    </row>
    <row r="7719" spans="1:6" x14ac:dyDescent="0.2">
      <c r="A7719">
        <v>7658</v>
      </c>
      <c r="B7719" s="138">
        <f>'Rest Tax Levies-Tort Im 25'!K12</f>
        <v>4693</v>
      </c>
      <c r="D7719" s="2" t="str">
        <f t="shared" si="126"/>
        <v>Error?</v>
      </c>
      <c r="E7719" s="2" t="s">
        <v>881</v>
      </c>
    </row>
    <row r="7720" spans="1:6" x14ac:dyDescent="0.2">
      <c r="A7720">
        <v>7659</v>
      </c>
      <c r="B7720" s="138">
        <f>'Rest Tax Levies-Tort Im 25'!H14</f>
        <v>27957</v>
      </c>
      <c r="D7720" s="2" t="str">
        <f t="shared" si="126"/>
        <v>Error?</v>
      </c>
      <c r="E7720" s="2" t="s">
        <v>881</v>
      </c>
    </row>
    <row r="7721" spans="1:6" x14ac:dyDescent="0.2">
      <c r="A7721">
        <v>7660</v>
      </c>
      <c r="B7721" s="138">
        <f>'Rest Tax Levies-Tort Im 25'!K14</f>
        <v>3822</v>
      </c>
      <c r="D7721" s="2" t="str">
        <f t="shared" si="126"/>
        <v>Error?</v>
      </c>
      <c r="E7721" s="2" t="s">
        <v>881</v>
      </c>
    </row>
    <row r="7722" spans="1:6" x14ac:dyDescent="0.2">
      <c r="A7722">
        <v>7661</v>
      </c>
      <c r="B7722" s="138">
        <f>'Rest Tax Levies-Tort Im 25'!J15</f>
        <v>7875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7875</v>
      </c>
      <c r="D7730" s="2" t="str">
        <f t="shared" si="126"/>
        <v>Error?</v>
      </c>
      <c r="E7730" s="2" t="s">
        <v>881</v>
      </c>
    </row>
    <row r="7731" spans="1:6" x14ac:dyDescent="0.2">
      <c r="A7731">
        <v>7670</v>
      </c>
      <c r="B7731" s="138">
        <f>'Revenues 9-14'!H103</f>
        <v>3976</v>
      </c>
      <c r="D7731" s="2" t="str">
        <f t="shared" si="126"/>
        <v>Error?</v>
      </c>
      <c r="E7731" s="2" t="s">
        <v>881</v>
      </c>
    </row>
    <row r="7732" spans="1:6" x14ac:dyDescent="0.2">
      <c r="A7732">
        <v>7671</v>
      </c>
      <c r="B7732" s="138">
        <f>'Rest Tax Levies-Tort Im 25'!J24</f>
        <v>3610</v>
      </c>
      <c r="D7732" s="2" t="str">
        <f t="shared" si="126"/>
        <v>Error?</v>
      </c>
      <c r="E7732" s="2" t="s">
        <v>881</v>
      </c>
    </row>
    <row r="7733" spans="1:6" x14ac:dyDescent="0.2">
      <c r="A7733">
        <v>7672</v>
      </c>
      <c r="B7733" s="138">
        <f>'Rest Tax Levies-Tort Im 25'!K24</f>
        <v>7610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3610</v>
      </c>
      <c r="D7737" s="2" t="str">
        <f t="shared" si="126"/>
        <v>Error?</v>
      </c>
      <c r="E7737" s="2" t="s">
        <v>881</v>
      </c>
    </row>
    <row r="7738" spans="1:6" x14ac:dyDescent="0.2">
      <c r="A7738">
        <v>7677</v>
      </c>
      <c r="B7738" s="138">
        <f>'Rest Tax Levies-Tort Im 25'!K25</f>
        <v>7610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29'!D138</f>
        <v>261656.73</v>
      </c>
      <c r="D7797" s="2" t="str">
        <f t="shared" si="127"/>
        <v>Error?</v>
      </c>
      <c r="E7797" s="4" t="s">
        <v>2020</v>
      </c>
    </row>
    <row r="7798" spans="1:5" x14ac:dyDescent="0.2">
      <c r="A7798">
        <v>7737</v>
      </c>
      <c r="B7798" s="138">
        <f>'Contracts Paid in CY 29'!F138</f>
        <v>75000</v>
      </c>
      <c r="D7798" s="2" t="str">
        <f t="shared" si="127"/>
        <v>Error?</v>
      </c>
      <c r="E7798" s="4" t="s">
        <v>2020</v>
      </c>
    </row>
    <row r="7799" spans="1:5" x14ac:dyDescent="0.2">
      <c r="A7799">
        <v>7738</v>
      </c>
      <c r="B7799" s="138">
        <f>'Contracts Paid in CY 29'!G138</f>
        <v>186656.72999999998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4" t="s">
        <v>1253</v>
      </c>
      <c r="B2" s="2394"/>
      <c r="C2" s="2394"/>
      <c r="D2" s="2394"/>
      <c r="E2" s="2394"/>
      <c r="F2" s="2394"/>
      <c r="G2" s="2394"/>
      <c r="H2" s="2394"/>
      <c r="I2" s="2394"/>
      <c r="J2" s="2394"/>
      <c r="K2" s="2394"/>
      <c r="L2" s="2394"/>
    </row>
    <row r="3" spans="1:29" ht="13.5" customHeight="1" x14ac:dyDescent="0.2">
      <c r="A3" s="2425" t="s">
        <v>1252</v>
      </c>
      <c r="B3" s="2425"/>
      <c r="C3" s="2425"/>
      <c r="D3" s="2425"/>
      <c r="E3" s="2425"/>
      <c r="F3" s="2425"/>
      <c r="G3" s="2425"/>
      <c r="H3" s="2425"/>
      <c r="I3" s="2425"/>
      <c r="J3" s="2425"/>
      <c r="K3" s="2425"/>
      <c r="L3" s="2425"/>
    </row>
    <row r="4" spans="1:29" ht="13.5" customHeight="1" x14ac:dyDescent="0.2">
      <c r="A4" s="2394" t="s">
        <v>1799</v>
      </c>
      <c r="B4" s="2415"/>
      <c r="C4" s="2415"/>
      <c r="D4" s="2415"/>
      <c r="E4" s="2415"/>
      <c r="F4" s="2415"/>
      <c r="G4" s="2415"/>
      <c r="H4" s="2415"/>
      <c r="I4" s="2415"/>
      <c r="J4" s="2415"/>
      <c r="K4" s="2415"/>
      <c r="L4" s="241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6" t="str">
        <f>COVER!A17</f>
        <v>Hiawatha CUSD 426</v>
      </c>
      <c r="B7" s="2417"/>
      <c r="C7" s="2417"/>
      <c r="D7" s="2418"/>
      <c r="E7" s="2419">
        <f>COVER!A13</f>
        <v>16019426026</v>
      </c>
      <c r="F7" s="2420"/>
      <c r="G7" s="2426" t="str">
        <f>COVER!T23</f>
        <v>066-005027</v>
      </c>
      <c r="H7" s="2427"/>
      <c r="I7" s="2427"/>
      <c r="J7" s="2427"/>
      <c r="K7" s="2427"/>
      <c r="L7" s="2428"/>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29"/>
      <c r="B9" s="2430"/>
      <c r="C9" s="2430"/>
      <c r="D9" s="2430"/>
      <c r="E9" s="2430"/>
      <c r="F9" s="2431"/>
      <c r="G9" s="2400" t="str">
        <f>COVER!T13</f>
        <v>Gorenz and Associates, Ltd.</v>
      </c>
      <c r="H9" s="2432"/>
      <c r="I9" s="2432"/>
      <c r="J9" s="2432"/>
      <c r="K9" s="2432"/>
      <c r="L9" s="2433"/>
    </row>
    <row r="10" spans="1:29" ht="13.5" customHeight="1" x14ac:dyDescent="0.2">
      <c r="A10" s="2406" t="str">
        <f>COVER!A38</f>
        <v>Jared Poynter</v>
      </c>
      <c r="B10" s="2407"/>
      <c r="C10" s="2407"/>
      <c r="D10" s="2407"/>
      <c r="E10" s="2407"/>
      <c r="F10" s="2408"/>
      <c r="G10" s="2400" t="str">
        <f>COVER!T17</f>
        <v>4200 N Knoxville Ave</v>
      </c>
      <c r="H10" s="2401"/>
      <c r="I10" s="2401"/>
      <c r="J10" s="2401"/>
      <c r="K10" s="2401"/>
      <c r="L10" s="2402"/>
    </row>
    <row r="11" spans="1:29" ht="13.5" customHeight="1" x14ac:dyDescent="0.2">
      <c r="A11" s="1183" t="s">
        <v>1599</v>
      </c>
      <c r="B11" s="1184"/>
      <c r="C11" s="1185"/>
      <c r="D11" s="1190"/>
      <c r="E11" s="1185"/>
      <c r="F11" s="1189"/>
      <c r="G11" s="2400" t="str">
        <f>COVER!T19</f>
        <v>Peoria</v>
      </c>
      <c r="H11" s="2401"/>
      <c r="I11" s="2401"/>
      <c r="J11" s="2401"/>
      <c r="K11" s="2401"/>
      <c r="L11" s="2402"/>
    </row>
    <row r="12" spans="1:29" ht="13.5" customHeight="1" x14ac:dyDescent="0.2">
      <c r="A12" s="2409" t="s">
        <v>1598</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1600</v>
      </c>
      <c r="H13" s="2396"/>
      <c r="I13" s="2412" t="str">
        <f>COVER!T25</f>
        <v>rrumbold@gorenzcpa.com</v>
      </c>
      <c r="J13" s="2413"/>
      <c r="K13" s="2413"/>
      <c r="L13" s="2414"/>
    </row>
    <row r="14" spans="1:29" ht="13.5" customHeight="1" x14ac:dyDescent="0.2">
      <c r="A14" s="2400" t="str">
        <f>COVER!A19</f>
        <v>410 South First Street</v>
      </c>
      <c r="B14" s="2401"/>
      <c r="C14" s="2401"/>
      <c r="D14" s="2401"/>
      <c r="E14" s="2401"/>
      <c r="F14" s="2402"/>
      <c r="G14" s="1194" t="s">
        <v>1247</v>
      </c>
      <c r="H14" s="1192"/>
      <c r="I14" s="1192"/>
      <c r="J14" s="1192"/>
      <c r="K14" s="1192"/>
      <c r="L14" s="1193"/>
    </row>
    <row r="15" spans="1:29" ht="13.5" customHeight="1" x14ac:dyDescent="0.2">
      <c r="A15" s="2400" t="str">
        <f>COVER!A21</f>
        <v>Kirkland</v>
      </c>
      <c r="B15" s="2401"/>
      <c r="C15" s="2401"/>
      <c r="D15" s="2401"/>
      <c r="E15" s="2401"/>
      <c r="F15" s="2402"/>
      <c r="G15" s="2397" t="str">
        <f>COVER!T15</f>
        <v>Russell J. Rumbold II, CPA</v>
      </c>
      <c r="H15" s="2398"/>
      <c r="I15" s="2398"/>
      <c r="J15" s="2398"/>
      <c r="K15" s="2398"/>
      <c r="L15" s="2399"/>
    </row>
    <row r="16" spans="1:29" ht="12.2" customHeight="1" x14ac:dyDescent="0.2">
      <c r="A16" s="2422">
        <f>COVER!A25</f>
        <v>60146</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4" t="s">
        <v>1246</v>
      </c>
      <c r="H17" s="1192"/>
      <c r="I17" s="1192"/>
      <c r="J17" s="1192"/>
      <c r="K17" s="1196" t="s">
        <v>1245</v>
      </c>
      <c r="L17" s="1189"/>
      <c r="M17" s="1182"/>
    </row>
    <row r="18" spans="1:13" ht="12.2" customHeight="1" x14ac:dyDescent="0.2">
      <c r="A18" s="2406"/>
      <c r="B18" s="2407"/>
      <c r="C18" s="2407"/>
      <c r="D18" s="2407"/>
      <c r="E18" s="2407"/>
      <c r="F18" s="2408"/>
      <c r="G18" s="2416" t="str">
        <f>COVER!T21</f>
        <v>309-685-7621</v>
      </c>
      <c r="H18" s="2417"/>
      <c r="I18" s="2417"/>
      <c r="J18" s="2417"/>
      <c r="K18" s="2416" t="str">
        <f>COVER!X21</f>
        <v>309-685-4758</v>
      </c>
      <c r="L18" s="242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8" t="str">
        <f>'Single Audit Cover'!A7</f>
        <v>Hiawatha CUSD 426</v>
      </c>
      <c r="B1" s="2415"/>
      <c r="C1" s="2415"/>
      <c r="D1" s="2415"/>
    </row>
    <row r="2" spans="1:11" s="1213" customFormat="1" ht="12.75" x14ac:dyDescent="0.2">
      <c r="A2" s="2439">
        <f>'Single Audit Cover'!E7</f>
        <v>16019426026</v>
      </c>
      <c r="B2" s="2440"/>
      <c r="C2" s="2440"/>
      <c r="D2" s="2440"/>
    </row>
    <row r="3" spans="1:11" s="1213" customFormat="1" ht="12.75" x14ac:dyDescent="0.2">
      <c r="A3" s="2438" t="s">
        <v>1593</v>
      </c>
      <c r="B3" s="2415"/>
      <c r="C3" s="2415"/>
      <c r="D3" s="241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2" t="str">
        <f>'Single Audit Cover'!A7</f>
        <v>Hiawatha CUSD 426</v>
      </c>
      <c r="B1" s="2442"/>
      <c r="C1" s="2442"/>
      <c r="D1" s="2442"/>
      <c r="E1" s="2442"/>
    </row>
    <row r="2" spans="1:5" x14ac:dyDescent="0.2">
      <c r="A2" s="2443">
        <f>'Single Audit Cover'!E7</f>
        <v>16019426026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58" t="s">
        <v>1305</v>
      </c>
    </row>
    <row r="10" spans="1:5" x14ac:dyDescent="0.2">
      <c r="A10" s="1259" t="s">
        <v>1304</v>
      </c>
      <c r="B10" s="1260" t="s">
        <v>1303</v>
      </c>
      <c r="C10" s="1260"/>
      <c r="D10" s="1261">
        <f>SUM('Acct Summary 7-8'!C7:K7)</f>
        <v>399256</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15314</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-9251</v>
      </c>
    </row>
    <row r="19" spans="1:4" ht="13.5" thickBot="1" x14ac:dyDescent="0.25">
      <c r="A19" s="1263" t="s">
        <v>1297</v>
      </c>
      <c r="D19" s="1264">
        <f>SUM(D10:D17)</f>
        <v>405319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4"/>
      <c r="B24" s="2444"/>
      <c r="D24" s="1266"/>
    </row>
    <row r="25" spans="1:4" x14ac:dyDescent="0.2">
      <c r="A25" s="2441"/>
      <c r="B25" s="2441"/>
      <c r="D25" s="1266"/>
    </row>
    <row r="26" spans="1:4" x14ac:dyDescent="0.2">
      <c r="A26" s="2441"/>
      <c r="B26" s="2441"/>
      <c r="D26" s="1266"/>
    </row>
    <row r="27" spans="1:4" x14ac:dyDescent="0.2">
      <c r="A27" s="2441"/>
      <c r="B27" s="2441"/>
      <c r="D27" s="1266"/>
    </row>
    <row r="28" spans="1:4" x14ac:dyDescent="0.2">
      <c r="A28" s="2441"/>
      <c r="B28" s="2441"/>
      <c r="D28" s="1266"/>
    </row>
    <row r="29" spans="1:4" x14ac:dyDescent="0.2">
      <c r="A29" s="2441"/>
      <c r="B29" s="2441"/>
      <c r="D29" s="1266"/>
    </row>
    <row r="30" spans="1:4" x14ac:dyDescent="0.2">
      <c r="A30" s="2441"/>
      <c r="B30" s="2441"/>
      <c r="D30" s="1266"/>
    </row>
    <row r="32" spans="1:4" x14ac:dyDescent="0.2">
      <c r="A32" s="1258" t="s">
        <v>1295</v>
      </c>
      <c r="D32" s="1261">
        <f>SUM(D19:D30)</f>
        <v>405319</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1"/>
      <c r="B40" s="2441"/>
      <c r="D40" s="1266"/>
    </row>
    <row r="41" spans="1:4" x14ac:dyDescent="0.2">
      <c r="A41" s="2441"/>
      <c r="B41" s="2441"/>
      <c r="D41" s="1269"/>
    </row>
    <row r="42" spans="1:4" x14ac:dyDescent="0.2">
      <c r="A42" s="2441"/>
      <c r="B42" s="2441"/>
      <c r="D42" s="1269"/>
    </row>
    <row r="43" spans="1:4" x14ac:dyDescent="0.2">
      <c r="A43" s="2441"/>
      <c r="B43" s="2441"/>
      <c r="D43" s="1269"/>
    </row>
    <row r="44" spans="1:4" x14ac:dyDescent="0.2">
      <c r="A44" s="2441"/>
      <c r="B44" s="2441"/>
      <c r="D44" s="1269"/>
    </row>
    <row r="45" spans="1:4" x14ac:dyDescent="0.2">
      <c r="A45" s="2441"/>
      <c r="B45" s="2441"/>
      <c r="D45" s="1269"/>
    </row>
    <row r="47" spans="1:4" x14ac:dyDescent="0.2">
      <c r="B47" s="1270" t="s">
        <v>1289</v>
      </c>
      <c r="C47" s="1270"/>
      <c r="D47" s="1271">
        <f>SUM(D35:D45)</f>
        <v>0</v>
      </c>
    </row>
    <row r="49" spans="2:4" x14ac:dyDescent="0.2">
      <c r="B49" s="1270" t="s">
        <v>1288</v>
      </c>
      <c r="C49" s="1270"/>
      <c r="D49" s="1271">
        <f>D32-D47</f>
        <v>405319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Hiawatha CUSD 426</v>
      </c>
      <c r="B1" s="2455"/>
      <c r="C1" s="2455"/>
      <c r="D1" s="2455"/>
      <c r="E1" s="2455"/>
      <c r="F1" s="2455"/>
    </row>
    <row r="2" spans="1:7" ht="13.5" customHeight="1" x14ac:dyDescent="0.2">
      <c r="A2" s="2456">
        <f>'Single Audit Cover'!E7</f>
        <v>16019426026</v>
      </c>
      <c r="B2" s="2456"/>
      <c r="C2" s="2456"/>
      <c r="D2" s="2456"/>
      <c r="E2" s="2456"/>
      <c r="F2" s="2456"/>
      <c r="G2" s="1273"/>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4" t="s">
        <v>1831</v>
      </c>
      <c r="C6" s="317"/>
      <c r="D6" s="317"/>
    </row>
    <row r="7" spans="1:7" ht="60.95" customHeight="1" x14ac:dyDescent="0.2">
      <c r="A7" s="2454" t="s">
        <v>1832</v>
      </c>
      <c r="B7" s="2454"/>
      <c r="C7" s="2454"/>
      <c r="D7" s="2454"/>
      <c r="E7" s="2454"/>
      <c r="F7" s="2454"/>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4"/>
      <c r="D11" s="1278"/>
      <c r="E11" s="1924"/>
      <c r="F11" s="1278"/>
      <c r="G11" s="1276"/>
    </row>
    <row r="12" spans="1:7" x14ac:dyDescent="0.2">
      <c r="A12" s="1274" t="s">
        <v>1669</v>
      </c>
      <c r="C12" s="1258"/>
      <c r="D12" s="1258"/>
    </row>
    <row r="13" spans="1:7" ht="15" customHeight="1" x14ac:dyDescent="0.2">
      <c r="A13" s="2454" t="s">
        <v>1834</v>
      </c>
      <c r="B13" s="2454"/>
      <c r="C13" s="2454"/>
      <c r="D13" s="2454"/>
      <c r="E13" s="2454"/>
      <c r="F13" s="2454"/>
    </row>
    <row r="14" spans="1:7" ht="9.75" customHeight="1" x14ac:dyDescent="0.2">
      <c r="C14" s="1258"/>
      <c r="D14" s="1258"/>
    </row>
    <row r="15" spans="1:7" ht="13.5" customHeight="1" x14ac:dyDescent="0.2">
      <c r="C15" s="1868" t="s">
        <v>1332</v>
      </c>
      <c r="D15" s="2452" t="s">
        <v>1331</v>
      </c>
      <c r="E15" s="2452"/>
      <c r="F15" s="2452"/>
    </row>
    <row r="16" spans="1:7" ht="13.5" customHeight="1" x14ac:dyDescent="0.2">
      <c r="A16" s="1280"/>
      <c r="B16" s="1274" t="s">
        <v>1330</v>
      </c>
      <c r="C16" s="1868" t="s">
        <v>1329</v>
      </c>
      <c r="D16" s="2453" t="s">
        <v>1670</v>
      </c>
      <c r="E16" s="2453"/>
      <c r="F16" s="2453"/>
    </row>
    <row r="17" spans="1:6" ht="20.45" customHeight="1" x14ac:dyDescent="0.2">
      <c r="A17" s="1281"/>
      <c r="B17" s="1282"/>
      <c r="C17" s="1283"/>
      <c r="D17" s="2447"/>
      <c r="E17" s="2447"/>
      <c r="F17" s="2447"/>
    </row>
    <row r="18" spans="1:6" ht="20.65" customHeight="1" x14ac:dyDescent="0.2">
      <c r="A18" s="1281"/>
      <c r="B18" s="1282"/>
      <c r="C18" s="1283"/>
      <c r="D18" s="2447"/>
      <c r="E18" s="2447"/>
      <c r="F18" s="2447"/>
    </row>
    <row r="19" spans="1:6" ht="20.65" customHeight="1" x14ac:dyDescent="0.2">
      <c r="A19" s="1281"/>
      <c r="B19" s="1282"/>
      <c r="C19" s="1283"/>
      <c r="D19" s="2447"/>
      <c r="E19" s="2447"/>
      <c r="F19" s="2447"/>
    </row>
    <row r="20" spans="1:6" ht="20.65" customHeight="1" x14ac:dyDescent="0.2">
      <c r="A20" s="1281"/>
      <c r="B20" s="1282"/>
      <c r="C20" s="1283"/>
      <c r="D20" s="2447"/>
      <c r="E20" s="2447"/>
      <c r="F20" s="2447"/>
    </row>
    <row r="21" spans="1:6" ht="20.65" customHeight="1" x14ac:dyDescent="0.2">
      <c r="A21" s="1281"/>
      <c r="B21" s="1282"/>
      <c r="C21" s="1283"/>
      <c r="D21" s="2447"/>
      <c r="E21" s="2447"/>
      <c r="F21" s="2447"/>
    </row>
    <row r="22" spans="1:6" ht="20.65" customHeight="1" x14ac:dyDescent="0.2">
      <c r="A22" s="1281"/>
      <c r="B22" s="1282"/>
      <c r="C22" s="1283"/>
      <c r="D22" s="2447"/>
      <c r="E22" s="2447"/>
      <c r="F22" s="2447"/>
    </row>
    <row r="23" spans="1:6" ht="20.65" customHeight="1" x14ac:dyDescent="0.2">
      <c r="A23" s="1281"/>
      <c r="B23" s="1282"/>
      <c r="C23" s="1283"/>
      <c r="D23" s="2447"/>
      <c r="E23" s="2447"/>
      <c r="F23" s="2447"/>
    </row>
    <row r="24" spans="1:6" ht="20.65" customHeight="1" x14ac:dyDescent="0.2">
      <c r="A24" s="1281"/>
      <c r="B24" s="1282"/>
      <c r="C24" s="1283"/>
      <c r="D24" s="2447"/>
      <c r="E24" s="2447"/>
      <c r="F24" s="2447"/>
    </row>
    <row r="25" spans="1:6" ht="20.65" customHeight="1" x14ac:dyDescent="0.2">
      <c r="A25" s="1281"/>
      <c r="B25" s="1282"/>
      <c r="C25" s="1283"/>
      <c r="D25" s="2447"/>
      <c r="E25" s="2447"/>
      <c r="F25" s="2447"/>
    </row>
    <row r="26" spans="1:6" ht="20.65" customHeight="1" x14ac:dyDescent="0.2">
      <c r="A26" s="1281"/>
      <c r="B26" s="1282"/>
      <c r="C26" s="1283"/>
      <c r="D26" s="2447"/>
      <c r="E26" s="2447"/>
      <c r="F26" s="2447"/>
    </row>
    <row r="27" spans="1:6" ht="20.65" customHeight="1" x14ac:dyDescent="0.2">
      <c r="A27" s="1281"/>
      <c r="B27" s="1282"/>
      <c r="C27" s="1283"/>
      <c r="D27" s="2447"/>
      <c r="E27" s="2447"/>
      <c r="F27" s="2447"/>
    </row>
    <row r="28" spans="1:6" ht="20.65" customHeight="1" x14ac:dyDescent="0.2">
      <c r="A28" s="1281"/>
      <c r="B28" s="1282"/>
      <c r="C28" s="1283"/>
      <c r="D28" s="2447"/>
      <c r="E28" s="2447"/>
      <c r="F28" s="2447"/>
    </row>
    <row r="29" spans="1:6" ht="20.65" customHeight="1" x14ac:dyDescent="0.2">
      <c r="A29" s="1281"/>
      <c r="B29" s="1282"/>
      <c r="C29" s="1283"/>
      <c r="D29" s="2447"/>
      <c r="E29" s="2447"/>
      <c r="F29" s="2447"/>
    </row>
    <row r="30" spans="1:6" ht="12" customHeight="1" x14ac:dyDescent="0.2">
      <c r="A30" s="328"/>
      <c r="B30" s="328"/>
      <c r="C30" s="1476"/>
      <c r="D30" s="1925"/>
      <c r="E30" s="1284"/>
    </row>
    <row r="31" spans="1:6" ht="12" customHeight="1" x14ac:dyDescent="0.2">
      <c r="A31" s="1285" t="s">
        <v>1630</v>
      </c>
      <c r="B31" s="328"/>
      <c r="C31" s="1476"/>
      <c r="D31" s="1925"/>
      <c r="E31" s="1284"/>
    </row>
    <row r="32" spans="1:6" ht="30" customHeight="1" x14ac:dyDescent="0.2">
      <c r="A32" s="2448" t="s">
        <v>1835</v>
      </c>
      <c r="B32" s="2448"/>
      <c r="C32" s="2448"/>
      <c r="D32" s="2448"/>
      <c r="E32" s="2448"/>
      <c r="F32" s="2448"/>
    </row>
    <row r="33" spans="1:6" ht="13.5" customHeight="1" x14ac:dyDescent="0.2">
      <c r="A33" s="328" t="s">
        <v>1509</v>
      </c>
      <c r="B33" s="328"/>
      <c r="C33" s="1286">
        <v>0</v>
      </c>
      <c r="D33" s="1925"/>
      <c r="E33" s="1284"/>
    </row>
    <row r="34" spans="1:6" ht="13.5" customHeight="1" x14ac:dyDescent="0.2">
      <c r="A34" s="328" t="s">
        <v>1949</v>
      </c>
      <c r="B34" s="328"/>
      <c r="C34" s="1287">
        <v>0</v>
      </c>
      <c r="D34" s="1925" t="s">
        <v>1671</v>
      </c>
      <c r="E34" s="2449">
        <f>+C33+C34</f>
        <v>0</v>
      </c>
      <c r="F34" s="2450"/>
    </row>
    <row r="35" spans="1:6" ht="12" customHeight="1" x14ac:dyDescent="0.2">
      <c r="A35" s="328"/>
      <c r="B35" s="328"/>
      <c r="C35" s="1926"/>
      <c r="D35" s="1925"/>
      <c r="E35" s="1288"/>
      <c r="F35" s="1289"/>
    </row>
    <row r="36" spans="1:6" ht="13.5" customHeight="1" x14ac:dyDescent="0.2">
      <c r="A36" s="1285" t="s">
        <v>1631</v>
      </c>
      <c r="B36" s="328"/>
      <c r="C36" s="1476"/>
      <c r="D36" s="1925"/>
      <c r="E36" s="1284"/>
    </row>
    <row r="37" spans="1:6" ht="14.25" customHeight="1" x14ac:dyDescent="0.2">
      <c r="A37" s="328" t="s">
        <v>1563</v>
      </c>
      <c r="B37" s="328"/>
      <c r="C37" s="1927"/>
      <c r="D37" s="1925"/>
      <c r="E37" s="1284"/>
    </row>
    <row r="38" spans="1:6" ht="14.25" customHeight="1" x14ac:dyDescent="0.2">
      <c r="A38" s="328"/>
      <c r="B38" s="328" t="s">
        <v>1510</v>
      </c>
      <c r="C38" s="1290"/>
      <c r="D38" s="1925"/>
      <c r="E38" s="1284"/>
    </row>
    <row r="39" spans="1:6" ht="14.25" customHeight="1" x14ac:dyDescent="0.2">
      <c r="A39" s="328"/>
      <c r="B39" s="328" t="s">
        <v>1511</v>
      </c>
      <c r="C39" s="1290"/>
      <c r="D39" s="1925"/>
      <c r="E39" s="1284"/>
    </row>
    <row r="40" spans="1:6" ht="14.25" customHeight="1" x14ac:dyDescent="0.2">
      <c r="A40" s="328"/>
      <c r="B40" s="328" t="s">
        <v>1512</v>
      </c>
      <c r="C40" s="1290"/>
      <c r="D40" s="1925"/>
      <c r="E40" s="1284"/>
    </row>
    <row r="41" spans="1:6" ht="14.25" customHeight="1" x14ac:dyDescent="0.2">
      <c r="A41" s="328"/>
      <c r="B41" s="328" t="s">
        <v>1513</v>
      </c>
      <c r="C41" s="1290"/>
      <c r="D41" s="1925"/>
      <c r="E41" s="1284"/>
    </row>
    <row r="42" spans="1:6" ht="14.25" customHeight="1" x14ac:dyDescent="0.2">
      <c r="A42" s="328" t="s">
        <v>1514</v>
      </c>
      <c r="B42" s="328"/>
      <c r="C42" s="1923"/>
      <c r="D42" s="1925"/>
      <c r="E42" s="1284"/>
    </row>
    <row r="43" spans="1:6" ht="14.25" customHeight="1" x14ac:dyDescent="0.2">
      <c r="A43" s="328" t="s">
        <v>1515</v>
      </c>
      <c r="B43" s="328"/>
      <c r="C43" s="1291"/>
      <c r="D43" s="1925"/>
      <c r="E43" s="1284"/>
    </row>
    <row r="44" spans="1:6" ht="14.25" customHeight="1" x14ac:dyDescent="0.2">
      <c r="A44" s="328"/>
      <c r="B44" s="328"/>
      <c r="C44" s="1927" t="s">
        <v>1516</v>
      </c>
      <c r="D44" s="1925"/>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1" t="s">
        <v>1672</v>
      </c>
      <c r="C49" s="2451"/>
      <c r="D49" s="2451"/>
      <c r="E49" s="1397"/>
    </row>
    <row r="50" spans="1:5" s="1298" customFormat="1" ht="3.75" customHeight="1" x14ac:dyDescent="0.2">
      <c r="A50" s="1297"/>
      <c r="B50" s="1867"/>
      <c r="C50" s="1867"/>
      <c r="D50" s="1867"/>
      <c r="E50" s="1397"/>
    </row>
    <row r="51" spans="1:5" s="1298" customFormat="1" ht="20.25" customHeight="1" x14ac:dyDescent="0.2">
      <c r="A51" s="1299">
        <v>6</v>
      </c>
      <c r="B51" s="2446" t="s">
        <v>1632</v>
      </c>
      <c r="C51" s="2446"/>
      <c r="D51" s="2446"/>
    </row>
    <row r="52" spans="1:5" ht="14.25" customHeight="1" x14ac:dyDescent="0.2">
      <c r="A52" s="1299"/>
      <c r="B52" s="2446"/>
      <c r="C52" s="2446"/>
      <c r="D52" s="24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5" t="str">
        <f>'Single Audit Cover'!A7</f>
        <v>Hiawatha CUSD 426</v>
      </c>
      <c r="C1" s="2459"/>
      <c r="D1" s="2459"/>
      <c r="E1" s="2459"/>
      <c r="F1" s="2459"/>
      <c r="G1" s="2459"/>
      <c r="H1" s="2459"/>
      <c r="I1" s="2459"/>
      <c r="J1" s="2459"/>
      <c r="K1" s="2459"/>
      <c r="L1" s="2459"/>
      <c r="M1" s="2459"/>
    </row>
    <row r="2" spans="2:14" ht="15" x14ac:dyDescent="0.2">
      <c r="B2" s="2456">
        <f>'Single Audit Cover'!E7</f>
        <v>16019426026</v>
      </c>
      <c r="C2" s="2456"/>
      <c r="D2" s="2456"/>
      <c r="E2" s="2456"/>
      <c r="F2" s="2456"/>
      <c r="G2" s="2456"/>
      <c r="H2" s="2456"/>
      <c r="I2" s="2456"/>
      <c r="J2" s="2456"/>
      <c r="K2" s="2456"/>
      <c r="L2" s="2456"/>
      <c r="M2" s="2456"/>
      <c r="N2" s="1300"/>
    </row>
    <row r="3" spans="2:14" ht="15" x14ac:dyDescent="0.2">
      <c r="B3" s="2460" t="s">
        <v>1281</v>
      </c>
      <c r="C3" s="2460"/>
      <c r="D3" s="2460"/>
      <c r="E3" s="2460"/>
      <c r="F3" s="2460"/>
      <c r="G3" s="2460"/>
      <c r="H3" s="2460"/>
      <c r="I3" s="2460"/>
      <c r="J3" s="2460"/>
      <c r="K3" s="2460"/>
      <c r="L3" s="2460"/>
      <c r="M3" s="2460"/>
      <c r="N3" s="1300"/>
    </row>
    <row r="4" spans="2:14" ht="15" x14ac:dyDescent="0.2">
      <c r="B4" s="2461" t="str">
        <f>'Single Audit Cover'!A4</f>
        <v>Year Ending June 30, 2018</v>
      </c>
      <c r="C4" s="2461"/>
      <c r="D4" s="2461"/>
      <c r="E4" s="2461"/>
      <c r="F4" s="2461"/>
      <c r="G4" s="2461"/>
      <c r="H4" s="2461"/>
      <c r="I4" s="2461"/>
      <c r="J4" s="2461"/>
      <c r="K4" s="2461"/>
      <c r="L4" s="2461"/>
      <c r="M4" s="2461"/>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4"/>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Hiawatha CUSD 426</v>
      </c>
      <c r="C1" s="2474"/>
      <c r="D1" s="2474"/>
      <c r="E1" s="2474"/>
      <c r="F1" s="2474"/>
      <c r="G1" s="2474"/>
      <c r="H1" s="2474"/>
      <c r="I1" s="2474"/>
      <c r="J1" s="1420"/>
    </row>
    <row r="2" spans="2:10" s="317" customFormat="1" ht="12.75" customHeight="1" x14ac:dyDescent="0.2">
      <c r="B2" s="2475">
        <f>'Single Audit Cover'!E7</f>
        <v>16019426026</v>
      </c>
      <c r="C2" s="2476"/>
      <c r="D2" s="2476"/>
      <c r="E2" s="2476"/>
      <c r="F2" s="2476"/>
      <c r="G2" s="2476"/>
      <c r="H2" s="2476"/>
      <c r="I2" s="2476"/>
      <c r="J2" s="1420"/>
    </row>
    <row r="3" spans="2:10" s="317" customFormat="1" ht="12.75" customHeight="1" x14ac:dyDescent="0.2">
      <c r="B3" s="2477" t="s">
        <v>1347</v>
      </c>
      <c r="C3" s="2478"/>
      <c r="D3" s="2478"/>
      <c r="E3" s="2478"/>
      <c r="F3" s="2478"/>
      <c r="G3" s="2478"/>
      <c r="H3" s="2478"/>
      <c r="I3" s="2478"/>
      <c r="J3" s="1421"/>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7" t="s">
        <v>1346</v>
      </c>
      <c r="C7" s="2478"/>
      <c r="D7" s="2478"/>
      <c r="E7" s="2478"/>
      <c r="F7" s="2478"/>
      <c r="G7" s="2478"/>
      <c r="H7" s="2478"/>
      <c r="I7" s="2478"/>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9"/>
      <c r="D11" s="2479"/>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0"/>
      <c r="E29" s="2480"/>
      <c r="F29" s="2480"/>
      <c r="G29" s="2480"/>
      <c r="H29" s="2480"/>
      <c r="I29" s="2480"/>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1" t="s">
        <v>1854</v>
      </c>
      <c r="D37" s="2482"/>
      <c r="E37" s="2482"/>
      <c r="F37" s="2483"/>
      <c r="G37" s="2481" t="s">
        <v>1674</v>
      </c>
      <c r="H37" s="2482"/>
      <c r="I37" s="2483"/>
    </row>
    <row r="38" spans="2:9" ht="16.5" customHeight="1" x14ac:dyDescent="0.2">
      <c r="B38" s="1442"/>
      <c r="C38" s="2469"/>
      <c r="D38" s="2470"/>
      <c r="E38" s="2470"/>
      <c r="F38" s="2471"/>
      <c r="G38" s="2484"/>
      <c r="H38" s="2485"/>
      <c r="I38" s="2486"/>
    </row>
    <row r="39" spans="2:9" ht="16.5" customHeight="1" x14ac:dyDescent="0.2">
      <c r="B39" s="1442"/>
      <c r="C39" s="2469"/>
      <c r="D39" s="2470"/>
      <c r="E39" s="2470"/>
      <c r="F39" s="2471"/>
      <c r="G39" s="2472"/>
      <c r="H39" s="2472"/>
      <c r="I39" s="2472"/>
    </row>
    <row r="40" spans="2:9" ht="16.5" customHeight="1" x14ac:dyDescent="0.2">
      <c r="B40" s="1442"/>
      <c r="C40" s="2469"/>
      <c r="D40" s="2470"/>
      <c r="E40" s="2470"/>
      <c r="F40" s="2471"/>
      <c r="G40" s="2472"/>
      <c r="H40" s="2472"/>
      <c r="I40" s="2472"/>
    </row>
    <row r="41" spans="2:9" ht="16.5" customHeight="1" x14ac:dyDescent="0.2">
      <c r="B41" s="1442"/>
      <c r="C41" s="2469"/>
      <c r="D41" s="2470"/>
      <c r="E41" s="2470"/>
      <c r="F41" s="2471"/>
      <c r="G41" s="2472"/>
      <c r="H41" s="2472"/>
      <c r="I41" s="2472"/>
    </row>
    <row r="42" spans="2:9" ht="16.5" customHeight="1" x14ac:dyDescent="0.2">
      <c r="B42" s="1442"/>
      <c r="C42" s="2469"/>
      <c r="D42" s="2470"/>
      <c r="E42" s="2470"/>
      <c r="F42" s="2471"/>
      <c r="G42" s="2472"/>
      <c r="H42" s="2472"/>
      <c r="I42" s="2472"/>
    </row>
    <row r="43" spans="2:9" ht="16.5" customHeight="1" x14ac:dyDescent="0.2">
      <c r="B43" s="1442"/>
      <c r="C43" s="2462" t="s">
        <v>1675</v>
      </c>
      <c r="D43" s="2463"/>
      <c r="E43" s="2463"/>
      <c r="F43" s="2464"/>
      <c r="G43" s="2465">
        <f>SUM(G38:I42)</f>
        <v>0</v>
      </c>
      <c r="H43" s="2465"/>
      <c r="I43" s="2465"/>
    </row>
    <row r="44" spans="2:9" ht="12.75" customHeight="1" x14ac:dyDescent="0.2"/>
    <row r="45" spans="2:9" ht="12.75" customHeight="1" x14ac:dyDescent="0.2">
      <c r="B45" s="1433" t="s">
        <v>1952</v>
      </c>
      <c r="D45" s="2466">
        <v>0</v>
      </c>
      <c r="E45" s="2467"/>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8"/>
      <c r="F49" s="2468"/>
      <c r="G49" s="2468"/>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Hiawatha CUSD 426</v>
      </c>
      <c r="C1" s="2473"/>
      <c r="D1" s="2473"/>
      <c r="E1" s="2473"/>
      <c r="F1" s="2473"/>
      <c r="G1" s="2473"/>
      <c r="H1" s="2473"/>
      <c r="I1" s="2473"/>
      <c r="J1" s="2473"/>
      <c r="K1" s="2473"/>
      <c r="L1" s="1372"/>
      <c r="M1" s="1372"/>
    </row>
    <row r="2" spans="1:13" ht="12" customHeight="1" x14ac:dyDescent="0.2">
      <c r="B2" s="2475">
        <f>'Single Audit Cover'!E7</f>
        <v>16019426026</v>
      </c>
      <c r="C2" s="2475"/>
      <c r="D2" s="2475"/>
      <c r="E2" s="2475"/>
      <c r="F2" s="2475"/>
      <c r="G2" s="2475"/>
      <c r="H2" s="2475"/>
      <c r="I2" s="2475"/>
      <c r="J2" s="2475"/>
      <c r="K2" s="2475"/>
      <c r="L2" s="1373"/>
      <c r="M2" s="1374"/>
    </row>
    <row r="3" spans="1:13" ht="10.35" customHeight="1" x14ac:dyDescent="0.2">
      <c r="B3" s="2489" t="s">
        <v>1347</v>
      </c>
      <c r="C3" s="2489"/>
      <c r="D3" s="2489"/>
      <c r="E3" s="2489"/>
      <c r="F3" s="2489"/>
      <c r="G3" s="2489"/>
      <c r="H3" s="2489"/>
      <c r="I3" s="2489"/>
      <c r="J3" s="2489"/>
      <c r="K3" s="2489"/>
      <c r="L3" s="1375"/>
      <c r="M3" s="1375"/>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1363</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2013</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7.75" customHeight="1" x14ac:dyDescent="0.2">
      <c r="B14" s="2488" t="s">
        <v>2120</v>
      </c>
      <c r="C14" s="2488"/>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57.75" customHeight="1" x14ac:dyDescent="0.2">
      <c r="B17" s="2488" t="s">
        <v>2121</v>
      </c>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2" t="s">
        <v>2122</v>
      </c>
      <c r="C20" s="2492"/>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8" t="s">
        <v>2123</v>
      </c>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8" t="s">
        <v>2124</v>
      </c>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7" t="s">
        <v>2125</v>
      </c>
      <c r="C29" s="2487"/>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7" t="s">
        <v>2126</v>
      </c>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Hiawatha CUSD 426</v>
      </c>
      <c r="C1" s="2496"/>
      <c r="D1" s="2496"/>
      <c r="E1" s="2496"/>
      <c r="F1" s="2496"/>
      <c r="G1" s="2496"/>
      <c r="H1" s="2496"/>
      <c r="I1" s="2496"/>
      <c r="J1" s="2496"/>
      <c r="K1" s="2496"/>
      <c r="L1" s="1463"/>
    </row>
    <row r="2" spans="1:12" ht="12.75" customHeight="1" x14ac:dyDescent="0.2">
      <c r="B2" s="2497">
        <f>'Single Audit Cover'!E7</f>
        <v>16019426026</v>
      </c>
      <c r="C2" s="2497"/>
      <c r="D2" s="2497"/>
      <c r="E2" s="2497"/>
      <c r="F2" s="2497"/>
      <c r="G2" s="2497"/>
      <c r="H2" s="2497"/>
      <c r="I2" s="2497"/>
      <c r="J2" s="2497"/>
      <c r="K2" s="2497"/>
      <c r="L2" s="1464"/>
    </row>
    <row r="3" spans="1:12" ht="12.75" customHeight="1" x14ac:dyDescent="0.2">
      <c r="B3" s="2489" t="s">
        <v>1347</v>
      </c>
      <c r="C3" s="2489"/>
      <c r="D3" s="2489"/>
      <c r="E3" s="2489"/>
      <c r="F3" s="2489"/>
      <c r="G3" s="2489"/>
      <c r="H3" s="2489"/>
      <c r="I3" s="2489"/>
      <c r="J3" s="2489"/>
      <c r="K3" s="2489"/>
      <c r="L3" s="1375"/>
    </row>
    <row r="4" spans="1:12" ht="12.75" customHeight="1" x14ac:dyDescent="0.2">
      <c r="B4" s="2489" t="str">
        <f>'Single Audit Cover'!A4</f>
        <v>Year Ending June 30, 2018</v>
      </c>
      <c r="C4" s="2489"/>
      <c r="D4" s="2489"/>
      <c r="E4" s="2489"/>
      <c r="F4" s="2489"/>
      <c r="G4" s="2489"/>
      <c r="H4" s="2489"/>
      <c r="I4" s="2489"/>
      <c r="J4" s="2489"/>
      <c r="K4" s="2489"/>
      <c r="L4" s="1375"/>
    </row>
    <row r="5" spans="1:12" ht="5.25" customHeight="1" x14ac:dyDescent="0.2">
      <c r="B5" s="1258" t="s">
        <v>1231</v>
      </c>
      <c r="C5" s="1258"/>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0"/>
      <c r="G12" s="2480"/>
      <c r="H12" s="2480"/>
      <c r="I12" s="2480"/>
      <c r="J12" s="2480"/>
      <c r="K12" s="2480"/>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3"/>
      <c r="E14" s="2493"/>
      <c r="F14" s="2493"/>
      <c r="H14" s="1473" t="s">
        <v>1370</v>
      </c>
      <c r="I14" s="2494"/>
      <c r="J14" s="2494"/>
      <c r="K14" s="2494"/>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4"/>
      <c r="E16" s="2494"/>
      <c r="F16" s="2494"/>
      <c r="G16" s="2494"/>
      <c r="H16" s="2494"/>
      <c r="I16" s="2494"/>
      <c r="J16" s="2494"/>
      <c r="K16" s="2494"/>
      <c r="L16" s="322"/>
    </row>
    <row r="17" spans="2:12" ht="13.5" customHeight="1" x14ac:dyDescent="0.2">
      <c r="B17" s="1385" t="s">
        <v>1368</v>
      </c>
      <c r="C17" s="1385"/>
      <c r="D17" s="2495"/>
      <c r="E17" s="2495"/>
      <c r="F17" s="2495"/>
      <c r="G17" s="2495"/>
      <c r="H17" s="2495"/>
      <c r="I17" s="2495"/>
      <c r="J17" s="2495"/>
      <c r="K17" s="2495"/>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8"/>
      <c r="C20" s="2488"/>
      <c r="D20" s="2488"/>
      <c r="E20" s="2488"/>
      <c r="F20" s="2488"/>
      <c r="G20" s="2488"/>
      <c r="H20" s="2488"/>
      <c r="I20" s="2488"/>
      <c r="J20" s="2488"/>
      <c r="K20" s="2488"/>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3" t="str">
        <f>'Single Audit Cover'!A7</f>
        <v>Hiawatha CUSD 426</v>
      </c>
      <c r="C1" s="2473"/>
      <c r="D1" s="2473"/>
      <c r="E1" s="1489"/>
    </row>
    <row r="2" spans="2:5" s="1280" customFormat="1" ht="12.75" customHeight="1" x14ac:dyDescent="0.2">
      <c r="B2" s="2475">
        <f>'Single Audit Cover'!E7</f>
        <v>16019426026</v>
      </c>
      <c r="C2" s="2475"/>
      <c r="D2" s="2475"/>
      <c r="E2" s="1490"/>
    </row>
    <row r="3" spans="2:5" ht="12.75" customHeight="1" x14ac:dyDescent="0.2">
      <c r="B3" s="2489" t="s">
        <v>1869</v>
      </c>
      <c r="C3" s="2489"/>
      <c r="D3" s="2489"/>
      <c r="E3" s="1272"/>
    </row>
    <row r="4" spans="2:5" s="1280" customFormat="1" ht="12.75" customHeight="1" x14ac:dyDescent="0.2">
      <c r="B4" s="2499" t="str">
        <f>'Single Audit Cover'!A4</f>
        <v>Year Ending June 30, 2018</v>
      </c>
      <c r="C4" s="2499"/>
      <c r="D4" s="2499"/>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2108</v>
      </c>
      <c r="C7" s="324" t="s">
        <v>2109</v>
      </c>
      <c r="D7" s="324" t="s">
        <v>2127</v>
      </c>
      <c r="E7" s="324"/>
    </row>
    <row r="8" spans="2:5" ht="13.5" customHeight="1" x14ac:dyDescent="0.2">
      <c r="B8" s="1494" t="s">
        <v>2110</v>
      </c>
      <c r="C8" s="324" t="s">
        <v>2118</v>
      </c>
      <c r="D8" s="324" t="s">
        <v>2128</v>
      </c>
      <c r="E8" s="324"/>
    </row>
    <row r="9" spans="2:5" ht="13.5" customHeight="1" x14ac:dyDescent="0.2">
      <c r="B9" s="1495" t="s">
        <v>2111</v>
      </c>
      <c r="C9" s="323" t="s">
        <v>2112</v>
      </c>
      <c r="D9" s="323" t="s">
        <v>2128</v>
      </c>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d21dc803-237d-4c68-8692-8d731fd29118"/>
    <ds:schemaRef ds:uri="http://schemas.microsoft.com/office/infopath/2007/PartnerControls"/>
    <ds:schemaRef ds:uri="http://schemas.microsoft.com/sharepoint/v3"/>
    <ds:schemaRef ds:uri="http://schemas.microsoft.com/office/2006/documentManagement/types"/>
    <ds:schemaRef ds:uri="http://purl.org/dc/elements/1.1/"/>
    <ds:schemaRef ds:uri="http://schemas.openxmlformats.org/package/2006/metadata/core-properties"/>
    <ds:schemaRef ds:uri="6ce3111e-7420-4802-b50a-75d4e9a0b980"/>
    <ds:schemaRef ds:uri="http://purl.org/dc/terms/"/>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2018-10-08T14:03:02Z</cp:lastPrinted>
  <dcterms:created xsi:type="dcterms:W3CDTF">2003-10-29T19:06:34Z</dcterms:created>
  <dcterms:modified xsi:type="dcterms:W3CDTF">2018-10-26T18:26:13Z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