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2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B2"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77" l="1"/>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s="1"/>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54" i="36"/>
  <c r="D68" i="36"/>
  <c r="D69" i="36"/>
  <c r="D71" i="36"/>
  <c r="D72" i="36"/>
  <c r="D79" i="36"/>
  <c r="B64" i="127"/>
  <c r="B65" i="127"/>
  <c r="D26" i="108"/>
  <c r="E26" i="108"/>
  <c r="F26" i="108"/>
  <c r="G26" i="108"/>
  <c r="E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1" i="34"/>
  <c r="F128" i="34"/>
  <c r="B5847" i="106"/>
  <c r="D5847" i="106" s="1"/>
  <c r="B5599" i="106"/>
  <c r="D5599" i="106" s="1"/>
  <c r="K274" i="5"/>
  <c r="C172" i="5"/>
  <c r="B5214" i="106" s="1"/>
  <c r="D5214" i="106" s="1"/>
  <c r="H109" i="5"/>
  <c r="B6025" i="106" s="1"/>
  <c r="D6025" i="106" s="1"/>
  <c r="D109" i="5"/>
  <c r="B5356" i="106" s="1"/>
  <c r="D5356" i="106" s="1"/>
  <c r="D7" i="7"/>
  <c r="B1763" i="106" s="1"/>
  <c r="D1763" i="106" s="1"/>
  <c r="H4" i="4"/>
  <c r="B2655" i="106"/>
  <c r="D2655"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F106" i="34"/>
  <c r="H173" i="5"/>
  <c r="B5752" i="106"/>
  <c r="D5752" i="106" s="1"/>
  <c r="F127" i="34"/>
  <c r="F130" i="34"/>
  <c r="J274" i="5"/>
  <c r="B7054" i="106" s="1"/>
  <c r="D7054" i="106" s="1"/>
  <c r="K173" i="5"/>
  <c r="K6" i="4" s="1"/>
  <c r="B3570" i="106" s="1"/>
  <c r="D3570" i="106" s="1"/>
  <c r="F172" i="5"/>
  <c r="B5644" i="106" s="1"/>
  <c r="D5644" i="106" s="1"/>
  <c r="G109" i="5"/>
  <c r="L367" i="29"/>
  <c r="B7235" i="106"/>
  <c r="D7235" i="106" s="1"/>
  <c r="B3649" i="106"/>
  <c r="D3649" i="106" s="1"/>
  <c r="G367" i="29"/>
  <c r="B3621" i="106"/>
  <c r="D3621" i="106" s="1"/>
  <c r="C367" i="29"/>
  <c r="L15" i="11"/>
  <c r="B3459" i="106" s="1"/>
  <c r="D3459" i="106" s="1"/>
  <c r="K24" i="12"/>
  <c r="K76" i="4"/>
  <c r="B3586" i="106" s="1"/>
  <c r="D3586" i="106" s="1"/>
  <c r="K285" i="29"/>
  <c r="B1329" i="106"/>
  <c r="D1329" i="106" s="1"/>
  <c r="F61" i="34"/>
  <c r="L13" i="11"/>
  <c r="B2060" i="106" s="1"/>
  <c r="D2060" i="106" s="1"/>
  <c r="F19" i="7"/>
  <c r="B1807" i="106" s="1"/>
  <c r="D1807" i="106" s="1"/>
  <c r="K350" i="29"/>
  <c r="B1410" i="106"/>
  <c r="D1410" i="106" s="1"/>
  <c r="K184" i="29"/>
  <c r="F13" i="4" s="1"/>
  <c r="B2596" i="106" s="1"/>
  <c r="D2596" i="106" s="1"/>
  <c r="D27" i="108"/>
  <c r="D41" i="108" s="1"/>
  <c r="E43" i="108" s="1"/>
  <c r="F111" i="34"/>
  <c r="C173" i="5"/>
  <c r="B5223" i="106" s="1"/>
  <c r="D5223" i="106" s="1"/>
  <c r="C109" i="5"/>
  <c r="B5121" i="106" s="1"/>
  <c r="D5121" i="106" s="1"/>
  <c r="B5096" i="106"/>
  <c r="D5096" i="106" s="1"/>
  <c r="B5066" i="106"/>
  <c r="D5066" i="106" s="1"/>
  <c r="D4" i="4"/>
  <c r="B2564" i="106" s="1"/>
  <c r="D2564" i="106" s="1"/>
  <c r="H29" i="118"/>
  <c r="K28" i="118" s="1"/>
  <c r="O27" i="118" s="1"/>
  <c r="O29" i="118" s="1"/>
  <c r="D31" i="36"/>
  <c r="D11" i="37"/>
  <c r="H33" i="118"/>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F275" i="5"/>
  <c r="J7" i="4"/>
  <c r="B2657" i="106"/>
  <c r="D2657" i="106" s="1"/>
  <c r="D274" i="5"/>
  <c r="B3447" i="106"/>
  <c r="D3447" i="106" s="1"/>
  <c r="B7270" i="106"/>
  <c r="F73" i="34" l="1"/>
  <c r="G15" i="4"/>
  <c r="B6032" i="106" s="1"/>
  <c r="D6032" i="106" s="1"/>
  <c r="H367" i="29"/>
  <c r="B3660" i="106" s="1"/>
  <c r="D3660" i="106" s="1"/>
  <c r="B5906" i="106"/>
  <c r="D5906" i="106" s="1"/>
  <c r="H6" i="4"/>
  <c r="B7733" i="106"/>
  <c r="D7733" i="106" s="1"/>
  <c r="K26" i="12"/>
  <c r="B7743" i="106" s="1"/>
  <c r="D7743" i="106" s="1"/>
  <c r="B6024" i="106"/>
  <c r="D6024" i="106" s="1"/>
  <c r="G4" i="4"/>
  <c r="B2603" i="106" s="1"/>
  <c r="D2603" i="106" s="1"/>
  <c r="L16" i="11"/>
  <c r="B2061" i="106" s="1"/>
  <c r="D2061" i="106" s="1"/>
  <c r="B3670" i="106"/>
  <c r="D3670" i="106" s="1"/>
  <c r="K352" i="29"/>
  <c r="B1381" i="106"/>
  <c r="D1381" i="106" s="1"/>
  <c r="C114" i="29"/>
  <c r="B757" i="106" s="1"/>
  <c r="D757" i="106" s="1"/>
  <c r="C6" i="4"/>
  <c r="B2553" i="106" s="1"/>
  <c r="D2553" i="106" s="1"/>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D7" i="4"/>
  <c r="B5507" i="106"/>
  <c r="D5507" i="106" s="1"/>
  <c r="B7298" i="106"/>
  <c r="B7299" i="106"/>
  <c r="J8" i="4" l="1"/>
  <c r="J17" i="4"/>
  <c r="B2656" i="106"/>
  <c r="D2656" i="106" s="1"/>
  <c r="H8" i="4"/>
  <c r="K13" i="4"/>
  <c r="B3572" i="106" s="1"/>
  <c r="D3572" i="106" s="1"/>
  <c r="B3672" i="106"/>
  <c r="D3672" i="106" s="1"/>
  <c r="K367" i="29"/>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H10" i="4" l="1"/>
  <c r="B4127" i="106" s="1"/>
  <c r="D4127" i="106" s="1"/>
  <c r="B2658" i="106"/>
  <c r="D265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<sst xmlns="http://schemas.openxmlformats.org/spreadsheetml/2006/main" count="5026" uniqueCount="2101">
  <si>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</si>
  <si>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</si>
  <si>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</si>
  <si>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</si>
  <si>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</si>
  <si>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</si>
  <si>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</si>
  <si>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</si>
  <si>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</si>
  <si>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</si>
  <si>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</si>
  <si>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</si>
  <si>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</si>
  <si>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</si>
  <si>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</si>
  <si>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</si>
  <si>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</si>
  <si>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</si>
  <si>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</si>
  <si>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</si>
  <si>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</si>
  <si>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</si>
  <si>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</si>
  <si>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</si>
  <si>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</si>
  <si>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</si>
  <si>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</si>
  <si>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</si>
  <si>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</si>
  <si>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</si>
  <si>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</si>
  <si>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</si>
  <si>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</si>
  <si>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</si>
  <si>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</si>
  <si>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</si>
  <si>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</si>
  <si>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</si>
  <si>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</si>
  <si>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</si>
  <si>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</si>
  <si>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</si>
  <si>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</si>
  <si>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</si>
  <si>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</si>
  <si>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</si>
  <si>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</si>
  <si>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</si>
  <si>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</si>
  <si>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</si>
  <si>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</si>
  <si>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</si>
  <si>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</si>
  <si>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</si>
  <si>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</si>
  <si>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</si>
  <si>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</si>
  <si>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</si>
  <si>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</si>
  <si>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</si>
  <si>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</si>
  <si>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</si>
  <si>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</si>
  <si>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</si>
  <si>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</si>
  <si>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</si>
  <si>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</si>
  <si>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</si>
  <si>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</si>
  <si>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</si>
  <si>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</si>
  <si>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</si>
  <si>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</si>
  <si>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</si>
  <si>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</si>
  <si>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</si>
  <si>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</si>
  <si>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</si>
  <si>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</si>
  <si>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</si>
  <si>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</si>
  <si>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</si>
  <si>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</si>
  <si>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</si>
  <si>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</si>
  <si>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</si>
  <si>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</si>
  <si>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</si>
  <si>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</si>
  <si>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</si>
  <si>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</si>
  <si>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</si>
  <si>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</si>
  <si>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</si>
  <si>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</si>
  <si>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</si>
  <si>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</si>
  <si>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</si>
  <si>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</si>
  <si>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</si>
  <si>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</si>
  <si>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</si>
  <si>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</si>
  <si>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</si>
  <si>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</si>
  <si>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</si>
  <si>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</si>
  <si>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</si>
  <si>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</si>
  <si>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</si>
  <si>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</si>
  <si>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</si>
  <si>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</si>
  <si>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</si>
  <si>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</si>
  <si>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</si>
  <si>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</si>
  <si>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</si>
  <si>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</si>
  <si>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</si>
  <si>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</si>
  <si>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</si>
  <si>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</si>
  <si>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</si>
  <si>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</si>
  <si>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</si>
  <si>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</si>
  <si>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</si>
  <si>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</si>
  <si>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</si>
  <si>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</si>
  <si>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</si>
  <si>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</si>
  <si>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</si>
  <si>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</si>
  <si>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</si>
  <si>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</si>
  <si>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</si>
  <si>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</si>
  <si>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</si>
  <si>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</si>
  <si>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</si>
  <si>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</si>
  <si>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</si>
  <si>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</si>
  <si>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</si>
  <si>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</si>
  <si>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</si>
  <si>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</si>
  <si>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</si>
  <si>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</si>
  <si>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</si>
  <si>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</si>
  <si>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</si>
  <si>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</si>
  <si>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</si>
  <si>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</si>
  <si>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</si>
  <si>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</si>
  <si>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</si>
  <si>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</si>
  <si>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</si>
  <si>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</si>
  <si>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</si>
  <si>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</si>
  <si>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</si>
  <si>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</si>
  <si>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</si>
  <si>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</si>
  <si>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</si>
  <si>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</si>
  <si>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</si>
  <si>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</si>
  <si>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</si>
  <si>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</si>
  <si>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</si>
  <si>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</si>
  <si>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</si>
  <si>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</si>
  <si>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</si>
  <si>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</si>
  <si>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</si>
  <si>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</si>
  <si>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</si>
  <si>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</si>
  <si>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</si>
  <si>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</si>
  <si>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</si>
  <si>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</si>
  <si>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</si>
  <si>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</si>
  <si>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</si>
  <si>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</si>
  <si>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</si>
  <si>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</si>
  <si>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</si>
  <si>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</si>
  <si>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</si>
  <si>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</si>
  <si>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</si>
  <si>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</si>
  <si>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</si>
  <si>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</si>
  <si>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</si>
  <si>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</si>
  <si>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</si>
  <si>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</si>
  <si>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</si>
  <si>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</si>
  <si>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</si>
  <si>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</si>
  <si>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</si>
  <si>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</si>
  <si>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</si>
  <si>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</si>
  <si>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</si>
  <si>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</si>
  <si>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</si>
  <si>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</si>
  <si>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</si>
  <si>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</si>
  <si>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</si>
  <si>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</si>
  <si>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</si>
  <si>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</si>
  <si>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</si>
  <si>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</si>
  <si>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</si>
  <si>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</si>
  <si>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</si>
  <si>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</si>
  <si>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</si>
  <si>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</si>
  <si>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</si>
  <si>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</si>
  <si>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</si>
  <si>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</si>
  <si>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</si>
  <si>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</si>
  <si>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</si>
  <si>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</si>
  <si>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</si>
  <si>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</si>
  <si>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</si>
  <si>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</si>
  <si>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</si>
  <si>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</si>
  <si>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</si>
  <si>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</si>
  <si>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</si>
  <si>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</si>
  <si>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</si>
  <si>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</si>
  <si>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</si>
  <si>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</si>
  <si>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</si>
  <si>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</si>
  <si>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</si>
  <si>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</si>
  <si>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</si>
  <si>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</si>
  <si>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</si>
  <si>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</si>
  <si>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</si>
  <si>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</si>
  <si>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</si>
  <si>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</si>
  <si>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</si>
  <si>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</si>
  <si>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</si>
  <si>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</si>
  <si>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</si>
  <si>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</si>
  <si>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</si>
  <si>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</si>
  <si>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</si>
  <si>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</si>
  <si>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</si>
  <si>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</si>
  <si>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</si>
  <si>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</si>
  <si>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</si>
  <si>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</si>
  <si>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</si>
  <si>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</si>
  <si>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</si>
  <si>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</si>
  <si>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</si>
  <si>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</si>
  <si>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</si>
  <si>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</si>
  <si>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</si>
  <si>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</si>
  <si>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</si>
  <si>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</si>
  <si>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</si>
  <si>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</si>
  <si>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</si>
  <si>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</si>
  <si>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</si>
  <si>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</si>
  <si>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</si>
  <si>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</si>
  <si>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</si>
  <si>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</si>
  <si>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</si>
  <si>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</si>
  <si>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</si>
  <si>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</si>
  <si>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</si>
  <si>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</si>
  <si>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</si>
  <si>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</si>
  <si>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</si>
  <si>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</si>
  <si>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</si>
  <si>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</si>
  <si>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</si>
  <si>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</si>
  <si>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</si>
  <si>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</si>
  <si>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</si>
  <si>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</si>
  <si>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</si>
  <si>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</si>
  <si>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</si>
  <si>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</si>
  <si>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</si>
  <si>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</si>
  <si>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</si>
  <si>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</si>
  <si>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</si>
  <si>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</si>
  <si>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</si>
  <si>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</si>
  <si>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</si>
  <si>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</si>
  <si>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</si>
  <si>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</si>
  <si>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</si>
  <si>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</si>
  <si>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</si>
  <si>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</si>
  <si>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</si>
  <si>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</si>
  <si>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</si>
  <si>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</si>
  <si>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</si>
  <si>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</si>
  <si>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</si>
  <si>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</si>
  <si>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</si>
  <si>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</si>
  <si>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</si>
  <si>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</si>
  <si>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</si>
  <si>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</si>
  <si>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</si>
  <si>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</si>
  <si>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</si>
  <si>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</si>
  <si>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</si>
  <si>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</si>
  <si>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</si>
  <si>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</si>
  <si>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</si>
  <si>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</si>
  <si>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</si>
  <si>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</si>
  <si>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</si>
  <si>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</si>
  <si>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</si>
  <si>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</si>
  <si>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</si>
  <si>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</si>
  <si>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</si>
  <si>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</si>
  <si>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</si>
  <si>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</si>
  <si>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</si>
  <si>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</si>
  <si>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</si>
  <si>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</si>
  <si>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</si>
  <si>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</si>
  <si>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</si>
  <si>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</si>
  <si>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</si>
  <si>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</si>
  <si>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</si>
  <si>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</si>
  <si>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</si>
  <si>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</si>
  <si>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</si>
  <si>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</si>
  <si>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</si>
  <si>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</si>
  <si>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</si>
  <si>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</si>
  <si>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</si>
  <si>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</si>
  <si>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</si>
  <si>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</si>
  <si>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</si>
  <si>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</si>
  <si>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</si>
  <si>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</si>
  <si>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</si>
  <si>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</si>
  <si>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</si>
  <si>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</si>
  <si>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</si>
  <si>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</si>
  <si>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</si>
  <si>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</si>
  <si>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</si>
  <si>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</si>
  <si>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</si>
  <si>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</si>
  <si>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</si>
  <si>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</si>
  <si>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</si>
  <si>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</si>
  <si>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</si>
  <si>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</si>
  <si>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</si>
  <si>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</si>
  <si>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</si>
  <si>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</si>
  <si>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</si>
  <si>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</si>
  <si>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</si>
  <si>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</si>
  <si>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</si>
  <si>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</si>
  <si>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</si>
  <si>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</si>
  <si>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</si>
  <si>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</si>
  <si>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</si>
  <si>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</si>
  <si>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</si>
  <si>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</si>
  <si>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</si>
  <si>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</si>
  <si>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</si>
  <si>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</si>
  <si>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</si>
  <si>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</si>
  <si>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</si>
  <si>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</si>
  <si>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</si>
  <si>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</si>
  <si>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</si>
  <si>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</si>
  <si>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</si>
  <si>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</si>
  <si>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</si>
  <si>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</si>
  <si>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</si>
  <si>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</si>
  <si>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</si>
  <si>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</si>
  <si>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</si>
  <si>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</si>
  <si>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</si>
  <si>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</si>
  <si>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</si>
  <si>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</si>
  <si>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</si>
  <si>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</si>
  <si>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</si>
  <si>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</si>
  <si>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</si>
  <si>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</si>
  <si>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</si>
  <si>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</si>
  <si>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</si>
  <si>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</si>
  <si>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</si>
  <si>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</si>
  <si>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</si>
  <si>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</si>
  <si>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</si>
  <si>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</si>
  <si>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</si>
  <si>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</si>
  <si>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</si>
  <si>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</si>
  <si>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</si>
  <si>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</si>
  <si>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</si>
  <si>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</si>
  <si>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</si>
  <si>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</si>
  <si>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</si>
  <si>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</si>
  <si>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</si>
  <si>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</si>
  <si>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</si>
  <si>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</si>
  <si>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</si>
  <si>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</si>
  <si>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</si>
  <si>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</si>
  <si>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</si>
  <si>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</si>
  <si>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</si>
  <si>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</si>
  <si>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</si>
  <si>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</si>
  <si>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</si>
  <si>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</si>
  <si>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</si>
  <si>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</si>
  <si>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</si>
  <si>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</si>
  <si>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</si>
  <si>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</si>
  <si>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</si>
  <si>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</si>
  <si>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</si>
  <si>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</si>
  <si>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</si>
  <si>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</si>
  <si>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</si>
  <si>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</si>
  <si>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</si>
  <si>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</si>
  <si>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</si>
  <si>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</si>
  <si>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</si>
  <si>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</si>
  <si>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</si>
  <si>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</si>
  <si>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</si>
  <si>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</si>
  <si>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</si>
  <si>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</si>
  <si>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</si>
  <si>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</si>
  <si>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</si>
  <si>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</si>
  <si>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</si>
  <si>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</si>
  <si>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</si>
  <si>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</si>
  <si>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</si>
  <si>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</si>
  <si>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</si>
  <si>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</si>
  <si>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</si>
  <si>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</si>
  <si>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</si>
  <si>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</si>
  <si>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</si>
  <si>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</si>
  <si>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</si>
  <si>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</si>
  <si>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</si>
  <si>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</si>
  <si>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</si>
  <si>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</si>
  <si>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</si>
  <si>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</si>
  <si>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</si>
  <si>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</si>
  <si>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</si>
  <si>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</si>
  <si>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</si>
  <si>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</si>
  <si>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</si>
  <si>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</si>
  <si>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</si>
  <si>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</si>
  <si>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</si>
  <si>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</si>
  <si>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</si>
  <si>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</si>
  <si>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</si>
  <si>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</si>
  <si>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</si>
  <si>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</si>
  <si>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</si>
  <si>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</si>
  <si>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</si>
  <si>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</si>
  <si>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</si>
  <si>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</si>
  <si>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</si>
  <si>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</si>
  <si>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</si>
  <si>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</si>
  <si>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</si>
  <si>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</si>
  <si>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</si>
  <si>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</si>
  <si>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</si>
  <si>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</si>
  <si>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</si>
  <si>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</si>
  <si>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</si>
  <si>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</si>
  <si>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</si>
  <si>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</si>
  <si>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</si>
  <si>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</si>
  <si>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</si>
  <si>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</si>
  <si>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</si>
  <si>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</si>
  <si>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</si>
  <si>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</si>
  <si>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</si>
  <si>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</si>
  <si>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</si>
  <si>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</si>
  <si>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</si>
  <si>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</si>
  <si>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</si>
  <si>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</si>
  <si>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</si>
  <si>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</si>
  <si>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</si>
  <si>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</si>
  <si>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</si>
  <si>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</si>
  <si>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</si>
  <si>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</si>
  <si>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</si>
  <si>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</si>
  <si>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</si>
  <si>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</si>
  <si>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</si>
  <si>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</si>
  <si>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</si>
  <si>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</si>
  <si>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</si>
  <si>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</si>
  <si>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</si>
  <si>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</si>
  <si>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</si>
  <si>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</si>
  <si>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</si>
  <si>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</si>
  <si>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</si>
  <si>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</si>
  <si>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</si>
  <si>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</si>
  <si>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</si>
  <si>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</si>
  <si>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</si>
  <si>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</si>
  <si>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</si>
  <si>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</si>
  <si>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</si>
  <si>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</si>
  <si>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</si>
  <si>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</si>
  <si>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</si>
  <si>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</si>
  <si>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</si>
  <si>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</si>
  <si>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</si>
  <si>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</si>
  <si>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</si>
  <si>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</si>
  <si>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</si>
  <si>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</si>
  <si>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</si>
  <si>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</si>
  <si>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</si>
  <si>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</si>
  <si>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</si>
  <si>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</si>
  <si>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</si>
  <si>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</si>
  <si>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</si>
  <si>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</si>
  <si>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</si>
  <si>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</si>
  <si>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</si>
  <si>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</si>
  <si>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</si>
  <si>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</si>
  <si>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</si>
  <si>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</si>
  <si>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</si>
  <si>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</si>
  <si>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</si>
  <si>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</si>
  <si>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</si>
  <si>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</si>
  <si>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</si>
  <si>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</si>
  <si>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</si>
  <si>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</si>
  <si>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</si>
  <si>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</si>
  <si>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</si>
  <si>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</si>
  <si>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</si>
  <si>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</si>
  <si>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</si>
  <si>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</si>
  <si>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</si>
  <si>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</si>
  <si>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</si>
  <si>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</si>
  <si>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</si>
  <si>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</si>
  <si>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</si>
  <si>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</si>
  <si>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</si>
  <si>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</si>
  <si>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</si>
  <si>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</si>
  <si>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</si>
  <si>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</si>
  <si>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</si>
  <si>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</si>
  <si>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</si>
  <si>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</si>
  <si>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</si>
  <si>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</si>
  <si>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</si>
  <si>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</si>
  <si>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</si>
  <si>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</si>
  <si>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</si>
  <si>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</si>
  <si>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</si>
  <si>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</si>
  <si>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</si>
  <si>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</si>
  <si>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</si>
  <si>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</si>
  <si>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</si>
  <si>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</si>
  <si>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</si>
  <si>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</si>
  <si>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</si>
  <si>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</si>
  <si>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</si>
  <si>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</si>
  <si>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</si>
  <si>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</si>
  <si>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</si>
  <si>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</si>
  <si>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</si>
  <si>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</si>
  <si>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</si>
  <si>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</si>
  <si>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</si>
  <si>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</si>
  <si>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</si>
  <si>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</si>
  <si>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</si>
  <si>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</si>
  <si>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</si>
  <si>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</si>
  <si>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</si>
  <si>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</si>
  <si>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</si>
  <si>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</si>
  <si>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</si>
  <si>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</si>
  <si>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</si>
  <si>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</si>
  <si>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</si>
  <si>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</si>
  <si>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</si>
  <si>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</si>
  <si>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</si>
  <si>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</si>
  <si>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</si>
  <si>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</si>
  <si>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</si>
  <si>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</si>
  <si>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</si>
  <si>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</si>
  <si>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</si>
  <si>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</si>
  <si>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</si>
  <si>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</si>
  <si>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</si>
  <si>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</si>
  <si>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</si>
  <si>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</si>
  <si>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</si>
  <si>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</si>
  <si>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</si>
  <si>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</si>
  <si>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</si>
  <si>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</si>
  <si>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</si>
  <si>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</si>
  <si>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</si>
  <si>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</si>
  <si>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</si>
  <si>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</si>
  <si>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</si>
  <si>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</si>
  <si>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</si>
  <si>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</si>
  <si>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</si>
  <si>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</si>
  <si>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</si>
  <si>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</si>
  <si>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</si>
  <si>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</si>
  <si>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</si>
  <si>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</si>
  <si>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</si>
  <si>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</si>
  <si>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</si>
  <si>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</si>
  <si>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</si>
  <si>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</si>
  <si>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</si>
  <si>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</si>
  <si>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</si>
  <si>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</si>
  <si>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</si>
  <si>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</si>
  <si>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</si>
  <si>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</si>
  <si>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</si>
  <si>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</si>
  <si>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</si>
  <si>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</si>
  <si>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</si>
  <si>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</si>
  <si>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</si>
  <si>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</si>
  <si>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</si>
  <si>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</si>
  <si>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</si>
  <si>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</si>
  <si>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</si>
  <si>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</si>
  <si>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</si>
  <si>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</si>
  <si>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</si>
  <si>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</si>
  <si>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</si>
  <si>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</si>
  <si>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</si>
  <si>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</si>
  <si>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</si>
  <si>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</si>
  <si>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</si>
  <si>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</si>
  <si>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</si>
  <si>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</si>
  <si>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</si>
  <si>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</si>
  <si>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</si>
  <si>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</si>
  <si>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</si>
  <si>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</si>
  <si>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</si>
  <si>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</si>
  <si>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</si>
  <si>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</si>
  <si>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</si>
  <si>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</si>
  <si>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</si>
  <si>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</si>
  <si>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</si>
  <si>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</si>
  <si>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</si>
  <si>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</si>
  <si>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</si>
  <si>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</si>
  <si>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</si>
  <si>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</si>
  <si>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</si>
  <si>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</si>
  <si>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</si>
  <si>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</si>
  <si>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</si>
  <si>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</si>
  <si>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</si>
  <si>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</si>
  <si>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</si>
  <si>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</si>
  <si>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</si>
  <si>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</si>
  <si>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</si>
  <si>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</si>
  <si>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</si>
  <si>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</si>
  <si>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</si>
  <si>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</si>
  <si>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</si>
  <si>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</si>
  <si>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</si>
  <si>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</si>
  <si>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</si>
  <si>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</si>
  <si>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</si>
  <si>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</si>
  <si>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</si>
  <si>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</si>
  <si>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</si>
  <si>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</si>
  <si>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</si>
  <si>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</si>
  <si>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</si>
  <si>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</si>
  <si>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</si>
  <si>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</si>
  <si>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</si>
  <si>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</si>
  <si>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</si>
  <si>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</si>
  <si>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</si>
  <si>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</si>
  <si>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</si>
  <si>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</si>
  <si>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</si>
  <si>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</si>
  <si>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</si>
  <si>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</si>
  <si>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</si>
  <si>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</si>
  <si>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</si>
  <si>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</si>
  <si>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</si>
  <si>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</si>
  <si>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</si>
  <si>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</si>
  <si>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</si>
  <si>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</si>
  <si>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</si>
  <si>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</si>
  <si>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</si>
  <si>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</si>
  <si>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</si>
  <si>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</si>
  <si>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</si>
  <si>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</si>
  <si>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</si>
  <si>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</si>
  <si>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</si>
  <si>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</si>
  <si>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</si>
  <si>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</si>
  <si>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</si>
  <si>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</si>
  <si>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</si>
  <si>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</si>
  <si>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</si>
  <si>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</si>
  <si>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</si>
  <si>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</si>
  <si>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</si>
  <si>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</si>
  <si>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</si>
  <si>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</si>
  <si>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</si>
  <si>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</si>
  <si>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</si>
  <si>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</si>
  <si>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</si>
  <si>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</si>
  <si>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</si>
  <si>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</si>
  <si>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</si>
  <si>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</si>
  <si>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</si>
  <si>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</si>
  <si>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</si>
  <si>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</si>
  <si>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</si>
  <si>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</si>
  <si>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</si>
  <si>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</si>
  <si>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</si>
  <si>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</si>
  <si>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</si>
  <si>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</si>
  <si>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</si>
  <si>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</si>
  <si>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</si>
  <si>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</si>
  <si>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</si>
  <si>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</si>
  <si>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</si>
  <si>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</si>
  <si>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</si>
  <si>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</si>
  <si>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</si>
  <si>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</si>
  <si>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</si>
  <si>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</si>
  <si>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</si>
  <si>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</si>
  <si>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</si>
  <si>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</si>
  <si>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</si>
  <si>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</si>
  <si>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</si>
  <si>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</si>
  <si>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</si>
  <si>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</si>
  <si>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</si>
  <si>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</si>
  <si>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</si>
  <si>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</si>
  <si>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</si>
  <si>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</si>
  <si>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</si>
  <si>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</si>
  <si>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</si>
  <si>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</si>
  <si>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</si>
  <si>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</si>
  <si>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</si>
  <si>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</si>
  <si>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</si>
  <si>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</si>
  <si>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</si>
  <si>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</si>
  <si>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</si>
  <si>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</si>
  <si>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</si>
  <si>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</si>
  <si>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</si>
  <si>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</si>
  <si>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</si>
  <si>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</si>
  <si>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</si>
  <si>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</si>
  <si>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</si>
  <si>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</si>
  <si>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</si>
  <si>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</si>
  <si>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</si>
  <si>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</si>
  <si>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</si>
  <si>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</si>
  <si>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</si>
  <si>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</si>
  <si>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</si>
  <si>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</si>
  <si>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</si>
  <si>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</si>
  <si>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</si>
  <si>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</si>
  <si>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</si>
  <si>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</si>
  <si>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</si>
  <si>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</si>
  <si>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</si>
  <si>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</si>
  <si>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</si>
  <si>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</si>
  <si>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</si>
  <si>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</si>
  <si>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</si>
  <si>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</si>
  <si>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</si>
  <si>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</si>
  <si>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</si>
  <si>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</si>
  <si>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</si>
  <si>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</si>
  <si>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</si>
  <si>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</si>
  <si>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</si>
  <si>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</si>
  <si>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</si>
  <si>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</si>
  <si>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</si>
  <si>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</si>
  <si>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</si>
  <si>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</si>
  <si>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</si>
  <si>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</si>
  <si>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</si>
  <si>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</si>
  <si>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</si>
  <si>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</si>
  <si>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</si>
  <si>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</si>
  <si>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</si>
  <si>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</si>
  <si>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</si>
  <si>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</si>
  <si>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</si>
  <si>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</si>
  <si>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</si>
  <si>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</si>
  <si>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</si>
  <si>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</si>
  <si>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</si>
  <si>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</si>
  <si>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</si>
  <si>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</si>
  <si>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</si>
  <si>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</si>
  <si>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</si>
  <si>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</si>
  <si>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</si>
  <si>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</si>
  <si>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</si>
  <si>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</si>
  <si>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</si>
  <si>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</si>
  <si>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</si>
  <si>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</si>
  <si>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</si>
  <si>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</si>
  <si>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</si>
  <si>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</si>
  <si>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</si>
  <si>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</si>
  <si>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</si>
  <si>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</si>
  <si>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</si>
  <si>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</si>
  <si>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</si>
  <si>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</si>
  <si>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</si>
  <si>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</si>
  <si>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</si>
  <si>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</si>
  <si>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</si>
  <si>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</si>
  <si>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</si>
  <si>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</si>
  <si>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</si>
  <si>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</si>
  <si>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</si>
  <si>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</si>
  <si>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</si>
  <si>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</si>
  <si>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</si>
  <si>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</si>
  <si>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</si>
  <si>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</si>
  <si>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</si>
  <si>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</si>
  <si>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</si>
  <si>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</si>
  <si>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</si>
  <si>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</si>
  <si>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</si>
  <si>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</si>
  <si>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</si>
  <si>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</si>
  <si>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</si>
  <si>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</si>
  <si>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</si>
  <si>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</si>
  <si>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</si>
  <si>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</si>
  <si>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</si>
  <si>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</si>
  <si>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</si>
  <si>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</si>
  <si>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</si>
  <si>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</si>
  <si>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</si>
  <si>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</si>
  <si>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</si>
  <si>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</si>
  <si>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</si>
  <si>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</si>
  <si>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</si>
  <si>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</si>
  <si>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</si>
  <si>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</si>
  <si>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</si>
  <si>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</si>
  <si>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</si>
  <si>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</si>
  <si>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</si>
  <si>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</si>
  <si>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</si>
  <si>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</si>
  <si>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</si>
  <si>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</si>
  <si>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</si>
  <si>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</si>
  <si>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</si>
  <si>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</si>
  <si>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</si>
  <si>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</si>
  <si>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</si>
  <si>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</si>
  <si>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</si>
  <si>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</si>
  <si>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</si>
  <si>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</si>
  <si>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</si>
  <si>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</si>
  <si>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</si>
  <si>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</si>
  <si>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</si>
  <si>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</si>
  <si>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</si>
  <si>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</si>
  <si>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</si>
  <si>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</si>
  <si>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</si>
  <si>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</si>
  <si>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</si>
  <si>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</si>
  <si>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</si>
  <si>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</si>
  <si>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</si>
  <si>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</si>
  <si>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</si>
  <si>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</si>
  <si>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</si>
  <si>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</si>
  <si>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</si>
  <si>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</si>
  <si>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</si>
  <si>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</si>
  <si>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</si>
  <si>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</si>
  <si>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</si>
  <si>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</si>
  <si>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</si>
  <si>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</si>
  <si>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</si>
  <si>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</si>
  <si>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</si>
  <si>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</si>
  <si>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</si>
  <si>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</si>
  <si>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</si>
  <si>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</si>
  <si>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</si>
  <si>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</si>
  <si>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</si>
  <si>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</si>
  <si>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</si>
  <si>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</si>
  <si>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</si>
  <si>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</si>
  <si>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</si>
  <si>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</si>
  <si>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</si>
  <si>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</si>
  <si>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</si>
  <si>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</si>
  <si>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</si>
  <si>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</si>
  <si>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</si>
  <si>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</si>
  <si>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</si>
  <si>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</si>
  <si>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</si>
  <si>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</si>
  <si>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</si>
  <si>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</si>
  <si>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</si>
  <si>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</si>
  <si>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</si>
  <si>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</si>
  <si>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</si>
  <si>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</si>
  <si>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</si>
  <si>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</si>
  <si>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</si>
  <si>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</si>
  <si>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</si>
  <si>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</si>
  <si>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</si>
  <si>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</si>
  <si>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</si>
  <si>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</si>
  <si>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</si>
  <si>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</si>
  <si>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</si>
  <si>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</si>
  <si>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</si>
  <si>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</si>
  <si>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</si>
  <si>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</si>
  <si>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</si>
  <si>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</si>
  <si>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</si>
  <si>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</si>
  <si>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</si>
  <si>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</si>
  <si>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</si>
  <si>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</si>
  <si>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</si>
  <si>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</si>
  <si>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</si>
  <si>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</si>
  <si>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</si>
  <si>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</si>
  <si>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</si>
  <si>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</si>
  <si>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</si>
  <si>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</si>
  <si>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</si>
  <si>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</si>
  <si>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</si>
  <si>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</si>
  <si>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</si>
  <si>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</si>
  <si>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</si>
  <si>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</si>
  <si>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</si>
  <si>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</si>
  <si>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</si>
  <si>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</si>
  <si>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</si>
  <si>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</si>
  <si>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</si>
  <si>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</si>
  <si>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</si>
  <si>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</si>
  <si>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</si>
  <si>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</si>
  <si>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</si>
  <si>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</si>
  <si>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</si>
  <si>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</si>
  <si>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</si>
  <si>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</si>
  <si>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</si>
  <si>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</si>
  <si>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</si>
  <si>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</si>
  <si>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</si>
  <si>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</si>
  <si>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</si>
  <si>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</si>
  <si>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</si>
  <si>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</si>
  <si>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</si>
  <si>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</si>
  <si>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</si>
  <si>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</si>
  <si>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</si>
  <si>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</si>
  <si>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</si>
  <si>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</si>
  <si>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</si>
  <si>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</si>
  <si>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</si>
  <si>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</si>
  <si>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</si>
  <si>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</si>
  <si>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</si>
  <si>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</si>
  <si>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</si>
  <si>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</si>
  <si>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</si>
  <si>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</si>
  <si>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</si>
  <si>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</si>
  <si>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</si>
  <si>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</si>
  <si>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</si>
  <si>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</si>
  <si>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</si>
  <si>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</si>
  <si>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</si>
  <si>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</si>
  <si>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</si>
  <si>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</si>
  <si>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</si>
  <si>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</si>
  <si>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</si>
  <si>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</si>
  <si>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</si>
  <si>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</si>
  <si>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</si>
  <si>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</si>
  <si>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</si>
  <si>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</si>
  <si>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</si>
  <si>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</si>
  <si>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</si>
  <si>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</si>
  <si>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</si>
  <si>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</si>
  <si>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</si>
  <si>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</si>
  <si>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</si>
  <si>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</si>
  <si>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</si>
  <si>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</si>
  <si>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</si>
  <si>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</si>
  <si>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</si>
  <si>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</si>
  <si>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</si>
  <si>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</si>
  <si>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</si>
  <si>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</si>
  <si>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</si>
  <si>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</si>
  <si>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</si>
  <si>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</si>
  <si>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</si>
  <si>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</si>
  <si>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</si>
  <si>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</si>
  <si>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</si>
  <si>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</si>
  <si>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</si>
  <si>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</si>
  <si>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</si>
  <si>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</si>
  <si>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</si>
  <si>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</si>
  <si>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</si>
  <si>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</si>
  <si>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</si>
  <si>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</si>
  <si>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</si>
  <si>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</si>
  <si>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</si>
  <si>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</si>
  <si>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</si>
  <si>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</si>
  <si>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</si>
  <si>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</si>
  <si>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</si>
  <si>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</si>
  <si>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</si>
  <si>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</si>
  <si>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</si>
  <si>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</si>
  <si>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</si>
  <si>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</si>
  <si>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</si>
  <si>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</si>
  <si>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</si>
  <si>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</si>
  <si>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</si>
  <si>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</si>
  <si>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</si>
  <si>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</si>
  <si>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</si>
  <si>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</si>
  <si>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</si>
  <si>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</si>
  <si>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</si>
  <si>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</si>
  <si>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</si>
  <si>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</si>
  <si>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</si>
  <si>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</si>
  <si>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</si>
  <si>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</si>
  <si>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</si>
  <si>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</si>
  <si>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</si>
  <si>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</si>
  <si>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</si>
  <si>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</si>
  <si>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</si>
  <si>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</si>
  <si>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</si>
  <si>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</si>
  <si>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</si>
  <si>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</si>
  <si>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</si>
  <si>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</si>
  <si>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</si>
  <si>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</si>
  <si>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</si>
  <si>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</si>
  <si>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</si>
  <si>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</si>
  <si>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</si>
  <si>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</si>
  <si>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</si>
  <si>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</si>
  <si>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</si>
  <si>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</si>
  <si>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</si>
  <si>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</si>
  <si>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</si>
  <si>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</si>
  <si>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</si>
  <si>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</si>
  <si>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</si>
  <si>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</si>
  <si>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</si>
  <si>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</si>
  <si>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</si>
  <si>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</si>
  <si>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</si>
  <si>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</si>
  <si>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</si>
  <si>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</si>
  <si>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</si>
  <si>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</si>
  <si>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</si>
  <si>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</si>
  <si>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</si>
  <si>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</si>
  <si>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</si>
  <si>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</si>
  <si>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</si>
  <si>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</si>
  <si>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</si>
  <si>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</si>
  <si>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</si>
  <si>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</si>
  <si>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</si>
  <si>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</si>
  <si>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</si>
  <si>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</si>
  <si>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</si>
  <si>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</si>
  <si>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</si>
  <si>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</si>
  <si>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</si>
  <si>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</si>
  <si>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</si>
  <si>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</si>
  <si>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</si>
  <si>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</si>
  <si>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</si>
  <si>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</si>
  <si>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</si>
  <si>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</si>
  <si>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</si>
  <si>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</si>
  <si>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</si>
  <si>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</si>
  <si>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</si>
  <si>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</si>
  <si>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</si>
  <si>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</si>
  <si>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</si>
  <si>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</si>
  <si>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</si>
  <si>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</si>
  <si>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</si>
  <si>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</si>
  <si>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</si>
  <si>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</si>
  <si>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</si>
  <si>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</si>
  <si>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</si>
  <si>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</si>
  <si>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</si>
  <si>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</si>
  <si>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</si>
  <si>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</si>
  <si>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</si>
  <si>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</si>
  <si>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</si>
  <si>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</si>
  <si>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</si>
  <si>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</si>
  <si>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</si>
  <si>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</si>
  <si>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</si>
  <si>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</si>
  <si>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</si>
  <si>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</si>
  <si>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</si>
  <si>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</si>
  <si>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</si>
  <si>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</si>
  <si>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</si>
  <si>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</si>
  <si>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</si>
  <si>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</si>
  <si>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</si>
  <si>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</si>
  <si>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</si>
  <si>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</si>
  <si>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</si>
  <si>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</si>
  <si>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</si>
  <si>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</si>
  <si>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</si>
  <si>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</si>
  <si>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</si>
  <si>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</si>
  <si>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</si>
  <si>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</si>
  <si>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</si>
  <si>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</si>
  <si>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</si>
  <si>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</si>
  <si>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</si>
  <si>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</si>
  <si>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</si>
  <si>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</si>
  <si>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</si>
  <si>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</si>
  <si>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</si>
  <si>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</si>
  <si>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</si>
  <si>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</si>
  <si>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</si>
  <si>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</si>
  <si>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</si>
  <si>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</si>
  <si>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</si>
  <si>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</si>
  <si>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</si>
  <si>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</si>
  <si>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</si>
  <si>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</si>
  <si>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</si>
  <si>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</si>
  <si>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</si>
  <si>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</si>
  <si>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</si>
  <si>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</si>
  <si>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</si>
  <si>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</si>
  <si>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</si>
  <si>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</si>
  <si>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</si>
  <si>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</si>
  <si>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</si>
  <si>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</si>
  <si>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</si>
  <si>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</si>
  <si>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</si>
  <si>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</si>
  <si>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</si>
  <si>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</si>
  <si>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</si>
  <si>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</si>
  <si>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</si>
  <si>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</si>
  <si>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</si>
  <si>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</si>
  <si>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</si>
  <si>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</si>
  <si>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</si>
  <si>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</si>
  <si>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</si>
  <si>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</si>
  <si>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</si>
  <si>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</si>
  <si>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</si>
  <si>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</si>
  <si>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</si>
  <si>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</si>
  <si>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</si>
  <si>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</si>
  <si>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</si>
  <si>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</si>
  <si>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</si>
  <si>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</si>
  <si>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</si>
  <si>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</si>
  <si>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</si>
  <si>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</si>
  <si>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</si>
  <si>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</si>
  <si>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</si>
  <si>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</si>
  <si>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</si>
  <si>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</si>
  <si>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</si>
  <si>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</si>
  <si>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</si>
  <si>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</si>
  <si>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</si>
  <si>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</si>
  <si>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</si>
  <si>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</si>
  <si>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</si>
  <si>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</si>
  <si>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</si>
  <si>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</si>
  <si>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</si>
  <si>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</si>
  <si>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</si>
  <si>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</si>
  <si>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</si>
  <si>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</si>
  <si>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</si>
  <si>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</si>
  <si>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</si>
  <si>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</si>
  <si>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</si>
  <si>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</si>
  <si>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</si>
  <si>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</si>
  <si>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</si>
  <si>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</si>
  <si>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</si>
  <si>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</si>
  <si>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</si>
  <si>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</si>
  <si>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</si>
  <si>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</si>
  <si>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</si>
  <si>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</si>
  <si>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</si>
  <si>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</si>
  <si>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</si>
  <si>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</si>
  <si>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</si>
  <si>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</si>
  <si>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</si>
  <si>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</si>
  <si>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</si>
  <si>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</si>
  <si>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</si>
  <si>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</si>
  <si>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</si>
  <si>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</si>
  <si>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</si>
  <si>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</si>
  <si>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</si>
  <si>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</si>
  <si>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</si>
  <si>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</si>
  <si>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</si>
  <si>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</si>
  <si>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</si>
  <si>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</si>
  <si>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</si>
  <si>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</si>
  <si>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</si>
  <si>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</si>
  <si>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</si>
  <si>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</si>
  <si>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</si>
  <si>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</si>
  <si>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</si>
  <si>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</si>
  <si>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</si>
  <si>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</si>
  <si>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</si>
  <si>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</si>
  <si>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</si>
  <si>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</si>
  <si>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</si>
  <si>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</si>
  <si>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</si>
  <si>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</si>
  <si>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</si>
  <si>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</si>
  <si>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</si>
  <si>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</si>
  <si>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</si>
  <si>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</si>
  <si>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</si>
  <si>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</si>
  <si>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</si>
  <si>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</si>
  <si>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</si>
  <si>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</si>
  <si>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</si>
  <si>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</si>
  <si>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</si>
  <si>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</si>
  <si>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</si>
  <si>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</si>
  <si>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</si>
  <si>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</si>
  <si>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</si>
  <si>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</si>
  <si>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</si>
  <si>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</si>
  <si>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</si>
  <si>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</si>
  <si>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</si>
  <si>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</si>
  <si>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</si>
  <si>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</si>
  <si>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</si>
  <si>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</si>
  <si>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</si>
  <si>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</si>
  <si>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</si>
  <si>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</si>
  <si>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</si>
  <si>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</si>
  <si>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</si>
  <si>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</si>
  <si>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</si>
  <si>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</si>
  <si>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</si>
  <si>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</si>
  <si>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</si>
  <si>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</si>
  <si>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</si>
  <si>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</si>
  <si>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</si>
  <si>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</si>
  <si>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</si>
  <si>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</si>
  <si>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</si>
  <si>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</si>
  <si>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</si>
  <si>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</si>
  <si>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</si>
  <si>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</si>
  <si>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</si>
  <si>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</si>
  <si>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</si>
  <si>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</si>
  <si>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</si>
  <si>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</si>
  <si>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</si>
  <si>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</si>
  <si>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</si>
  <si>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</si>
  <si>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</si>
  <si>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</si>
  <si>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</si>
  <si>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</si>
  <si>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</si>
  <si>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</si>
  <si>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</si>
  <si>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</si>
  <si>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</si>
  <si>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</si>
  <si>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</si>
  <si>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</si>
  <si>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</si>
  <si>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</si>
  <si>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</si>
  <si>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</si>
  <si>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</si>
  <si>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</si>
  <si>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</si>
  <si>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</si>
  <si>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</si>
  <si>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</si>
  <si>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</si>
  <si>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</si>
  <si>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</si>
  <si>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</si>
  <si>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</si>
  <si>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</si>
  <si>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</si>
  <si>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</si>
  <si>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</si>
  <si>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</si>
  <si>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</si>
  <si>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</si>
  <si>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</si>
  <si>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</si>
  <si>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</si>
  <si>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</si>
  <si>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</si>
  <si>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</si>
  <si>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</si>
  <si>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</si>
  <si>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</si>
  <si>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</si>
  <si>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</si>
  <si>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</si>
  <si>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</si>
  <si>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</si>
  <si>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</si>
  <si>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</si>
  <si>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</si>
  <si>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</si>
  <si>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</si>
  <si>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</si>
  <si>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</si>
  <si>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</si>
  <si>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</si>
  <si>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</si>
  <si>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</si>
  <si>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</si>
  <si>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</si>
  <si>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</si>
  <si>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</si>
  <si>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</si>
  <si>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</si>
  <si>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</si>
  <si>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</si>
  <si>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</si>
  <si>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</si>
  <si>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</si>
  <si>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</si>
  <si>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</si>
  <si>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</si>
  <si>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</si>
  <si>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</si>
  <si>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</si>
  <si>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</si>
  <si>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</si>
  <si>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</si>
  <si>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</si>
  <si>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</si>
  <si>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</si>
  <si>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</si>
  <si>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</si>
  <si>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</si>
  <si>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</si>
  <si>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</si>
  <si>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</si>
  <si>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</si>
  <si>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</si>
  <si>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</si>
  <si>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</si>
  <si>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</si>
  <si>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</si>
  <si>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</si>
  <si>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</si>
  <si>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</si>
  <si>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</si>
  <si>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</si>
  <si>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</si>
  <si>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</si>
  <si>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</si>
  <si>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</si>
  <si>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</si>
  <si>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</si>
  <si>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</si>
  <si>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</si>
  <si>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</si>
  <si>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</si>
  <si>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</si>
  <si>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</si>
  <si>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</si>
  <si>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</si>
  <si>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</si>
  <si>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</si>
  <si>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</si>
  <si>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</si>
  <si>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</si>
  <si>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</si>
  <si>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</si>
  <si>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</si>
  <si>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</si>
  <si>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</si>
  <si>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</si>
  <si>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</si>
  <si>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</si>
  <si>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</si>
  <si>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</si>
  <si>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</si>
  <si>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</si>
  <si>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</si>
  <si>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</si>
  <si>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</si>
  <si>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</si>
  <si>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</si>
  <si>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</si>
  <si>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</si>
  <si>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</si>
  <si>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</si>
  <si>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</si>
  <si>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</si>
  <si>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</si>
  <si>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</si>
  <si>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</si>
  <si>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</si>
  <si>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</si>
  <si>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</si>
  <si>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</si>
  <si>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</si>
  <si>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</si>
  <si>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</si>
  <si>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</si>
  <si>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</si>
  <si>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</si>
  <si>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</si>
  <si>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</si>
  <si>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</si>
  <si>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</si>
  <si>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</si>
  <si>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</si>
  <si>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</si>
  <si>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</si>
  <si>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</si>
  <si>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</si>
  <si>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</si>
  <si>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</si>
  <si>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</si>
  <si>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</si>
  <si>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</si>
  <si>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</si>
  <si>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</si>
  <si>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</si>
  <si>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</si>
  <si>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</si>
  <si>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</si>
  <si>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</si>
  <si>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</si>
  <si>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</si>
  <si>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</si>
  <si>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</si>
  <si>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</si>
  <si>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</si>
  <si>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</si>
  <si>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</si>
  <si>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</si>
  <si>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</si>
  <si>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</si>
  <si>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</si>
  <si>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</si>
  <si>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</si>
  <si>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</si>
  <si>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</si>
  <si>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</si>
  <si>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</si>
  <si>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</si>
  <si>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</si>
  <si>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</si>
  <si>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</si>
  <si>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</si>
  <si>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</si>
  <si>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</si>
  <si>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</si>
  <si>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</si>
  <si>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</si>
  <si>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</si>
  <si>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</si>
  <si>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</si>
  <si>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</si>
  <si>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</si>
  <si>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</si>
  <si>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</si>
  <si>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</si>
  <si>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</si>
  <si>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</si>
  <si>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</si>
  <si>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</si>
  <si>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</si>
  <si>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</si>
  <si>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</si>
  <si>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</si>
  <si>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</si>
  <si>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</si>
  <si>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</si>
  <si>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</si>
  <si>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</si>
  <si>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</si>
  <si>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</si>
  <si>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</si>
  <si>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</si>
  <si>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</si>
  <si>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</si>
  <si>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</si>
  <si>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</si>
  <si>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</si>
  <si>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</si>
  <si>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</si>
  <si>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</si>
  <si>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</si>
  <si>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</si>
  <si>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</si>
  <si>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</si>
  <si>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</si>
  <si>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</si>
  <si>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</si>
  <si>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</si>
  <si>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</si>
  <si>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</si>
  <si>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</si>
  <si>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</si>
  <si>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</si>
  <si>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</si>
  <si>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</si>
  <si>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</si>
  <si>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</si>
  <si>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</si>
  <si>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</si>
  <si>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</si>
  <si>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</si>
  <si>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</si>
  <si>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</si>
  <si>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</si>
  <si>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</si>
  <si>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</si>
  <si>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Moore &amp; Simonin, PC</t>
  </si>
  <si>
    <t>Robert E. Moore, CPA</t>
  </si>
  <si>
    <t>3636 North Belt West</t>
  </si>
  <si>
    <t>Belleville</t>
  </si>
  <si>
    <t>IL</t>
  </si>
  <si>
    <t>618-233-5049</t>
  </si>
  <si>
    <t>618-233-1061</t>
  </si>
  <si>
    <t>066-005248</t>
  </si>
  <si>
    <t>mooresimonin@mrsaccountants.com</t>
  </si>
  <si>
    <t>Washington</t>
  </si>
  <si>
    <t>P.O. Box 130</t>
  </si>
  <si>
    <t>Irvington</t>
  </si>
  <si>
    <t>Debt Certificate</t>
  </si>
  <si>
    <t>Egyptian Trust</t>
  </si>
  <si>
    <t>KSED</t>
  </si>
  <si>
    <t>Whether the School District had the resources to prepare their financial statements in accordance with U.S. generally accepted accounting principles or another comprehensive basis of accounting for the year ended June 30, 2018.</t>
  </si>
  <si>
    <t>We noted that the School District was not able to prepare their financial statements in accordance with U.S. generally accepted accounting principles or another comprehensive basis of accounting for the year ended June 30,2018.</t>
  </si>
  <si>
    <t>The School District does not have internal control over their financial reporting.</t>
  </si>
  <si>
    <t>The School District is unable to prepare their financial statements in accordance with U.S. generally accepted accounting principles or another comprehensive basis of accounting for the year ended June 30, 2018.</t>
  </si>
  <si>
    <t>The District is able to prepare its financial reports, but lacks the resources of research, study and apply all new reporting standards necessary to complete the related notes and exhibits.</t>
  </si>
  <si>
    <t>To study the cost versus benefit of providing the necessary education and training to staff in order to prepare the financial statements in accordance with another comprehensive basis of accounting.</t>
  </si>
  <si>
    <t>Management plans to study the cost versus benefit of providing the necessary education and training to staff in order to prepare the financial statements in accordance with another comprehensive basis of accounting.</t>
  </si>
  <si>
    <t>Irvington CCSD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</si>
</sst>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371475</xdr:colOff>
          <xdr:row>6</xdr:row>
          <xdr:rowOff>9525</xdr:rowOff>
        </xdr:from>
        <xdr:to>
          <xdr:col>1</xdr:col>
          <xdr:colOff>1285875</xdr:colOff>
          <xdr:row>10</xdr:row>
          <xdr:rowOff>47625</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t="s">
        <v>2077</v>
      </c>
      <c r="C5" s="26" t="s">
        <v>966</v>
      </c>
      <c r="D5" s="84"/>
      <c r="E5" s="84"/>
      <c r="H5" s="38"/>
      <c r="I5" s="2041" t="s">
        <v>701</v>
      </c>
      <c r="J5" s="1986"/>
      <c r="K5" s="1986"/>
      <c r="L5" s="1986"/>
      <c r="M5" s="1986"/>
      <c r="N5" s="1986"/>
      <c r="O5" s="1986"/>
      <c r="P5" s="1986"/>
      <c r="Q5" s="1986"/>
      <c r="R5" s="1986"/>
      <c r="S5" s="1986"/>
    </row>
    <row r="6" spans="1:28" ht="14.1" customHeight="1" x14ac:dyDescent="0.2">
      <c r="B6" s="104"/>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2077</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13095011004</v>
      </c>
      <c r="B13" s="2003"/>
      <c r="C13" s="2003"/>
      <c r="D13" s="2003"/>
      <c r="E13" s="2003"/>
      <c r="F13" s="2003"/>
      <c r="G13" s="2003"/>
      <c r="H13" s="2004"/>
      <c r="I13" s="31"/>
      <c r="J13" s="30"/>
      <c r="K13" s="28"/>
      <c r="L13" s="30"/>
      <c r="M13" s="30"/>
      <c r="N13" s="30"/>
      <c r="O13" s="30"/>
      <c r="P13" s="30"/>
      <c r="Q13" s="30"/>
      <c r="R13" s="30"/>
      <c r="S13" s="30"/>
      <c r="T13" s="2007" t="s">
        <v>2078</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2087</v>
      </c>
      <c r="B15" s="2005"/>
      <c r="C15" s="2005"/>
      <c r="D15" s="2005"/>
      <c r="E15" s="2005"/>
      <c r="F15" s="2005"/>
      <c r="G15" s="2005"/>
      <c r="H15" s="2006"/>
      <c r="T15" s="1968" t="s">
        <v>2079</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2100</v>
      </c>
      <c r="B17" s="2030"/>
      <c r="C17" s="2030"/>
      <c r="D17" s="2030"/>
      <c r="E17" s="2030"/>
      <c r="F17" s="2030"/>
      <c r="G17" s="2030"/>
      <c r="H17" s="2031"/>
      <c r="T17" s="2017" t="s">
        <v>2080</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2088</v>
      </c>
      <c r="B19" s="2001"/>
      <c r="C19" s="2001"/>
      <c r="D19" s="2001"/>
      <c r="E19" s="2001"/>
      <c r="F19" s="2001"/>
      <c r="G19" s="2001"/>
      <c r="H19" s="1999"/>
      <c r="I19" s="30"/>
      <c r="J19" s="99"/>
      <c r="K19" s="40"/>
      <c r="L19" s="38"/>
      <c r="M19" s="112" t="s">
        <v>333</v>
      </c>
      <c r="P19" s="27"/>
      <c r="Q19" s="27"/>
      <c r="R19" s="27"/>
      <c r="S19" s="31"/>
      <c r="T19" s="2000" t="s">
        <v>2081</v>
      </c>
      <c r="U19" s="1998"/>
      <c r="V19" s="1998"/>
      <c r="W19" s="1999"/>
      <c r="X19" s="2015" t="s">
        <v>2082</v>
      </c>
      <c r="Y19" s="2016"/>
      <c r="Z19" s="2013">
        <v>62226</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2089</v>
      </c>
      <c r="B21" s="1998"/>
      <c r="C21" s="1998"/>
      <c r="D21" s="1998"/>
      <c r="E21" s="1998"/>
      <c r="F21" s="1998"/>
      <c r="G21" s="1998"/>
      <c r="H21" s="1999"/>
      <c r="I21" s="2023" t="s">
        <v>699</v>
      </c>
      <c r="J21" s="1986"/>
      <c r="K21" s="1986"/>
      <c r="L21" s="1986"/>
      <c r="M21" s="1986"/>
      <c r="N21" s="1986"/>
      <c r="O21" s="1986"/>
      <c r="P21" s="1986"/>
      <c r="Q21" s="1986"/>
      <c r="R21" s="1986"/>
      <c r="S21" s="1987"/>
      <c r="T21" s="1965" t="s">
        <v>2083</v>
      </c>
      <c r="U21" s="1966"/>
      <c r="V21" s="1966"/>
      <c r="W21" s="1966"/>
      <c r="X21" s="1979" t="s">
        <v>2084</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c r="B23" s="2021"/>
      <c r="C23" s="2021"/>
      <c r="D23" s="2021"/>
      <c r="E23" s="2021"/>
      <c r="F23" s="2021"/>
      <c r="G23" s="2021"/>
      <c r="H23" s="2022"/>
      <c r="T23" s="1960" t="s">
        <v>2085</v>
      </c>
      <c r="U23" s="1961"/>
      <c r="V23" s="1961"/>
      <c r="W23" s="1961"/>
      <c r="X23" s="1976">
        <v>43434</v>
      </c>
      <c r="Y23" s="1977"/>
      <c r="Z23" s="1977"/>
      <c r="AA23" s="1978"/>
    </row>
    <row r="24" spans="1:27" ht="14.1" customHeight="1" x14ac:dyDescent="0.2">
      <c r="A24" s="88" t="s">
        <v>698</v>
      </c>
      <c r="B24" s="49"/>
      <c r="C24" s="49"/>
      <c r="D24" s="49"/>
      <c r="E24" s="49"/>
      <c r="F24" s="49"/>
      <c r="G24" s="49"/>
      <c r="H24" s="61"/>
      <c r="J24" s="2062">
        <f>IF(B5="x",IF(AUDITCHECK!D29="AFR form Incomplete.","",IF(AUDITCHECK!D29="Deficit reduction plan is required.","School District must complete a deficit reduction plan in the 2018-2019 Budget",)),"")</f>
        <v>0</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62848</v>
      </c>
      <c r="B25" s="1998"/>
      <c r="C25" s="1998"/>
      <c r="D25" s="1998"/>
      <c r="E25" s="1998"/>
      <c r="F25" s="1998"/>
      <c r="G25" s="1998"/>
      <c r="H25" s="1999"/>
      <c r="I25" s="113"/>
      <c r="J25" s="2064"/>
      <c r="K25" s="2064"/>
      <c r="L25" s="2064"/>
      <c r="M25" s="2064"/>
      <c r="N25" s="2064"/>
      <c r="O25" s="2064"/>
      <c r="P25" s="2064"/>
      <c r="Q25" s="2064"/>
      <c r="R25" s="2064"/>
      <c r="S25" s="2065"/>
      <c r="T25" s="1957" t="s">
        <v>2086</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c r="B42" s="2047"/>
      <c r="C42" s="2048"/>
      <c r="D42" s="2061"/>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9" t="s">
        <v>1905</v>
      </c>
      <c r="B2" s="1550" t="s">
        <v>2035</v>
      </c>
      <c r="C2" s="715" t="s">
        <v>1910</v>
      </c>
      <c r="D2" s="715" t="s">
        <v>1911</v>
      </c>
      <c r="E2" s="715" t="s">
        <v>1912</v>
      </c>
      <c r="F2" s="715" t="s">
        <v>1913</v>
      </c>
    </row>
    <row r="3" spans="1:6" ht="12" customHeight="1" x14ac:dyDescent="0.2">
      <c r="A3" s="2200"/>
      <c r="B3" s="1547"/>
      <c r="C3" s="1548"/>
      <c r="D3" s="1549" t="s">
        <v>274</v>
      </c>
      <c r="E3" s="1548"/>
      <c r="F3" s="1549" t="s">
        <v>275</v>
      </c>
    </row>
    <row r="4" spans="1:6" ht="13.7" customHeight="1" x14ac:dyDescent="0.2">
      <c r="A4" s="716" t="s">
        <v>1217</v>
      </c>
      <c r="B4" s="1771">
        <f>'Revenues 9-14'!C5</f>
        <v>286238</v>
      </c>
      <c r="C4" s="1546"/>
      <c r="D4" s="1774">
        <f>B4-C4</f>
        <v>286238</v>
      </c>
      <c r="E4" s="1546">
        <v>297149</v>
      </c>
      <c r="F4" s="1774">
        <f>E4-C4</f>
        <v>297149</v>
      </c>
    </row>
    <row r="5" spans="1:6" ht="13.7" customHeight="1" x14ac:dyDescent="0.2">
      <c r="A5" s="716" t="s">
        <v>925</v>
      </c>
      <c r="B5" s="1772">
        <f>'Revenues 9-14'!D5</f>
        <v>37639</v>
      </c>
      <c r="C5" s="585"/>
      <c r="D5" s="1775">
        <f t="shared" ref="D5:D18" si="0">B5-C5</f>
        <v>37639</v>
      </c>
      <c r="E5" s="585">
        <v>36301</v>
      </c>
      <c r="F5" s="1775">
        <f>E5-C5</f>
        <v>36301</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14363</v>
      </c>
      <c r="C7" s="585"/>
      <c r="D7" s="1775">
        <f t="shared" si="0"/>
        <v>14363</v>
      </c>
      <c r="E7" s="585">
        <v>14912</v>
      </c>
      <c r="F7" s="1775">
        <f t="shared" si="1"/>
        <v>14912</v>
      </c>
    </row>
    <row r="8" spans="1:6" ht="13.7" customHeight="1" x14ac:dyDescent="0.2">
      <c r="A8" s="716" t="s">
        <v>1241</v>
      </c>
      <c r="B8" s="1772">
        <f>'Revenues 9-14'!G5</f>
        <v>1647</v>
      </c>
      <c r="C8" s="585"/>
      <c r="D8" s="1775">
        <f t="shared" si="0"/>
        <v>1647</v>
      </c>
      <c r="E8" s="585">
        <v>3958</v>
      </c>
      <c r="F8" s="1775">
        <f t="shared" si="1"/>
        <v>3958</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3799</v>
      </c>
      <c r="C10" s="585"/>
      <c r="D10" s="1775">
        <f t="shared" si="0"/>
        <v>3799</v>
      </c>
      <c r="E10" s="585">
        <v>3943</v>
      </c>
      <c r="F10" s="1775">
        <f t="shared" si="1"/>
        <v>3943</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5524</v>
      </c>
      <c r="C12" s="585"/>
      <c r="D12" s="1775">
        <f t="shared" si="0"/>
        <v>5524</v>
      </c>
      <c r="E12" s="585">
        <v>5736</v>
      </c>
      <c r="F12" s="1775">
        <f t="shared" si="1"/>
        <v>5736</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8287</v>
      </c>
      <c r="C14" s="585"/>
      <c r="D14" s="1775">
        <f t="shared" si="0"/>
        <v>8287</v>
      </c>
      <c r="E14" s="585">
        <v>8603</v>
      </c>
      <c r="F14" s="1775">
        <f t="shared" si="1"/>
        <v>8603</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1647</v>
      </c>
      <c r="C16" s="585"/>
      <c r="D16" s="1775">
        <f t="shared" si="0"/>
        <v>1647</v>
      </c>
      <c r="E16" s="585">
        <v>3958</v>
      </c>
      <c r="F16" s="1775">
        <f t="shared" si="1"/>
        <v>3958</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359144</v>
      </c>
      <c r="C19" s="1773">
        <f>SUM(C4:C18)</f>
        <v>0</v>
      </c>
      <c r="D19" s="1773">
        <f>SUM(D4:D18)</f>
        <v>359144</v>
      </c>
      <c r="E19" s="1773">
        <f>SUM(E4:E18)</f>
        <v>374560</v>
      </c>
      <c r="F19" s="1773">
        <f>SUM(F4:F18)</f>
        <v>374560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activeCell="A32" sqref="A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650</v>
      </c>
      <c r="B1" s="2206"/>
      <c r="C1" s="722"/>
    </row>
    <row r="2" spans="1:7" ht="33.75" x14ac:dyDescent="0.2">
      <c r="A2" s="2214" t="s">
        <v>1905</v>
      </c>
      <c r="B2" s="2215"/>
      <c r="C2" s="1909" t="s">
        <v>2036</v>
      </c>
      <c r="D2" s="724" t="s">
        <v>2043</v>
      </c>
      <c r="E2" s="724" t="s">
        <v>2044</v>
      </c>
      <c r="F2" s="1909" t="s">
        <v>2037</v>
      </c>
    </row>
    <row r="3" spans="1:7" ht="15.75" customHeight="1" x14ac:dyDescent="0.2">
      <c r="A3" s="2218" t="s">
        <v>1176</v>
      </c>
      <c r="B3" s="2219"/>
      <c r="C3" s="2207"/>
      <c r="D3" s="2208"/>
      <c r="E3" s="2208"/>
      <c r="F3" s="2209"/>
    </row>
    <row r="4" spans="1:7" ht="12.75" customHeight="1" thickBot="1" x14ac:dyDescent="0.25">
      <c r="A4" s="2216" t="s">
        <v>651</v>
      </c>
      <c r="B4" s="2217"/>
      <c r="C4" s="581"/>
      <c r="D4" s="581"/>
      <c r="E4" s="581"/>
      <c r="F4" s="1777">
        <f>SUM(C4+D4)-E4</f>
        <v>0</v>
      </c>
    </row>
    <row r="5" spans="1:7" ht="15.75" customHeight="1" thickTop="1" x14ac:dyDescent="0.2">
      <c r="A5" s="2201" t="s">
        <v>1172</v>
      </c>
      <c r="B5" s="2202"/>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3" t="s">
        <v>652</v>
      </c>
      <c r="B15" s="2204"/>
      <c r="C15" s="1777">
        <f>SUM(C6:C14)</f>
        <v>0</v>
      </c>
      <c r="D15" s="1777">
        <f>SUM(D6:D14)</f>
        <v>0</v>
      </c>
      <c r="E15" s="1777">
        <f>SUM(E6:E14)</f>
        <v>0</v>
      </c>
      <c r="F15" s="1777">
        <f>SUM(F6:F14)</f>
        <v>0</v>
      </c>
      <c r="G15" s="552"/>
    </row>
    <row r="16" spans="1:7" s="202" customFormat="1" ht="15.75" customHeight="1" thickTop="1" x14ac:dyDescent="0.2">
      <c r="A16" s="2213" t="s">
        <v>1173</v>
      </c>
      <c r="B16" s="2202"/>
      <c r="C16" s="2210"/>
      <c r="D16" s="2211"/>
      <c r="E16" s="2211"/>
      <c r="F16" s="2212"/>
    </row>
    <row r="17" spans="1:11" ht="12.75" customHeight="1" thickBot="1" x14ac:dyDescent="0.25">
      <c r="A17" s="2226" t="s">
        <v>66</v>
      </c>
      <c r="B17" s="2227"/>
      <c r="C17" s="727"/>
      <c r="D17" s="585"/>
      <c r="E17" s="727"/>
      <c r="F17" s="1777">
        <f>SUM(C17+D17)-E17</f>
        <v>0</v>
      </c>
    </row>
    <row r="18" spans="1:11" ht="12.75" customHeight="1" thickTop="1" thickBot="1" x14ac:dyDescent="0.25">
      <c r="A18" s="2226" t="s">
        <v>6</v>
      </c>
      <c r="B18" s="2227"/>
      <c r="C18" s="727"/>
      <c r="D18" s="585"/>
      <c r="E18" s="727"/>
      <c r="F18" s="1777">
        <f>SUM(C18+D18)-E18</f>
        <v>0</v>
      </c>
    </row>
    <row r="19" spans="1:11" ht="12.75" customHeight="1" thickTop="1" thickBot="1" x14ac:dyDescent="0.25">
      <c r="A19" s="2226" t="s">
        <v>406</v>
      </c>
      <c r="B19" s="2227"/>
      <c r="C19" s="727"/>
      <c r="D19" s="585"/>
      <c r="E19" s="727"/>
      <c r="F19" s="1777">
        <f>SUM(C19+D19)-E19</f>
        <v>0</v>
      </c>
    </row>
    <row r="20" spans="1:11" ht="12.75" customHeight="1" thickTop="1" thickBot="1" x14ac:dyDescent="0.25">
      <c r="A20" s="2226" t="s">
        <v>468</v>
      </c>
      <c r="B20" s="2227"/>
      <c r="C20" s="727"/>
      <c r="D20" s="585"/>
      <c r="E20" s="727"/>
      <c r="F20" s="1777">
        <f>SUM(C20+D20)-E20</f>
        <v>0</v>
      </c>
    </row>
    <row r="21" spans="1:11" ht="14.25" thickTop="1" thickBot="1" x14ac:dyDescent="0.25">
      <c r="A21" s="2203" t="s">
        <v>653</v>
      </c>
      <c r="B21" s="2204"/>
      <c r="C21" s="1777">
        <f>SUM(C17:C20)</f>
        <v>0</v>
      </c>
      <c r="D21" s="1777">
        <f>SUM(D17:D20)</f>
        <v>0</v>
      </c>
      <c r="E21" s="1777">
        <f>SUM(E17:E20)</f>
        <v>0</v>
      </c>
      <c r="F21" s="1777">
        <f>SUM(F17:F20)</f>
        <v>0</v>
      </c>
      <c r="G21" s="552"/>
    </row>
    <row r="22" spans="1:11" ht="15.75" customHeight="1" thickTop="1" x14ac:dyDescent="0.2">
      <c r="A22" s="2228" t="s">
        <v>1174</v>
      </c>
      <c r="B22" s="2202"/>
      <c r="C22" s="2210"/>
      <c r="D22" s="2211"/>
      <c r="E22" s="2211"/>
      <c r="F22" s="2212"/>
    </row>
    <row r="23" spans="1:11" ht="13.5" thickBot="1" x14ac:dyDescent="0.25">
      <c r="A23" s="2216" t="s">
        <v>654</v>
      </c>
      <c r="B23" s="2217"/>
      <c r="C23" s="581"/>
      <c r="D23" s="581"/>
      <c r="E23" s="581"/>
      <c r="F23" s="1777">
        <f>SUM(C23+D23)-E23</f>
        <v>0</v>
      </c>
      <c r="G23" s="552"/>
    </row>
    <row r="24" spans="1:11" ht="15.75" customHeight="1" thickTop="1" x14ac:dyDescent="0.2">
      <c r="A24" s="2228" t="s">
        <v>1175</v>
      </c>
      <c r="B24" s="2202"/>
      <c r="C24" s="2210"/>
      <c r="D24" s="2211"/>
      <c r="E24" s="2211"/>
      <c r="F24" s="2212"/>
    </row>
    <row r="25" spans="1:11" ht="13.5" thickBot="1" x14ac:dyDescent="0.25">
      <c r="A25" s="2216" t="s">
        <v>655</v>
      </c>
      <c r="B25" s="2217"/>
      <c r="C25" s="581"/>
      <c r="D25" s="581"/>
      <c r="E25" s="581"/>
      <c r="F25" s="1777">
        <f>SUM(C25+D25)-E25</f>
        <v>0</v>
      </c>
      <c r="G25" s="552"/>
    </row>
    <row r="26" spans="1:11" ht="15.75" customHeight="1" thickTop="1" x14ac:dyDescent="0.2">
      <c r="A26" s="2201" t="s">
        <v>678</v>
      </c>
      <c r="B26" s="2202"/>
      <c r="C26" s="728"/>
      <c r="D26" s="728"/>
      <c r="E26" s="728"/>
      <c r="F26" s="729"/>
    </row>
    <row r="27" spans="1:11" ht="13.5" thickBot="1" x14ac:dyDescent="0.25">
      <c r="A27" s="2203" t="s">
        <v>1130</v>
      </c>
      <c r="B27" s="2204"/>
      <c r="C27" s="585"/>
      <c r="D27" s="585"/>
      <c r="E27" s="585"/>
      <c r="F27" s="1777">
        <f>SUM(C27+D27)-E27</f>
        <v>0</v>
      </c>
      <c r="G27" s="552"/>
    </row>
    <row r="28" spans="1:11" ht="7.5" customHeight="1" thickTop="1" x14ac:dyDescent="0.2">
      <c r="A28" s="594"/>
    </row>
    <row r="29" spans="1:11" ht="23.25" customHeight="1" x14ac:dyDescent="0.2">
      <c r="A29" s="2229" t="s">
        <v>603</v>
      </c>
      <c r="B29" s="2206"/>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2090</v>
      </c>
      <c r="B31" s="734">
        <v>38949</v>
      </c>
      <c r="C31" s="735">
        <v>175000</v>
      </c>
      <c r="D31" s="736">
        <v>7</v>
      </c>
      <c r="E31" s="735">
        <v>30000</v>
      </c>
      <c r="F31" s="735"/>
      <c r="G31" s="735"/>
      <c r="H31" s="735">
        <v>30000</v>
      </c>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175000</v>
      </c>
      <c r="D49" s="746"/>
      <c r="E49" s="1778">
        <f t="shared" ref="E49:J49" si="2">SUM(E31:E48)</f>
        <v>30000</v>
      </c>
      <c r="F49" s="1778">
        <f t="shared" si="2"/>
        <v>0</v>
      </c>
      <c r="G49" s="1778">
        <f t="shared" si="2"/>
        <v>0</v>
      </c>
      <c r="H49" s="1778">
        <f t="shared" si="2"/>
        <v>30000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0" t="s">
        <v>605</v>
      </c>
      <c r="C52" s="2221"/>
      <c r="D52" s="2221"/>
      <c r="E52" s="750" t="s">
        <v>900</v>
      </c>
      <c r="F52" s="2222"/>
      <c r="G52" s="2223"/>
      <c r="H52" s="737"/>
      <c r="I52" s="737"/>
      <c r="J52" s="747"/>
    </row>
    <row r="53" spans="1:11" ht="11.25" customHeight="1" x14ac:dyDescent="0.2">
      <c r="A53" s="751" t="s">
        <v>969</v>
      </c>
      <c r="B53" s="752" t="s">
        <v>1008</v>
      </c>
      <c r="C53" s="747"/>
      <c r="D53" s="738"/>
      <c r="E53" s="750" t="s">
        <v>518</v>
      </c>
      <c r="F53" s="2224"/>
      <c r="G53" s="2225"/>
      <c r="H53" s="737"/>
      <c r="I53" s="737"/>
      <c r="J53" s="747"/>
    </row>
    <row r="54" spans="1:11" ht="11.25" customHeight="1" x14ac:dyDescent="0.2">
      <c r="A54" s="753" t="s">
        <v>970</v>
      </c>
      <c r="B54" s="748" t="s">
        <v>1009</v>
      </c>
      <c r="C54" s="747"/>
      <c r="D54" s="738"/>
      <c r="E54" s="750" t="s">
        <v>519</v>
      </c>
      <c r="F54" s="2224"/>
      <c r="G54" s="222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911</v>
      </c>
      <c r="B1" s="2255"/>
      <c r="C1" s="2255"/>
      <c r="D1" s="2255"/>
      <c r="E1" s="2255"/>
      <c r="F1" s="2255"/>
      <c r="G1" s="2256"/>
      <c r="H1" s="1552"/>
      <c r="I1" s="761"/>
      <c r="J1" s="433"/>
    </row>
    <row r="2" spans="1:11" ht="26.25" x14ac:dyDescent="0.2">
      <c r="A2" s="2233" t="s">
        <v>1776</v>
      </c>
      <c r="B2" s="2234"/>
      <c r="C2" s="2234"/>
      <c r="D2" s="2234"/>
      <c r="E2" s="2235"/>
      <c r="F2" s="762" t="s">
        <v>960</v>
      </c>
      <c r="G2" s="763" t="s">
        <v>1773</v>
      </c>
      <c r="H2" s="763" t="s">
        <v>430</v>
      </c>
      <c r="I2" s="763" t="s">
        <v>1220</v>
      </c>
      <c r="J2" s="763" t="s">
        <v>1919</v>
      </c>
      <c r="K2" s="763" t="s">
        <v>140</v>
      </c>
    </row>
    <row r="3" spans="1:11" x14ac:dyDescent="0.2">
      <c r="A3" s="2236" t="s">
        <v>1698</v>
      </c>
      <c r="B3" s="2237"/>
      <c r="C3" s="2237"/>
      <c r="D3" s="2237"/>
      <c r="E3" s="2238"/>
      <c r="F3" s="764"/>
      <c r="G3" s="765"/>
      <c r="H3" s="765"/>
      <c r="I3" s="765"/>
      <c r="J3" s="766"/>
      <c r="K3" s="766"/>
    </row>
    <row r="4" spans="1:11" x14ac:dyDescent="0.2">
      <c r="A4" s="2239" t="s">
        <v>387</v>
      </c>
      <c r="B4" s="2240"/>
      <c r="C4" s="2240"/>
      <c r="D4" s="2240"/>
      <c r="E4" s="2221"/>
      <c r="F4" s="767"/>
      <c r="G4" s="768"/>
      <c r="H4" s="769"/>
      <c r="I4" s="768"/>
      <c r="J4" s="770"/>
      <c r="K4" s="770"/>
    </row>
    <row r="5" spans="1:11" x14ac:dyDescent="0.2">
      <c r="A5" s="2257" t="s">
        <v>1129</v>
      </c>
      <c r="B5" s="2230"/>
      <c r="C5" s="2230"/>
      <c r="D5" s="2230"/>
      <c r="E5" s="2258"/>
      <c r="F5" s="771" t="s">
        <v>903</v>
      </c>
      <c r="G5" s="772"/>
      <c r="H5" s="765">
        <v>8287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7" t="s">
        <v>1920</v>
      </c>
      <c r="B10" s="2230"/>
      <c r="C10" s="2230"/>
      <c r="D10" s="2230"/>
      <c r="E10" s="2259"/>
      <c r="F10" s="784" t="s">
        <v>917</v>
      </c>
      <c r="G10" s="783"/>
      <c r="H10" s="785"/>
      <c r="I10" s="765"/>
      <c r="J10" s="766"/>
      <c r="K10" s="766"/>
    </row>
    <row r="11" spans="1:11" x14ac:dyDescent="0.2">
      <c r="A11" s="2257" t="s">
        <v>162</v>
      </c>
      <c r="B11" s="2230"/>
      <c r="C11" s="2230"/>
      <c r="D11" s="2230"/>
      <c r="E11" s="2258"/>
      <c r="F11" s="771" t="s">
        <v>907</v>
      </c>
      <c r="G11" s="772"/>
      <c r="H11" s="765"/>
      <c r="I11" s="765"/>
      <c r="J11" s="766"/>
      <c r="K11" s="774"/>
    </row>
    <row r="12" spans="1:11" ht="13.5" thickBot="1" x14ac:dyDescent="0.25">
      <c r="A12" s="2247" t="s">
        <v>961</v>
      </c>
      <c r="B12" s="2248"/>
      <c r="C12" s="2248"/>
      <c r="D12" s="2248"/>
      <c r="E12" s="2249"/>
      <c r="F12" s="1779"/>
      <c r="G12" s="1780">
        <f>SUM(G5:G11)</f>
        <v>0</v>
      </c>
      <c r="H12" s="1780">
        <f>SUM(H5:H11)</f>
        <v>8287</v>
      </c>
      <c r="I12" s="1780">
        <f>SUM(I5:I11)</f>
        <v>0</v>
      </c>
      <c r="J12" s="1780">
        <f>SUM(J5:J11)</f>
        <v>0</v>
      </c>
      <c r="K12" s="1780">
        <f>SUM(K5:K11)</f>
        <v>0</v>
      </c>
    </row>
    <row r="13" spans="1:11" ht="13.5" thickTop="1" x14ac:dyDescent="0.2">
      <c r="A13" s="2241" t="s">
        <v>388</v>
      </c>
      <c r="B13" s="2242"/>
      <c r="C13" s="2242"/>
      <c r="D13" s="2242"/>
      <c r="E13" s="2243"/>
      <c r="F13" s="786"/>
      <c r="G13" s="787"/>
      <c r="H13" s="788"/>
      <c r="I13" s="789"/>
      <c r="J13" s="789"/>
      <c r="K13" s="789"/>
    </row>
    <row r="14" spans="1:11" x14ac:dyDescent="0.2">
      <c r="A14" s="2263" t="s">
        <v>476</v>
      </c>
      <c r="B14" s="2263"/>
      <c r="C14" s="2263"/>
      <c r="D14" s="2263"/>
      <c r="E14" s="2264"/>
      <c r="F14" s="790" t="s">
        <v>909</v>
      </c>
      <c r="G14" s="783"/>
      <c r="H14" s="765">
        <v>8287</v>
      </c>
      <c r="I14" s="772"/>
      <c r="J14" s="774"/>
      <c r="K14" s="766"/>
    </row>
    <row r="15" spans="1:11" x14ac:dyDescent="0.2">
      <c r="A15" s="2230" t="s">
        <v>4</v>
      </c>
      <c r="B15" s="2230"/>
      <c r="C15" s="2230"/>
      <c r="D15" s="2230"/>
      <c r="E15" s="2258"/>
      <c r="F15" s="790" t="s">
        <v>910</v>
      </c>
      <c r="G15" s="772"/>
      <c r="H15" s="765"/>
      <c r="I15" s="765"/>
      <c r="J15" s="766"/>
      <c r="K15" s="766"/>
    </row>
    <row r="16" spans="1:11" x14ac:dyDescent="0.2">
      <c r="A16" s="2230" t="s">
        <v>316</v>
      </c>
      <c r="B16" s="2230"/>
      <c r="C16" s="2230"/>
      <c r="D16" s="2230"/>
      <c r="E16" s="2258"/>
      <c r="F16" s="790" t="s">
        <v>980</v>
      </c>
      <c r="G16" s="773"/>
      <c r="H16" s="768"/>
      <c r="I16" s="768"/>
      <c r="J16" s="770"/>
      <c r="K16" s="770"/>
    </row>
    <row r="17" spans="1:11" x14ac:dyDescent="0.2">
      <c r="A17" s="2252" t="s">
        <v>992</v>
      </c>
      <c r="B17" s="2252"/>
      <c r="C17" s="2252"/>
      <c r="D17" s="2252"/>
      <c r="E17" s="2253"/>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65" t="s">
        <v>1916</v>
      </c>
      <c r="B19" s="2265"/>
      <c r="C19" s="2265"/>
      <c r="D19" s="2265"/>
      <c r="E19" s="2266"/>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50" t="s">
        <v>659</v>
      </c>
      <c r="B21" s="2250"/>
      <c r="C21" s="2250"/>
      <c r="D21" s="2250"/>
      <c r="E21" s="2250"/>
      <c r="F21" s="1781"/>
      <c r="G21" s="793"/>
      <c r="H21" s="797"/>
      <c r="I21" s="797"/>
      <c r="J21" s="1782">
        <f>SUM(J18:J20)</f>
        <v>0</v>
      </c>
      <c r="K21" s="794"/>
    </row>
    <row r="22" spans="1:11" ht="13.5" thickTop="1" x14ac:dyDescent="0.2">
      <c r="A22" s="2230" t="s">
        <v>1922</v>
      </c>
      <c r="B22" s="2230"/>
      <c r="C22" s="2230"/>
      <c r="D22" s="2230"/>
      <c r="E22" s="2258"/>
      <c r="F22" s="790" t="s">
        <v>917</v>
      </c>
      <c r="G22" s="783"/>
      <c r="H22" s="765"/>
      <c r="I22" s="765"/>
      <c r="J22" s="798"/>
      <c r="K22" s="766"/>
    </row>
    <row r="23" spans="1:11" ht="13.5" thickBot="1" x14ac:dyDescent="0.25">
      <c r="A23" s="2251" t="s">
        <v>962</v>
      </c>
      <c r="B23" s="2250"/>
      <c r="C23" s="2250"/>
      <c r="D23" s="2250"/>
      <c r="E23" s="2250"/>
      <c r="F23" s="1783"/>
      <c r="G23" s="1780">
        <f>SUM(G14:G16,G21,G22)</f>
        <v>0</v>
      </c>
      <c r="H23" s="1780">
        <f>SUM(H14:H16,H21,H22)</f>
        <v>8287</v>
      </c>
      <c r="I23" s="1780">
        <f>SUM(I14:I16,I21,I22)</f>
        <v>0</v>
      </c>
      <c r="J23" s="1780">
        <f>SUM(J14:J16,J21,J22)</f>
        <v>0</v>
      </c>
      <c r="K23" s="1780">
        <f>SUM(K14:K16,K21,K22)</f>
        <v>0</v>
      </c>
    </row>
    <row r="24" spans="1:11" ht="14.25" thickTop="1" thickBot="1" x14ac:dyDescent="0.25">
      <c r="A24" s="2251" t="s">
        <v>2024</v>
      </c>
      <c r="B24" s="2250"/>
      <c r="C24" s="2250"/>
      <c r="D24" s="2250"/>
      <c r="E24" s="2250"/>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0"/>
      <c r="I31" s="2261"/>
      <c r="J31" s="2261"/>
      <c r="K31" s="2261"/>
    </row>
    <row r="32" spans="1:11" x14ac:dyDescent="0.2">
      <c r="A32" s="810"/>
      <c r="B32" s="237"/>
      <c r="C32" s="237"/>
      <c r="D32" s="237"/>
      <c r="E32" s="806"/>
      <c r="F32" s="812" t="s">
        <v>561</v>
      </c>
      <c r="G32" s="765"/>
      <c r="H32" s="2262"/>
      <c r="I32" s="2261"/>
      <c r="J32" s="2261"/>
      <c r="K32" s="2261"/>
    </row>
    <row r="33" spans="1:11" ht="1.5" customHeight="1" x14ac:dyDescent="0.2">
      <c r="A33" s="813" t="s">
        <v>1231</v>
      </c>
      <c r="B33" s="364"/>
      <c r="C33" s="364"/>
      <c r="D33" s="364"/>
      <c r="E33" s="364"/>
      <c r="F33" s="364"/>
      <c r="G33" s="814"/>
      <c r="H33" s="2262"/>
      <c r="I33" s="2261"/>
      <c r="J33" s="2261"/>
      <c r="K33" s="226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0" t="s">
        <v>562</v>
      </c>
      <c r="B41" s="2231"/>
      <c r="C41" s="2231"/>
      <c r="D41" s="2231"/>
      <c r="E41" s="2231"/>
      <c r="F41" s="223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C3" sqref="C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2033</v>
      </c>
      <c r="B1" s="2270"/>
      <c r="C1" s="2271"/>
      <c r="D1" s="827"/>
      <c r="E1" s="828"/>
      <c r="F1" s="828"/>
      <c r="G1" s="829"/>
      <c r="H1" s="830"/>
      <c r="I1" s="831"/>
      <c r="J1" s="2267"/>
      <c r="K1" s="2268"/>
      <c r="L1" s="2268"/>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2300</v>
      </c>
      <c r="D5" s="842"/>
      <c r="E5" s="842"/>
      <c r="F5" s="1782">
        <f>(C5+D5)-E5</f>
        <v>2300</v>
      </c>
      <c r="G5" s="838"/>
      <c r="H5" s="843"/>
      <c r="I5" s="843"/>
      <c r="J5" s="843"/>
      <c r="K5" s="794"/>
      <c r="L5" s="1791">
        <f>F5-K5</f>
        <v>2300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552392</v>
      </c>
      <c r="D8" s="845"/>
      <c r="E8" s="845"/>
      <c r="F8" s="1782">
        <f>(C8+D8)-E8</f>
        <v>552392</v>
      </c>
      <c r="G8" s="844">
        <v>50</v>
      </c>
      <c r="H8" s="766">
        <v>448144</v>
      </c>
      <c r="I8" s="766">
        <v>14885</v>
      </c>
      <c r="J8" s="766"/>
      <c r="K8" s="1791">
        <f>(H8+I8)-J8</f>
        <v>463029</v>
      </c>
      <c r="L8" s="1791">
        <f>F8-K8</f>
        <v>89363</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115565</v>
      </c>
      <c r="D12" s="845"/>
      <c r="E12" s="845"/>
      <c r="F12" s="1782">
        <f>(C12+D12)-E12</f>
        <v>115565</v>
      </c>
      <c r="G12" s="844">
        <v>10</v>
      </c>
      <c r="H12" s="766">
        <v>78393</v>
      </c>
      <c r="I12" s="766">
        <v>7232</v>
      </c>
      <c r="J12" s="766"/>
      <c r="K12" s="1791">
        <f>(H12+I12)-J12</f>
        <v>85625</v>
      </c>
      <c r="L12" s="1791">
        <f>F12-K12</f>
        <v>29940</v>
      </c>
    </row>
    <row r="13" spans="1:14" ht="14.25" thickTop="1" thickBot="1" x14ac:dyDescent="0.25">
      <c r="A13" s="849" t="s">
        <v>1184</v>
      </c>
      <c r="B13" s="841">
        <v>252</v>
      </c>
      <c r="C13" s="845">
        <v>45922</v>
      </c>
      <c r="D13" s="845"/>
      <c r="E13" s="845"/>
      <c r="F13" s="1782">
        <f>(C13+D13)-E13</f>
        <v>45922</v>
      </c>
      <c r="G13" s="844">
        <v>5</v>
      </c>
      <c r="H13" s="766">
        <v>45922</v>
      </c>
      <c r="I13" s="766"/>
      <c r="J13" s="766"/>
      <c r="K13" s="1791">
        <f>(H13+I13)-J13</f>
        <v>45922</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716179</v>
      </c>
      <c r="D16" s="1782">
        <f>SUM(D3,D5:D6,D8:D10,D12:D15)</f>
        <v>0</v>
      </c>
      <c r="E16" s="1782">
        <f>SUM(E3,E5:E6,E8:E10,E12:E15)</f>
        <v>0</v>
      </c>
      <c r="F16" s="1782">
        <f>SUM(F3,F5:F6,F8:F10,F12:F15)</f>
        <v>716179</v>
      </c>
      <c r="G16" s="844"/>
      <c r="H16" s="1782">
        <f>SUM(H3,H6,H8:H10,H12:H14,)</f>
        <v>572459</v>
      </c>
      <c r="I16" s="1782">
        <f>SUM(I3,I6,I8:I10,I12:I14,)</f>
        <v>22117</v>
      </c>
      <c r="J16" s="1782">
        <f>SUM(J3,J6,J8:J10,J12:J14,)</f>
        <v>0</v>
      </c>
      <c r="K16" s="1782">
        <f>(H16+I16)-J16</f>
        <v>594576</v>
      </c>
      <c r="L16" s="1782">
        <f>F16-K16</f>
        <v>121603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22117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1" activePane="bottomLeft" state="frozen"/>
      <selection activeCell="A8" sqref="A8"/>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643396</v>
      </c>
      <c r="G8" s="866"/>
    </row>
    <row r="9" spans="1:7" x14ac:dyDescent="0.2">
      <c r="A9" s="870" t="s">
        <v>480</v>
      </c>
      <c r="B9" s="871" t="s">
        <v>1988</v>
      </c>
      <c r="C9" s="872"/>
      <c r="D9" s="870" t="s">
        <v>522</v>
      </c>
      <c r="E9" s="869"/>
      <c r="F9" s="1935">
        <f>'Expenditures 15-22'!K151</f>
        <v>23819</v>
      </c>
      <c r="G9" s="873"/>
    </row>
    <row r="10" spans="1:7" x14ac:dyDescent="0.2">
      <c r="A10" s="870" t="s">
        <v>520</v>
      </c>
      <c r="B10" s="871" t="s">
        <v>1989</v>
      </c>
      <c r="C10" s="872"/>
      <c r="D10" s="870" t="s">
        <v>522</v>
      </c>
      <c r="E10" s="869"/>
      <c r="F10" s="1935">
        <f>'Expenditures 15-22'!K174</f>
        <v>0</v>
      </c>
      <c r="G10" s="873"/>
    </row>
    <row r="11" spans="1:7" x14ac:dyDescent="0.2">
      <c r="A11" s="870" t="s">
        <v>481</v>
      </c>
      <c r="B11" s="871" t="s">
        <v>1990</v>
      </c>
      <c r="C11" s="872"/>
      <c r="D11" s="870" t="s">
        <v>522</v>
      </c>
      <c r="E11" s="869"/>
      <c r="F11" s="1935">
        <f>'Expenditures 15-22'!K210</f>
        <v>22374</v>
      </c>
      <c r="G11" s="873"/>
    </row>
    <row r="12" spans="1:7" x14ac:dyDescent="0.2">
      <c r="A12" s="870" t="s">
        <v>482</v>
      </c>
      <c r="B12" s="871" t="s">
        <v>1991</v>
      </c>
      <c r="C12" s="872"/>
      <c r="D12" s="870" t="s">
        <v>522</v>
      </c>
      <c r="E12" s="869"/>
      <c r="F12" s="1935">
        <f>'Expenditures 15-22'!K295</f>
        <v>26969</v>
      </c>
      <c r="G12" s="873"/>
    </row>
    <row r="13" spans="1:7" x14ac:dyDescent="0.2">
      <c r="A13" s="870" t="s">
        <v>108</v>
      </c>
      <c r="B13" s="871" t="s">
        <v>1992</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716558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24712</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0</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24712</v>
      </c>
      <c r="G76" s="866"/>
    </row>
    <row r="77" spans="1:8" s="894" customFormat="1" ht="12" customHeight="1" thickTop="1" thickBot="1" x14ac:dyDescent="0.25">
      <c r="A77" s="1801"/>
      <c r="B77" s="1798"/>
      <c r="C77" s="1794"/>
      <c r="D77" s="1799" t="s">
        <v>2011</v>
      </c>
      <c r="E77" s="1796"/>
      <c r="F77" s="1802">
        <f>(F14-F76)</f>
        <v>691846</v>
      </c>
      <c r="G77" s="870"/>
    </row>
    <row r="78" spans="1:8" s="894" customFormat="1" ht="12" customHeight="1" thickTop="1" x14ac:dyDescent="0.2">
      <c r="A78" s="1803"/>
      <c r="B78" s="1798"/>
      <c r="C78" s="1794"/>
      <c r="D78" s="1799" t="s">
        <v>2057</v>
      </c>
      <c r="E78" s="1796"/>
      <c r="F78" s="899">
        <v>57.57</v>
      </c>
      <c r="G78" s="900"/>
      <c r="H78" s="870"/>
    </row>
    <row r="79" spans="1:8" s="894" customFormat="1" ht="12" customHeight="1" thickBot="1" x14ac:dyDescent="0.25">
      <c r="A79" s="1804"/>
      <c r="B79" s="1798"/>
      <c r="C79" s="1794"/>
      <c r="D79" s="1799" t="s">
        <v>2012</v>
      </c>
      <c r="E79" s="1796" t="s">
        <v>1015</v>
      </c>
      <c r="F79" s="1805">
        <f>IF(F78&gt;0,F77/F78," Complete Line 78")</f>
        <v>12017.474379016849</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195</v>
      </c>
      <c r="G94" s="913"/>
    </row>
    <row r="95" spans="1:7" x14ac:dyDescent="0.2">
      <c r="A95" s="909" t="s">
        <v>142</v>
      </c>
      <c r="B95" s="909" t="s">
        <v>177</v>
      </c>
      <c r="C95" s="911">
        <v>1700</v>
      </c>
      <c r="D95" s="919" t="str">
        <f>'Revenues 9-14'!A82</f>
        <v>Total District/School Activity Income</v>
      </c>
      <c r="E95" s="907"/>
      <c r="F95" s="1811">
        <f>SUM('Revenues 9-14'!C82,'Revenues 9-14'!D82)</f>
        <v>2417</v>
      </c>
      <c r="G95" s="913"/>
    </row>
    <row r="96" spans="1:7" x14ac:dyDescent="0.2">
      <c r="A96" s="909" t="s">
        <v>479</v>
      </c>
      <c r="B96" s="909" t="s">
        <v>178</v>
      </c>
      <c r="C96" s="911">
        <f>'Revenues 9-14'!B84</f>
        <v>1811</v>
      </c>
      <c r="D96" s="912" t="str">
        <f>'Revenues 9-14'!A84</f>
        <v>Rentals - Regular Textbooks</v>
      </c>
      <c r="E96" s="907"/>
      <c r="F96" s="1811">
        <f>'Revenues 9-14'!C84</f>
        <v>910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10328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623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10288</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6003</v>
      </c>
      <c r="G128" s="931"/>
    </row>
    <row r="129" spans="1:7" x14ac:dyDescent="0.2">
      <c r="A129" s="928" t="s">
        <v>685</v>
      </c>
      <c r="B129" s="928" t="s">
        <v>803</v>
      </c>
      <c r="C129" s="933">
        <v>4200</v>
      </c>
      <c r="D129" s="930" t="str">
        <f>'Revenues 9-14'!A201</f>
        <v>Total Food Service</v>
      </c>
      <c r="E129" s="907"/>
      <c r="F129" s="1811">
        <f>SUM('Revenues 9-14'!C201,'Revenues 9-14'!G201)</f>
        <v>39555</v>
      </c>
      <c r="G129" s="931"/>
    </row>
    <row r="130" spans="1:7" x14ac:dyDescent="0.2">
      <c r="A130" s="928" t="s">
        <v>689</v>
      </c>
      <c r="B130" s="928" t="s">
        <v>804</v>
      </c>
      <c r="C130" s="933">
        <v>4300</v>
      </c>
      <c r="D130" s="934" t="str">
        <f>'Revenues 9-14'!A211</f>
        <v>Total Title I</v>
      </c>
      <c r="E130" s="907"/>
      <c r="F130" s="1811">
        <f>SUM('Revenues 9-14'!C211,'Revenues 9-14'!D211,'Revenues 9-14'!F211,'Revenues 9-14'!G211)</f>
        <v>26933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1792</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5073</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1999</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106116</v>
      </c>
    </row>
    <row r="179" spans="1:7" ht="12" customHeight="1" x14ac:dyDescent="0.2">
      <c r="A179" s="1792"/>
      <c r="B179" s="1806"/>
      <c r="C179" s="1807"/>
      <c r="D179" s="1808" t="s">
        <v>2014</v>
      </c>
      <c r="E179" s="1809"/>
      <c r="F179" s="1811">
        <f>'PCTC-OEPP 27-28'!F77-F178</f>
        <v>585730</v>
      </c>
    </row>
    <row r="180" spans="1:7" ht="12" customHeight="1" x14ac:dyDescent="0.2">
      <c r="A180" s="1792"/>
      <c r="B180" s="1806"/>
      <c r="C180" s="1807"/>
      <c r="D180" s="1808" t="s">
        <v>1924</v>
      </c>
      <c r="E180" s="1809"/>
      <c r="F180" s="1811">
        <f>'Cap Outlay Deprec 26'!I18</f>
        <v>22117</v>
      </c>
    </row>
    <row r="181" spans="1:7" ht="12" customHeight="1" x14ac:dyDescent="0.2">
      <c r="A181" s="1792"/>
      <c r="B181" s="1806"/>
      <c r="C181" s="1807"/>
      <c r="D181" s="1808" t="s">
        <v>2015</v>
      </c>
      <c r="E181" s="1809"/>
      <c r="F181" s="1811">
        <f>F179+F180</f>
        <v>607847</v>
      </c>
    </row>
    <row r="182" spans="1:7" ht="12" customHeight="1" x14ac:dyDescent="0.2">
      <c r="A182" s="1792"/>
      <c r="B182" s="1812"/>
      <c r="C182" s="1807"/>
      <c r="D182" s="1808" t="str">
        <f>D78</f>
        <v>9 Month ADA from District Average Daily Attendance/Prior General State Aid Inquiry 2017-2018</v>
      </c>
      <c r="E182" s="1809"/>
      <c r="F182" s="1813">
        <f>'PCTC-OEPP 27-28'!F78</f>
        <v>57.57</v>
      </c>
      <c r="G182" s="931"/>
    </row>
    <row r="183" spans="1:7" ht="12" customHeight="1" thickBot="1" x14ac:dyDescent="0.25">
      <c r="A183" s="1792"/>
      <c r="B183" s="1812"/>
      <c r="C183" s="1807"/>
      <c r="D183" s="1808" t="s">
        <v>2016</v>
      </c>
      <c r="E183" s="1809" t="s">
        <v>1626</v>
      </c>
      <c r="F183" s="1814">
        <f>F181/F182</f>
        <v>10558.39847142609</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8" sqref="A8"/>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6" t="s">
        <v>1926</v>
      </c>
      <c r="B6" s="1557"/>
      <c r="C6" s="1557"/>
      <c r="D6" s="1557"/>
      <c r="E6" s="1557"/>
      <c r="F6" s="1557"/>
      <c r="G6" s="1558"/>
    </row>
    <row r="7" spans="1:7" ht="30.75" customHeight="1" x14ac:dyDescent="0.25">
      <c r="A7" s="2292" t="s">
        <v>2073</v>
      </c>
      <c r="B7" s="2293"/>
      <c r="C7" s="2293"/>
      <c r="D7" s="2293"/>
      <c r="E7" s="2293"/>
      <c r="F7" s="2293"/>
      <c r="G7" s="2294"/>
    </row>
    <row r="8" spans="1:7" ht="15.75" customHeight="1" x14ac:dyDescent="0.25">
      <c r="A8" s="2295" t="s">
        <v>2022</v>
      </c>
      <c r="B8" s="2296"/>
      <c r="C8" s="2296"/>
      <c r="D8" s="2296"/>
      <c r="E8" s="2296"/>
      <c r="F8" s="2296"/>
      <c r="G8" s="2297"/>
    </row>
    <row r="9" spans="1:7" ht="35.25" customHeight="1" x14ac:dyDescent="0.25">
      <c r="A9" s="2292" t="s">
        <v>2076</v>
      </c>
      <c r="B9" s="2293"/>
      <c r="C9" s="2293"/>
      <c r="D9" s="2293"/>
      <c r="E9" s="2293"/>
      <c r="F9" s="2293"/>
      <c r="G9" s="2294"/>
    </row>
    <row r="10" spans="1:7" ht="15" customHeight="1" x14ac:dyDescent="0.25">
      <c r="A10" s="1559" t="s">
        <v>1927</v>
      </c>
      <c r="B10" s="1560"/>
      <c r="C10" s="1560"/>
      <c r="D10" s="1560"/>
      <c r="E10" s="1560"/>
      <c r="F10" s="1560"/>
      <c r="G10" s="1561"/>
    </row>
    <row r="11" spans="1:7" ht="17.25" customHeight="1" x14ac:dyDescent="0.25">
      <c r="A11" s="2292" t="s">
        <v>2075</v>
      </c>
      <c r="B11" s="2293"/>
      <c r="C11" s="2293"/>
      <c r="D11" s="2293"/>
      <c r="E11" s="2293"/>
      <c r="F11" s="2293"/>
      <c r="G11" s="2294"/>
    </row>
    <row r="12" spans="1:7" ht="15" customHeight="1" x14ac:dyDescent="0.25">
      <c r="A12" s="1559" t="s">
        <v>1932</v>
      </c>
      <c r="B12" s="1560"/>
      <c r="C12" s="1560"/>
      <c r="D12" s="1560"/>
      <c r="E12" s="1560"/>
      <c r="F12" s="1560"/>
      <c r="G12" s="1561"/>
    </row>
    <row r="13" spans="1:7" ht="32.25" customHeight="1" x14ac:dyDescent="0.25">
      <c r="A13" s="2283" t="s">
        <v>1933</v>
      </c>
      <c r="B13" s="2284"/>
      <c r="C13" s="2284"/>
      <c r="D13" s="2284"/>
      <c r="E13" s="2284"/>
      <c r="F13" s="2284"/>
      <c r="G13" s="2285"/>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19809</v>
      </c>
      <c r="F10" s="975"/>
      <c r="G10" s="976"/>
      <c r="H10" s="162"/>
      <c r="I10" s="162"/>
    </row>
    <row r="11" spans="1:9" s="669" customFormat="1" ht="22.5" customHeight="1" x14ac:dyDescent="0.2">
      <c r="A11" s="2303" t="s">
        <v>1944</v>
      </c>
      <c r="B11" s="2304"/>
      <c r="C11" s="2304"/>
      <c r="D11" s="2305"/>
      <c r="E11" s="978">
        <v>3521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403701</v>
      </c>
      <c r="F19" s="1822"/>
      <c r="G19" s="1824">
        <f>'Expenditures 15-22'!K33-SUM('Expenditures 15-22'!G33,'Expenditures 15-22'!I33)+'Expenditures 15-22'!D229</f>
        <v>403701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26</v>
      </c>
      <c r="F21" s="1825"/>
      <c r="G21" s="1828">
        <f>'Expenditures 15-22'!K42-SUM('Expenditures 15-22'!G42,'Expenditures 15-22'!I42)+'Expenditures 15-22'!K120-SUM('Expenditures 15-22'!G120,'Expenditures 15-22'!I120)+'Expenditures 15-22'!K180-SUM('Expenditures 15-22'!G180,'Expenditures 15-22'!I180)+'Expenditures 15-22'!D238</f>
        <v>26</v>
      </c>
      <c r="H21" s="988"/>
      <c r="I21" s="162"/>
    </row>
    <row r="22" spans="1:9" s="669" customFormat="1" ht="12" customHeight="1" x14ac:dyDescent="0.2">
      <c r="A22" s="995" t="s">
        <v>585</v>
      </c>
      <c r="B22" s="996"/>
      <c r="C22" s="994">
        <v>2200</v>
      </c>
      <c r="D22" s="1825"/>
      <c r="E22" s="1827">
        <f>'Expenditures 15-22'!K47-SUM('Expenditures 15-22'!G47,'Expenditures 15-22'!I47)+'Expenditures 15-22'!D243</f>
        <v>16887</v>
      </c>
      <c r="F22" s="1825"/>
      <c r="G22" s="1828">
        <f>'Expenditures 15-22'!K47-SUM('Expenditures 15-22'!G47,'Expenditures 15-22'!I47)+'Expenditures 15-22'!D243</f>
        <v>16887</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111472</v>
      </c>
      <c r="F23" s="1825"/>
      <c r="G23" s="1827">
        <f>'Expenditures 15-22'!K53-SUM('Expenditures 15-22'!G53,'Expenditures 15-22'!I53)+'Expenditures 15-22'!D257+'Expenditures 15-22'!K330-SUM('Expenditures 15-22'!G330,'Expenditures 15-22'!I330)</f>
        <v>111472</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31087</v>
      </c>
      <c r="E27" s="1827">
        <f>E8</f>
        <v>0</v>
      </c>
      <c r="F27" s="1827">
        <f>'Expenditures 15-22'!K60-SUM('Expenditures 15-22'!G60,'Expenditures 15-22'!I60)+'Expenditures 15-22'!D264-E8</f>
        <v>31087</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67673</v>
      </c>
      <c r="F28" s="1829">
        <f>'Expenditures 15-22'!K61-SUM('Expenditures 15-22'!G61,'Expenditures 15-22'!I61)+'Expenditures 15-22'!K124-SUM('Expenditures 15-22'!G124,'Expenditures 15-22'!I124)+'Expenditures 15-22'!D266-E9</f>
        <v>67673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23907</v>
      </c>
      <c r="F29" s="1825"/>
      <c r="G29" s="1828">
        <f>'Expenditures 15-22'!K62-SUM('Expenditures 15-22'!G62,'Expenditures 15-22'!I62)+'Expenditures 15-22'!K125-SUM('Expenditures 15-22'!G125,'Expenditures 15-22'!I125)+'Expenditures 15-22'!K182-SUM('Expenditures 15-22'!G182,'Expenditures 15-22'!I182)+'Expenditures 15-22'!D267</f>
        <v>23907</v>
      </c>
      <c r="H29" s="986"/>
    </row>
    <row r="30" spans="1:9" ht="12" customHeight="1" x14ac:dyDescent="0.2">
      <c r="A30" s="995" t="s">
        <v>102</v>
      </c>
      <c r="B30" s="998"/>
      <c r="C30" s="994">
        <v>2560</v>
      </c>
      <c r="D30" s="1825"/>
      <c r="E30" s="1827">
        <f>'Expenditures 15-22'!K63-SUM('Expenditures 15-22'!G63,'Expenditures 15-22'!I63)+'Expenditures 15-22'!D268-E10</f>
        <v>16159</v>
      </c>
      <c r="F30" s="1825"/>
      <c r="G30" s="1827">
        <f>'Expenditures 15-22'!K63-SUM('Expenditures 15-22'!G63,'Expenditures 15-22'!I63)+'Expenditures 15-22'!D268-E10</f>
        <v>16159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31087</v>
      </c>
      <c r="E41" s="1829">
        <f>SUM(E19:E40)</f>
        <v>639825</v>
      </c>
      <c r="F41" s="1829">
        <f>SUM(F19:F39)</f>
        <v>98760</v>
      </c>
      <c r="G41" s="1829">
        <f>SUM(G19:G40)</f>
        <v>572152</v>
      </c>
    </row>
    <row r="42" spans="1:7" x14ac:dyDescent="0.2">
      <c r="A42" s="988"/>
      <c r="B42" s="162"/>
      <c r="C42" s="1002"/>
      <c r="D42" s="2301" t="s">
        <v>543</v>
      </c>
      <c r="E42" s="2302"/>
      <c r="F42" s="1003" t="s">
        <v>544</v>
      </c>
      <c r="G42" s="1004"/>
    </row>
    <row r="43" spans="1:7" ht="12" customHeight="1" x14ac:dyDescent="0.2">
      <c r="A43" s="988"/>
      <c r="B43" s="162"/>
      <c r="C43" s="1002"/>
      <c r="D43" s="1830" t="s">
        <v>493</v>
      </c>
      <c r="E43" s="1831">
        <f>D41</f>
        <v>31087</v>
      </c>
      <c r="F43" s="1830" t="s">
        <v>495</v>
      </c>
      <c r="G43" s="1831">
        <f>F41</f>
        <v>98760</v>
      </c>
    </row>
    <row r="44" spans="1:7" ht="12" customHeight="1" x14ac:dyDescent="0.2">
      <c r="A44" s="988"/>
      <c r="B44" s="162"/>
      <c r="C44" s="1002"/>
      <c r="D44" s="1830" t="s">
        <v>494</v>
      </c>
      <c r="E44" s="1831">
        <f>E41</f>
        <v>639825</v>
      </c>
      <c r="F44" s="1830" t="s">
        <v>494</v>
      </c>
      <c r="G44" s="1831">
        <f>G41</f>
        <v>572152</v>
      </c>
    </row>
    <row r="45" spans="1:7" ht="12" customHeight="1" x14ac:dyDescent="0.2">
      <c r="A45" s="988"/>
      <c r="B45" s="162"/>
      <c r="C45" s="162"/>
      <c r="D45" s="1832" t="s">
        <v>1063</v>
      </c>
      <c r="E45" s="1833">
        <f>(E43/E44)</f>
        <v>4.8586722932051733E-2</v>
      </c>
      <c r="F45" s="1832" t="s">
        <v>1063</v>
      </c>
      <c r="G45" s="1833">
        <f>(G43/G44)</f>
        <v>0.17261147387407541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8" sqref="A8"/>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09" t="s">
        <v>1446</v>
      </c>
      <c r="B1" s="2309"/>
      <c r="C1" s="2309"/>
      <c r="D1" s="2309"/>
      <c r="E1" s="2309"/>
      <c r="F1" s="2309"/>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0" t="s">
        <v>1627</v>
      </c>
      <c r="B5" s="2311"/>
      <c r="C5" s="2312"/>
      <c r="D5" s="2312"/>
      <c r="E5" s="2312"/>
      <c r="F5" s="2312"/>
    </row>
    <row r="6" spans="1:10" ht="12" customHeight="1" x14ac:dyDescent="0.25">
      <c r="A6" s="1875"/>
      <c r="B6" s="1876"/>
      <c r="C6" s="2313" t="str">
        <f>COVER!A17</f>
        <v>Irvington CCSD 11</v>
      </c>
      <c r="D6" s="2313"/>
      <c r="E6" s="2313"/>
      <c r="F6" s="1877"/>
    </row>
    <row r="7" spans="1:10" ht="11.25" customHeight="1" thickBot="1" x14ac:dyDescent="0.3">
      <c r="A7" s="1875"/>
      <c r="B7" s="1876"/>
      <c r="C7" s="2314">
        <f>COVER!A13</f>
        <v>13095011004</v>
      </c>
      <c r="D7" s="2314"/>
      <c r="E7" s="2314"/>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2077</v>
      </c>
      <c r="D14" s="1890" t="s">
        <v>2077</v>
      </c>
      <c r="E14" s="1893"/>
      <c r="F14" s="1892" t="s">
        <v>2091</v>
      </c>
      <c r="H14" s="1903">
        <f t="shared" si="0"/>
        <v>5</v>
      </c>
      <c r="I14" s="1903">
        <f t="shared" si="1"/>
        <v>5</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2092</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98"/>
      <c r="B39" s="1898"/>
      <c r="C39" s="1898"/>
      <c r="D39" s="1898"/>
      <c r="E39" s="1898"/>
      <c r="F39" s="1898"/>
    </row>
    <row r="40" spans="1:11" s="1895" customFormat="1" ht="12" customHeight="1" x14ac:dyDescent="0.25">
      <c r="A40" s="1899" t="s">
        <v>1458</v>
      </c>
      <c r="B40" s="1900"/>
      <c r="C40" s="2323"/>
      <c r="D40" s="2323"/>
      <c r="E40" s="2323"/>
      <c r="F40" s="2324"/>
      <c r="H40" s="1904"/>
      <c r="I40" s="1904"/>
      <c r="J40" s="1904"/>
      <c r="K40" s="1904"/>
    </row>
    <row r="41" spans="1:11" s="1895" customFormat="1" ht="12" customHeight="1" x14ac:dyDescent="0.25">
      <c r="A41" s="2325"/>
      <c r="B41" s="2326"/>
      <c r="C41" s="2326"/>
      <c r="D41" s="2326"/>
      <c r="E41" s="2326"/>
      <c r="F41" s="2327"/>
      <c r="H41" s="1904"/>
      <c r="I41" s="1904"/>
      <c r="J41" s="1904"/>
      <c r="K41" s="1904"/>
    </row>
    <row r="42" spans="1:11" s="1895" customFormat="1" ht="12" customHeight="1" x14ac:dyDescent="0.25">
      <c r="A42" s="2325"/>
      <c r="B42" s="2326"/>
      <c r="C42" s="2326"/>
      <c r="D42" s="2326"/>
      <c r="E42" s="2326"/>
      <c r="F42" s="2327"/>
      <c r="H42" s="1904"/>
      <c r="I42" s="1904"/>
      <c r="J42" s="1904"/>
      <c r="K42" s="1904"/>
    </row>
    <row r="43" spans="1:11" s="1895" customFormat="1" ht="15" x14ac:dyDescent="0.25">
      <c r="A43" s="2317"/>
      <c r="B43" s="2318"/>
      <c r="C43" s="2318"/>
      <c r="D43" s="2318"/>
      <c r="E43" s="2318"/>
      <c r="F43" s="2319"/>
      <c r="H43" s="1904"/>
      <c r="I43" s="1904"/>
      <c r="J43" s="1904"/>
      <c r="K43" s="1904"/>
    </row>
    <row r="44" spans="1:11" s="1895" customFormat="1" ht="12" hidden="1" customHeight="1" x14ac:dyDescent="0.25">
      <c r="A44" s="2317"/>
      <c r="B44" s="2318"/>
      <c r="C44" s="2318"/>
      <c r="D44" s="2318"/>
      <c r="E44" s="2318"/>
      <c r="F44" s="231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8" sqref="A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3" t="str">
        <f>COVER!A17</f>
        <v>Irvington CCSD 11</v>
      </c>
      <c r="J6" s="2334"/>
      <c r="Q6" s="1686"/>
    </row>
    <row r="7" spans="1:17" x14ac:dyDescent="0.2">
      <c r="A7" s="2335" t="s">
        <v>924</v>
      </c>
      <c r="B7" s="2336"/>
      <c r="C7" s="2336"/>
      <c r="D7" s="2336"/>
      <c r="E7" s="2337"/>
      <c r="F7" s="1018"/>
      <c r="G7" s="1010"/>
      <c r="H7" s="1017" t="s">
        <v>390</v>
      </c>
      <c r="I7" s="2338">
        <f>COVER!A13</f>
        <v>13095011004</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88883</v>
      </c>
      <c r="F12" s="1040"/>
      <c r="G12" s="1834">
        <f t="shared" ref="G12:G18" si="0">SUM(E12:F12)</f>
        <v>88883</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2" t="s">
        <v>7</v>
      </c>
      <c r="C18" s="2343"/>
      <c r="D18" s="2344"/>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88883</v>
      </c>
      <c r="F19" s="1836">
        <f t="shared" si="2"/>
        <v>0</v>
      </c>
      <c r="G19" s="1836">
        <f t="shared" si="2"/>
        <v>88883</v>
      </c>
      <c r="H19" s="1836">
        <f t="shared" si="2"/>
        <v>0</v>
      </c>
      <c r="I19" s="1836">
        <f t="shared" si="2"/>
        <v>0</v>
      </c>
      <c r="J19" s="1836">
        <f t="shared" si="2"/>
        <v>0</v>
      </c>
    </row>
    <row r="20" spans="1:10" ht="13.5" thickTop="1" x14ac:dyDescent="0.2">
      <c r="A20" s="1036">
        <v>9</v>
      </c>
      <c r="B20" s="2345" t="s">
        <v>1703</v>
      </c>
      <c r="C20" s="2345"/>
      <c r="D20" s="2346"/>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1943</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8" sqref="A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Irvington CCSD 11</v>
      </c>
    </row>
    <row r="65" spans="2:2" x14ac:dyDescent="0.2">
      <c r="B65" s="1071">
        <f>COVER!A13</f>
        <v>13095011004</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9" zoomScale="110" zoomScaleNormal="110" workbookViewId="0">
      <selection activeCell="A8" sqref="A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8" sqref="A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8" r:id="rId4">
          <objectPr defaultSize="0" r:id="rId5">
            <anchor moveWithCells="1">
              <from>
                <xdr:col>1</xdr:col>
                <xdr:colOff>371475</xdr:colOff>
                <xdr:row>6</xdr:row>
                <xdr:rowOff>9525</xdr:rowOff>
              </from>
              <to>
                <xdr:col>1</xdr:col>
                <xdr:colOff>1285875</xdr:colOff>
                <xdr:row>10</xdr:row>
                <xdr:rowOff>47625</xdr:rowOff>
              </to>
            </anchor>
          </objectPr>
        </oleObject>
      </mc:Choice>
      <mc:Fallback>
        <oleObject progId="Acrobat Document" dvAspect="DVASPECT_ICON" shapeId="50178"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8" sqref="A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2054</v>
      </c>
      <c r="B4" s="2373"/>
      <c r="C4" s="2373"/>
      <c r="D4" s="2373"/>
      <c r="E4" s="2373"/>
      <c r="F4" s="2374"/>
      <c r="G4" s="1075"/>
      <c r="H4" s="1075"/>
    </row>
    <row r="5" spans="1:8" ht="14.25" customHeight="1" x14ac:dyDescent="0.2">
      <c r="A5" s="2375" t="s">
        <v>2055</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625764</v>
      </c>
      <c r="C8" s="1838">
        <f>'Acct Summary 7-8'!D8</f>
        <v>38938</v>
      </c>
      <c r="D8" s="1838">
        <f>'Acct Summary 7-8'!F8</f>
        <v>24651</v>
      </c>
      <c r="E8" s="1838">
        <f>'Acct Summary 7-8'!I8</f>
        <v>3799</v>
      </c>
      <c r="F8" s="1838">
        <f>SUM(B8:E8)</f>
        <v>693152</v>
      </c>
    </row>
    <row r="9" spans="1:8" s="1080" customFormat="1" ht="14.25" customHeight="1" thickBot="1" x14ac:dyDescent="0.25">
      <c r="A9" s="1079" t="s">
        <v>1436</v>
      </c>
      <c r="B9" s="1839">
        <f>'Acct Summary 7-8'!C17</f>
        <v>643396</v>
      </c>
      <c r="C9" s="1839">
        <f>'Acct Summary 7-8'!D17</f>
        <v>23819</v>
      </c>
      <c r="D9" s="1839">
        <f>'Acct Summary 7-8'!F17</f>
        <v>22374</v>
      </c>
      <c r="E9" s="1838"/>
      <c r="F9" s="1838">
        <f>SUM(B9:E9)</f>
        <v>689589</v>
      </c>
    </row>
    <row r="10" spans="1:8" s="1080" customFormat="1" ht="14.25" thickTop="1" thickBot="1" x14ac:dyDescent="0.25">
      <c r="A10" s="1081" t="s">
        <v>1437</v>
      </c>
      <c r="B10" s="1840">
        <f>(B8-B9)</f>
        <v>-17632</v>
      </c>
      <c r="C10" s="1840">
        <f>(C8-C9)</f>
        <v>15119</v>
      </c>
      <c r="D10" s="1840">
        <f>(D8-D9)</f>
        <v>2277</v>
      </c>
      <c r="E10" s="1839">
        <f>(E8-E9)</f>
        <v>3799</v>
      </c>
      <c r="F10" s="1841">
        <f>SUM(F8-F9)</f>
        <v>3563</v>
      </c>
    </row>
    <row r="11" spans="1:8" s="1080" customFormat="1" ht="14.25" thickTop="1" thickBot="1" x14ac:dyDescent="0.25">
      <c r="A11" s="1082" t="s">
        <v>1785</v>
      </c>
      <c r="B11" s="1842">
        <f>'Acct Summary 7-8'!C81</f>
        <v>192204</v>
      </c>
      <c r="C11" s="1842">
        <f>'Acct Summary 7-8'!D81</f>
        <v>26085</v>
      </c>
      <c r="D11" s="1842">
        <f>'Acct Summary 7-8'!F81</f>
        <v>22815</v>
      </c>
      <c r="E11" s="1842">
        <f>'Acct Summary 7-8'!I81</f>
        <v>0</v>
      </c>
      <c r="F11" s="1843">
        <f>SUM(B11:E11)</f>
        <v>241104</v>
      </c>
    </row>
    <row r="12" spans="1:8" ht="16.5" customHeight="1" thickTop="1" x14ac:dyDescent="0.2">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ERROR!</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13095011004</v>
      </c>
    </row>
    <row r="3" spans="1:2" x14ac:dyDescent="0.2">
      <c r="A3" t="s">
        <v>1013</v>
      </c>
      <c r="B3" s="138" t="str">
        <f>COVER!A15</f>
        <v>Washington</v>
      </c>
    </row>
    <row r="4" spans="1:2" x14ac:dyDescent="0.2">
      <c r="A4" t="s">
        <v>1064</v>
      </c>
      <c r="B4" s="138" t="str">
        <f>COVER!A17</f>
        <v>Irvington CCSD 11</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066-005248</v>
      </c>
    </row>
    <row r="16" spans="1:2" x14ac:dyDescent="0.2">
      <c r="A16" t="s">
        <v>442</v>
      </c>
      <c r="B16" s="138" t="str">
        <f>COVER!T13</f>
        <v>Moore &amp; Simonin, PC</v>
      </c>
    </row>
    <row r="17" spans="1:2" x14ac:dyDescent="0.2">
      <c r="A17" t="s">
        <v>939</v>
      </c>
      <c r="B17" s="138" t="str">
        <f>COVER!T15</f>
        <v>Robert E. Moore, CPA</v>
      </c>
    </row>
    <row r="18" spans="1:2" x14ac:dyDescent="0.2">
      <c r="A18" t="s">
        <v>1212</v>
      </c>
      <c r="B18" s="138" t="str">
        <f>COVER!T17</f>
        <v>3636 North Belt West</v>
      </c>
    </row>
    <row r="19" spans="1:2" x14ac:dyDescent="0.2">
      <c r="A19" t="s">
        <v>941</v>
      </c>
      <c r="B19" s="138" t="str">
        <f>COVER!T25</f>
        <v>mooresimonin@mrsaccountants.com</v>
      </c>
    </row>
    <row r="20" spans="1:2" x14ac:dyDescent="0.2">
      <c r="A20" t="s">
        <v>942</v>
      </c>
      <c r="B20" s="138" t="str">
        <f>COVER!T19</f>
        <v>Belleville</v>
      </c>
    </row>
    <row r="21" spans="1:2" x14ac:dyDescent="0.2">
      <c r="A21" t="s">
        <v>500</v>
      </c>
      <c r="B21" s="138" t="str">
        <f>COVER!X19</f>
        <v>IL</v>
      </c>
    </row>
    <row r="22" spans="1:2" x14ac:dyDescent="0.2">
      <c r="A22" t="s">
        <v>943</v>
      </c>
      <c r="B22" s="138">
        <f>COVER!Z19</f>
        <v>62226</v>
      </c>
    </row>
    <row r="23" spans="1:2" x14ac:dyDescent="0.2">
      <c r="A23" t="s">
        <v>1214</v>
      </c>
      <c r="B23" s="138" t="str">
        <f>COVER!T21</f>
        <v>618-233-5049</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192217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v>
      </c>
      <c r="C91" s="2" t="s">
        <v>594</v>
      </c>
      <c r="D91" s="2" t="str">
        <f t="shared" si="0"/>
        <v>Error?</v>
      </c>
    </row>
    <row r="92" spans="1:4" x14ac:dyDescent="0.2">
      <c r="A92" s="5">
        <v>31</v>
      </c>
      <c r="B92" s="138">
        <f>'Assets-Liab 5-6'!C39</f>
        <v>192204</v>
      </c>
      <c r="D92" s="2" t="str">
        <f t="shared" si="0"/>
        <v>Error?</v>
      </c>
    </row>
    <row r="93" spans="1:4" x14ac:dyDescent="0.2">
      <c r="A93" s="5">
        <v>32</v>
      </c>
      <c r="B93" s="138">
        <f>'Assets-Liab 5-6'!C41</f>
        <v>192217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26085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26085</v>
      </c>
      <c r="D123" s="2" t="str">
        <f t="shared" si="0"/>
        <v>Error?</v>
      </c>
    </row>
    <row r="124" spans="1:4" x14ac:dyDescent="0.2">
      <c r="A124" s="5">
        <v>63</v>
      </c>
      <c r="B124" s="138">
        <f>'Assets-Liab 5-6'!D41</f>
        <v>26085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22815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22815</v>
      </c>
      <c r="D170" s="2" t="str">
        <f t="shared" si="1"/>
        <v>Error?</v>
      </c>
    </row>
    <row r="171" spans="1:4" x14ac:dyDescent="0.2">
      <c r="A171" s="5">
        <v>110</v>
      </c>
      <c r="B171" s="138">
        <f>'Assets-Liab 5-6'!F41</f>
        <v>22815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3023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-12254</v>
      </c>
      <c r="D189" s="2" t="str">
        <f t="shared" si="1"/>
        <v>Error?</v>
      </c>
    </row>
    <row r="190" spans="1:4" x14ac:dyDescent="0.2">
      <c r="A190" s="5">
        <v>129</v>
      </c>
      <c r="B190" s="138">
        <f>'Assets-Liab 5-6'!G41</f>
        <v>3023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2300</v>
      </c>
      <c r="D273" s="2" t="str">
        <f t="shared" si="3"/>
        <v>Error?</v>
      </c>
    </row>
    <row r="274" spans="1:4" x14ac:dyDescent="0.2">
      <c r="A274" s="5">
        <v>213</v>
      </c>
      <c r="B274" s="138">
        <f>'Assets-Liab 5-6'!M17</f>
        <v>552392</v>
      </c>
      <c r="D274" s="2" t="str">
        <f t="shared" si="3"/>
        <v>Error?</v>
      </c>
    </row>
    <row r="275" spans="1:4" x14ac:dyDescent="0.2">
      <c r="A275" s="5">
        <v>214</v>
      </c>
      <c r="B275" s="138">
        <f>'Assets-Liab 5-6'!M18</f>
        <v>0</v>
      </c>
      <c r="D275" s="2" t="str">
        <f t="shared" si="3"/>
        <v>Error?</v>
      </c>
    </row>
    <row r="276" spans="1:4" x14ac:dyDescent="0.2">
      <c r="A276" s="5">
        <v>215</v>
      </c>
      <c r="B276" s="138">
        <f>'Assets-Liab 5-6'!M19</f>
        <v>161487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716179</v>
      </c>
      <c r="C279" s="2" t="s">
        <v>594</v>
      </c>
      <c r="D279" s="2" t="str">
        <f t="shared" si="3"/>
        <v>Error?</v>
      </c>
    </row>
    <row r="280" spans="1:4" x14ac:dyDescent="0.2">
      <c r="A280" s="5">
        <v>219</v>
      </c>
      <c r="B280" s="138">
        <f>'Assets-Liab 5-6'!M40</f>
        <v>716179</v>
      </c>
      <c r="D280" s="2" t="str">
        <f t="shared" si="3"/>
        <v>Error?</v>
      </c>
    </row>
    <row r="281" spans="1:4" x14ac:dyDescent="0.2">
      <c r="A281" s="5">
        <v>220</v>
      </c>
      <c r="B281" s="138">
        <f>'Assets-Liab 5-6'!M41</f>
        <v>716179</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3799</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225609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283227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4101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4101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70468</v>
      </c>
      <c r="D733" s="2" t="str">
        <f t="shared" si="10"/>
        <v>Error?</v>
      </c>
    </row>
    <row r="734" spans="1:4" x14ac:dyDescent="0.2">
      <c r="A734" s="5">
        <v>673</v>
      </c>
      <c r="B734" s="138">
        <f>'Expenditures 15-22'!C53</f>
        <v>70468</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25460</v>
      </c>
      <c r="D739" s="2" t="str">
        <f t="shared" si="10"/>
        <v>Error?</v>
      </c>
    </row>
    <row r="740" spans="1:4" x14ac:dyDescent="0.2">
      <c r="A740" s="5">
        <v>679</v>
      </c>
      <c r="B740" s="138">
        <f>'Expenditures 15-22'!C61</f>
        <v>23817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13239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62516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137085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420312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57988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166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68347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38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17131</v>
      </c>
      <c r="D791" s="2" t="str">
        <f t="shared" si="11"/>
        <v>Error?</v>
      </c>
    </row>
    <row r="792" spans="1:4" x14ac:dyDescent="0.2">
      <c r="A792" s="5">
        <v>731</v>
      </c>
      <c r="B792" s="138">
        <f>'Expenditures 15-22'!D53</f>
        <v>17131</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v>
      </c>
      <c r="D797" s="2" t="str">
        <f t="shared" si="11"/>
        <v>Error?</v>
      </c>
    </row>
    <row r="798" spans="1:4" x14ac:dyDescent="0.2">
      <c r="A798" s="5">
        <v>737</v>
      </c>
      <c r="B798" s="138">
        <f>'Expenditures 15-22'!D61</f>
        <v>5046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5058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22227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90574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10740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1776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17394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11844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11844</v>
      </c>
      <c r="C847" s="2" t="s">
        <v>594</v>
      </c>
      <c r="D847" s="2" t="str">
        <f t="shared" si="12"/>
        <v>Error?</v>
      </c>
    </row>
    <row r="848" spans="1:4" x14ac:dyDescent="0.2">
      <c r="A848" s="5">
        <v>787</v>
      </c>
      <c r="B848" s="138">
        <f>'Expenditures 15-22'!E49</f>
        <v>20522</v>
      </c>
      <c r="D848" s="2" t="str">
        <f t="shared" si="12"/>
        <v>Error?</v>
      </c>
    </row>
    <row r="849" spans="1:4" x14ac:dyDescent="0.2">
      <c r="A849" s="5">
        <v>788</v>
      </c>
      <c r="B849" s="138">
        <f>'Expenditures 15-22'!E50</f>
        <v>1239</v>
      </c>
      <c r="D849" s="2" t="str">
        <f t="shared" si="12"/>
        <v>Error?</v>
      </c>
    </row>
    <row r="850" spans="1:4" x14ac:dyDescent="0.2">
      <c r="A850" s="5">
        <v>789</v>
      </c>
      <c r="B850" s="138">
        <f>'Expenditures 15-22'!E53</f>
        <v>21761</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10863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10863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44468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61862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2027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24993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26</v>
      </c>
      <c r="D900" s="2" t="str">
        <f t="shared" si="13"/>
        <v>Error?</v>
      </c>
    </row>
    <row r="901" spans="1:4" x14ac:dyDescent="0.2">
      <c r="A901" s="5">
        <v>840</v>
      </c>
      <c r="B901" s="138">
        <f>'Expenditures 15-22'!F42</f>
        <v>26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50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50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19809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19809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19885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44878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210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803</v>
      </c>
      <c r="D1022" s="2" t="str">
        <f t="shared" si="14"/>
        <v>Error?</v>
      </c>
    </row>
    <row r="1023" spans="1:4" x14ac:dyDescent="0.2">
      <c r="A1023" s="5">
        <v>962</v>
      </c>
      <c r="B1023" s="138">
        <f>'Expenditures 15-22'!H50</f>
        <v>45</v>
      </c>
      <c r="D1023" s="2" t="str">
        <f t="shared" ref="D1023:D1086" si="15">IF(ISBLANK(B1023),"OK",IF(A1023-B1023=0,"OK","Error?"))</f>
        <v>Error?</v>
      </c>
    </row>
    <row r="1024" spans="1:4" x14ac:dyDescent="0.2">
      <c r="A1024" s="5">
        <v>963</v>
      </c>
      <c r="B1024" s="138">
        <f>'Expenditures 15-22'!H53</f>
        <v>848</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848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24712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25770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296364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3690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394171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26</v>
      </c>
      <c r="C1114" s="2" t="s">
        <v>594</v>
      </c>
      <c r="D1114" s="2" t="str">
        <f t="shared" si="16"/>
        <v>Error?</v>
      </c>
    </row>
    <row r="1115" spans="1:4" x14ac:dyDescent="0.2">
      <c r="A1115" s="5">
        <v>1054</v>
      </c>
      <c r="B1115" s="138">
        <f>'Expenditures 15-22'!K42</f>
        <v>26</v>
      </c>
      <c r="C1115" s="2" t="s">
        <v>594</v>
      </c>
      <c r="D1115" s="2" t="str">
        <f t="shared" si="16"/>
        <v>Error?</v>
      </c>
    </row>
    <row r="1116" spans="1:4" x14ac:dyDescent="0.2">
      <c r="A1116" s="5">
        <v>1055</v>
      </c>
      <c r="B1116" s="138">
        <f>'Expenditures 15-22'!K44</f>
        <v>15983</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15983</v>
      </c>
      <c r="C1119" s="2" t="s">
        <v>594</v>
      </c>
      <c r="D1119" s="2" t="str">
        <f t="shared" si="16"/>
        <v>Error?</v>
      </c>
    </row>
    <row r="1120" spans="1:4" x14ac:dyDescent="0.2">
      <c r="A1120" s="5">
        <v>1059</v>
      </c>
      <c r="B1120" s="138">
        <f>'Expenditures 15-22'!K49</f>
        <v>21375</v>
      </c>
      <c r="C1120" s="2" t="s">
        <v>594</v>
      </c>
      <c r="D1120" s="2" t="str">
        <f t="shared" si="16"/>
        <v>Error?</v>
      </c>
    </row>
    <row r="1121" spans="1:4" x14ac:dyDescent="0.2">
      <c r="A1121" s="5">
        <v>1060</v>
      </c>
      <c r="B1121" s="138">
        <f>'Expenditures 15-22'!K50</f>
        <v>88883</v>
      </c>
      <c r="C1121" s="2" t="s">
        <v>594</v>
      </c>
      <c r="D1121" s="2" t="str">
        <f t="shared" si="16"/>
        <v>Error?</v>
      </c>
    </row>
    <row r="1122" spans="1:4" x14ac:dyDescent="0.2">
      <c r="A1122" s="5">
        <v>1061</v>
      </c>
      <c r="B1122" s="138">
        <f>'Expenditures 15-22'!K53</f>
        <v>110258</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25472</v>
      </c>
      <c r="C1127" s="2" t="s">
        <v>594</v>
      </c>
      <c r="D1127" s="2" t="str">
        <f t="shared" si="16"/>
        <v>Error?</v>
      </c>
    </row>
    <row r="1128" spans="1:4" x14ac:dyDescent="0.2">
      <c r="A1128" s="5">
        <v>1067</v>
      </c>
      <c r="B1128" s="138">
        <f>'Expenditures 15-22'!K61</f>
        <v>39726</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33048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98246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224513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24712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643396</v>
      </c>
      <c r="C1152" s="2" t="s">
        <v>594</v>
      </c>
      <c r="D1152" s="2" t="str">
        <f t="shared" si="17"/>
        <v>Error?</v>
      </c>
    </row>
    <row r="1153" spans="1:4" x14ac:dyDescent="0.2">
      <c r="A1153" s="5">
        <v>1092</v>
      </c>
      <c r="B1153" s="138">
        <f>'Expenditures 15-22'!K115</f>
        <v>-17632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5982</v>
      </c>
      <c r="D1237" s="2" t="str">
        <f t="shared" si="18"/>
        <v>Error?</v>
      </c>
    </row>
    <row r="1238" spans="1:4" x14ac:dyDescent="0.2">
      <c r="A1238" s="10">
        <v>1177</v>
      </c>
      <c r="D1238" s="2" t="str">
        <f t="shared" si="18"/>
        <v>OK</v>
      </c>
    </row>
    <row r="1239" spans="1:4" x14ac:dyDescent="0.2">
      <c r="A1239" s="5">
        <v>1178</v>
      </c>
      <c r="B1239" s="138">
        <f>'Expenditures 15-22'!E127</f>
        <v>5982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5982</v>
      </c>
      <c r="C1241" s="2" t="s">
        <v>594</v>
      </c>
      <c r="D1241" s="2" t="str">
        <f t="shared" si="18"/>
        <v>Error?</v>
      </c>
    </row>
    <row r="1242" spans="1:4" x14ac:dyDescent="0.2">
      <c r="A1242" s="5">
        <v>1181</v>
      </c>
      <c r="B1242" s="138">
        <f>'Expenditures 15-22'!E151</f>
        <v>5982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16712</v>
      </c>
      <c r="D1245" s="2" t="str">
        <f t="shared" si="18"/>
        <v>Error?</v>
      </c>
    </row>
    <row r="1246" spans="1:4" x14ac:dyDescent="0.2">
      <c r="A1246" s="10">
        <v>1185</v>
      </c>
      <c r="D1246" s="2" t="str">
        <f t="shared" si="18"/>
        <v>OK</v>
      </c>
    </row>
    <row r="1247" spans="1:4" x14ac:dyDescent="0.2">
      <c r="A1247" s="5">
        <v>1186</v>
      </c>
      <c r="B1247" s="138">
        <f>'Expenditures 15-22'!F127</f>
        <v>16712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16712</v>
      </c>
      <c r="C1249" s="2" t="s">
        <v>594</v>
      </c>
      <c r="D1249" s="2" t="str">
        <f t="shared" si="18"/>
        <v>Error?</v>
      </c>
    </row>
    <row r="1250" spans="1:4" x14ac:dyDescent="0.2">
      <c r="A1250" s="5">
        <v>1189</v>
      </c>
      <c r="B1250" s="138">
        <f>'Expenditures 15-22'!F151</f>
        <v>16712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1125</v>
      </c>
      <c r="C1272" s="2" t="s">
        <v>594</v>
      </c>
      <c r="D1272" s="2" t="str">
        <f t="shared" si="18"/>
        <v>Error?</v>
      </c>
    </row>
    <row r="1273" spans="1:4" x14ac:dyDescent="0.2">
      <c r="A1273" s="5">
        <v>1212</v>
      </c>
      <c r="B1273" s="138">
        <f>'Expenditures 15-22'!H151</f>
        <v>1125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22694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22694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22694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1125</v>
      </c>
      <c r="C1287" s="2" t="s">
        <v>594</v>
      </c>
      <c r="D1287" s="2" t="str">
        <f t="shared" si="19"/>
        <v>Error?</v>
      </c>
    </row>
    <row r="1288" spans="1:4" x14ac:dyDescent="0.2">
      <c r="A1288" s="5">
        <v>1227</v>
      </c>
      <c r="B1288" s="138">
        <f>'Expenditures 15-22'!K151</f>
        <v>23819</v>
      </c>
      <c r="C1288" s="2" t="s">
        <v>594</v>
      </c>
      <c r="D1288" s="2" t="str">
        <f t="shared" si="19"/>
        <v>Error?</v>
      </c>
    </row>
    <row r="1289" spans="1:4" x14ac:dyDescent="0.2">
      <c r="A1289" s="5">
        <v>1228</v>
      </c>
      <c r="B1289" s="138">
        <f>'Expenditures 15-22'!K152</f>
        <v>15119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14472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14472</v>
      </c>
      <c r="C1339" s="2" t="s">
        <v>594</v>
      </c>
      <c r="D1339" s="2" t="str">
        <f t="shared" si="19"/>
        <v>Error?</v>
      </c>
    </row>
    <row r="1340" spans="1:4" x14ac:dyDescent="0.2">
      <c r="A1340" s="5">
        <v>1279</v>
      </c>
      <c r="B1340" s="138">
        <f>'Expenditures 15-22'!C210</f>
        <v>14472</v>
      </c>
      <c r="C1340" s="2" t="s">
        <v>594</v>
      </c>
      <c r="D1340" s="2" t="str">
        <f t="shared" si="19"/>
        <v>Error?</v>
      </c>
    </row>
    <row r="1341" spans="1:4" x14ac:dyDescent="0.2">
      <c r="A1341" s="5">
        <v>1280</v>
      </c>
      <c r="B1341" s="138">
        <f>'Expenditures 15-22'!D182</f>
        <v>2554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2554</v>
      </c>
      <c r="C1345" s="2" t="s">
        <v>594</v>
      </c>
      <c r="D1345" s="2" t="str">
        <f t="shared" si="20"/>
        <v>Error?</v>
      </c>
    </row>
    <row r="1346" spans="1:4" x14ac:dyDescent="0.2">
      <c r="A1346" s="5">
        <v>1285</v>
      </c>
      <c r="B1346" s="138">
        <f>'Expenditures 15-22'!D210</f>
        <v>2554</v>
      </c>
      <c r="C1346" s="2" t="s">
        <v>594</v>
      </c>
      <c r="D1346" s="2" t="str">
        <f t="shared" si="20"/>
        <v>Error?</v>
      </c>
    </row>
    <row r="1347" spans="1:4" x14ac:dyDescent="0.2">
      <c r="A1347" s="5">
        <v>1286</v>
      </c>
      <c r="B1347" s="138">
        <f>'Expenditures 15-22'!E182</f>
        <v>733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733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733</v>
      </c>
      <c r="C1353" s="2" t="s">
        <v>594</v>
      </c>
      <c r="D1353" s="2" t="str">
        <f t="shared" si="20"/>
        <v>Error?</v>
      </c>
    </row>
    <row r="1354" spans="1:4" x14ac:dyDescent="0.2">
      <c r="A1354" s="5">
        <v>1293</v>
      </c>
      <c r="B1354" s="138">
        <f>'Expenditures 15-22'!F182</f>
        <v>4615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4615</v>
      </c>
      <c r="C1358" s="2" t="s">
        <v>594</v>
      </c>
      <c r="D1358" s="2" t="str">
        <f t="shared" si="20"/>
        <v>Error?</v>
      </c>
    </row>
    <row r="1359" spans="1:4" x14ac:dyDescent="0.2">
      <c r="A1359" s="5">
        <v>1298</v>
      </c>
      <c r="B1359" s="138">
        <f>'Expenditures 15-22'!F210</f>
        <v>4615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22374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22374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22374</v>
      </c>
      <c r="C1388" s="2" t="s">
        <v>594</v>
      </c>
      <c r="D1388" s="2" t="str">
        <f t="shared" si="20"/>
        <v>Error?</v>
      </c>
    </row>
    <row r="1389" spans="1:4" x14ac:dyDescent="0.2">
      <c r="A1389" s="5">
        <v>1328</v>
      </c>
      <c r="B1389" s="138">
        <f>'Expenditures 15-22'!K211</f>
        <v>2277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9530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904</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904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1214</v>
      </c>
      <c r="D1423" s="2" t="str">
        <f t="shared" si="21"/>
        <v>Error?</v>
      </c>
    </row>
    <row r="1424" spans="1:4" x14ac:dyDescent="0.2">
      <c r="A1424" s="5">
        <v>1363</v>
      </c>
      <c r="B1424" s="138">
        <f>'Expenditures 15-22'!D257</f>
        <v>1214</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5615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5253</v>
      </c>
      <c r="D1431" s="2" t="str">
        <f t="shared" si="21"/>
        <v>Error?</v>
      </c>
    </row>
    <row r="1432" spans="1:4" x14ac:dyDescent="0.2">
      <c r="A1432" s="5">
        <v>1371</v>
      </c>
      <c r="B1432" s="138">
        <f>'Expenditures 15-22'!D267</f>
        <v>1533</v>
      </c>
      <c r="D1432" s="2" t="str">
        <f t="shared" si="21"/>
        <v>Error?</v>
      </c>
    </row>
    <row r="1433" spans="1:4" x14ac:dyDescent="0.2">
      <c r="A1433" s="5">
        <v>1372</v>
      </c>
      <c r="B1433" s="138">
        <f>'Expenditures 15-22'!D268</f>
        <v>2920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15321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17439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26969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9530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904</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904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1214</v>
      </c>
      <c r="C1487" s="2" t="s">
        <v>594</v>
      </c>
      <c r="D1487" s="2" t="str">
        <f t="shared" si="22"/>
        <v>Error?</v>
      </c>
    </row>
    <row r="1488" spans="1:4" x14ac:dyDescent="0.2">
      <c r="A1488" s="5">
        <v>1427</v>
      </c>
      <c r="B1488" s="138">
        <f>'Expenditures 15-22'!K257</f>
        <v>1214</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5615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5253</v>
      </c>
      <c r="C1495" s="2" t="s">
        <v>594</v>
      </c>
      <c r="D1495" s="2" t="str">
        <f t="shared" si="22"/>
        <v>Error?</v>
      </c>
    </row>
    <row r="1496" spans="1:4" x14ac:dyDescent="0.2">
      <c r="A1496" s="5">
        <v>1435</v>
      </c>
      <c r="B1496" s="138">
        <f>'Expenditures 15-22'!K267</f>
        <v>1533</v>
      </c>
      <c r="C1496" s="2" t="s">
        <v>594</v>
      </c>
      <c r="D1496" s="2" t="str">
        <f t="shared" si="22"/>
        <v>Error?</v>
      </c>
    </row>
    <row r="1497" spans="1:4" x14ac:dyDescent="0.2">
      <c r="A1497" s="5">
        <v>1436</v>
      </c>
      <c r="B1497" s="138">
        <f>'Expenditures 15-22'!K268</f>
        <v>2920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15321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17439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26969</v>
      </c>
      <c r="C1517" s="2" t="s">
        <v>594</v>
      </c>
      <c r="D1517" s="2" t="str">
        <f t="shared" si="22"/>
        <v>Error?</v>
      </c>
    </row>
    <row r="1518" spans="1:4" x14ac:dyDescent="0.2">
      <c r="A1518" s="5">
        <v>1457</v>
      </c>
      <c r="B1518" s="138">
        <f>'Expenditures 15-22'!K296</f>
        <v>-1885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226487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192204</v>
      </c>
      <c r="C1630" s="2" t="s">
        <v>594</v>
      </c>
      <c r="D1630" s="2" t="str">
        <f t="shared" si="24"/>
        <v>Error?</v>
      </c>
    </row>
    <row r="1631" spans="1:4" x14ac:dyDescent="0.2">
      <c r="A1631" s="5">
        <v>1570</v>
      </c>
      <c r="B1631" s="138">
        <f>'Acct Summary 7-8'!D79</f>
        <v>20516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26085</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20538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22815</v>
      </c>
      <c r="C1672" s="2" t="s">
        <v>594</v>
      </c>
      <c r="D1672" s="2" t="str">
        <f t="shared" si="25"/>
        <v>Error?</v>
      </c>
    </row>
    <row r="1673" spans="1:4" x14ac:dyDescent="0.2">
      <c r="A1673" s="5">
        <v>1612</v>
      </c>
      <c r="B1673" s="138">
        <f>'Acct Summary 7-8'!G79</f>
        <v>4908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3023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286238</v>
      </c>
      <c r="C1744" s="2" t="s">
        <v>594</v>
      </c>
      <c r="D1744" s="2" t="str">
        <f t="shared" si="26"/>
        <v>Error?</v>
      </c>
    </row>
    <row r="1745" spans="1:5" x14ac:dyDescent="0.2">
      <c r="A1745" s="5">
        <v>1684</v>
      </c>
      <c r="B1745" s="138">
        <f>'Tax Sched 23'!B5</f>
        <v>37639</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14363</v>
      </c>
      <c r="C1747" s="2" t="s">
        <v>594</v>
      </c>
      <c r="D1747" s="2" t="str">
        <f t="shared" si="26"/>
        <v>Error?</v>
      </c>
    </row>
    <row r="1748" spans="1:5" x14ac:dyDescent="0.2">
      <c r="A1748" s="5">
        <v>1687</v>
      </c>
      <c r="B1748" s="138">
        <f>'Tax Sched 23'!B8</f>
        <v>1647</v>
      </c>
      <c r="C1748" s="2" t="s">
        <v>594</v>
      </c>
      <c r="D1748" s="2" t="str">
        <f t="shared" si="26"/>
        <v>Error?</v>
      </c>
    </row>
    <row r="1749" spans="1:5" x14ac:dyDescent="0.2">
      <c r="A1749" s="5">
        <v>1688</v>
      </c>
      <c r="B1749" s="138">
        <f>'Tax Sched 23'!B10</f>
        <v>3799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5524</v>
      </c>
      <c r="C1753" s="2" t="s">
        <v>594</v>
      </c>
      <c r="D1753" s="2" t="str">
        <f t="shared" si="26"/>
        <v>Error?</v>
      </c>
    </row>
    <row r="1754" spans="1:5" x14ac:dyDescent="0.2">
      <c r="A1754" s="5">
        <v>1693</v>
      </c>
      <c r="B1754" s="138">
        <f>'Tax Sched 23'!B14</f>
        <v>8287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359144</v>
      </c>
      <c r="C1759" s="2" t="s">
        <v>594</v>
      </c>
      <c r="D1759" s="2" t="str">
        <f t="shared" si="26"/>
        <v>Error?</v>
      </c>
    </row>
    <row r="1760" spans="1:5" x14ac:dyDescent="0.2">
      <c r="A1760" s="5">
        <v>1699</v>
      </c>
      <c r="B1760" s="138">
        <f>'Tax Sched 23'!D4</f>
        <v>286238</v>
      </c>
      <c r="C1760" s="2" t="s">
        <v>594</v>
      </c>
      <c r="D1760" s="2" t="str">
        <f t="shared" si="26"/>
        <v>Error?</v>
      </c>
    </row>
    <row r="1761" spans="1:5" x14ac:dyDescent="0.2">
      <c r="A1761" s="5">
        <v>1700</v>
      </c>
      <c r="B1761" s="138">
        <f>'Tax Sched 23'!D5</f>
        <v>37639</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14363</v>
      </c>
      <c r="C1763" s="2" t="s">
        <v>594</v>
      </c>
      <c r="D1763" s="2" t="str">
        <f t="shared" si="26"/>
        <v>Error?</v>
      </c>
    </row>
    <row r="1764" spans="1:5" x14ac:dyDescent="0.2">
      <c r="A1764" s="5">
        <v>1703</v>
      </c>
      <c r="B1764" s="138">
        <f>'Tax Sched 23'!D8</f>
        <v>1647</v>
      </c>
      <c r="C1764" s="2" t="s">
        <v>594</v>
      </c>
      <c r="D1764" s="2" t="str">
        <f t="shared" si="26"/>
        <v>Error?</v>
      </c>
    </row>
    <row r="1765" spans="1:5" x14ac:dyDescent="0.2">
      <c r="A1765" s="5">
        <v>1704</v>
      </c>
      <c r="B1765" s="138">
        <f>'Tax Sched 23'!D10</f>
        <v>3799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5524</v>
      </c>
      <c r="C1769" s="2" t="s">
        <v>594</v>
      </c>
      <c r="D1769" s="2" t="str">
        <f t="shared" si="26"/>
        <v>Error?</v>
      </c>
    </row>
    <row r="1770" spans="1:5" x14ac:dyDescent="0.2">
      <c r="A1770" s="5">
        <v>1709</v>
      </c>
      <c r="B1770" s="138">
        <f>'Tax Sched 23'!D14</f>
        <v>8287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359144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297149</v>
      </c>
      <c r="C1792" s="2" t="s">
        <v>594</v>
      </c>
      <c r="D1792" s="2" t="str">
        <f t="shared" si="27"/>
        <v>Error?</v>
      </c>
    </row>
    <row r="1793" spans="1:4" x14ac:dyDescent="0.2">
      <c r="A1793" s="5">
        <v>1732</v>
      </c>
      <c r="B1793" s="138">
        <f>'Tax Sched 23'!F5</f>
        <v>36301</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14912</v>
      </c>
      <c r="C1795" s="2" t="s">
        <v>594</v>
      </c>
      <c r="D1795" s="2" t="str">
        <f t="shared" si="27"/>
        <v>Error?</v>
      </c>
    </row>
    <row r="1796" spans="1:4" x14ac:dyDescent="0.2">
      <c r="A1796" s="5">
        <v>1735</v>
      </c>
      <c r="B1796" s="138">
        <f>'Tax Sched 23'!F8</f>
        <v>3958</v>
      </c>
      <c r="C1796" s="2" t="s">
        <v>594</v>
      </c>
      <c r="D1796" s="2" t="str">
        <f t="shared" si="27"/>
        <v>Error?</v>
      </c>
    </row>
    <row r="1797" spans="1:4" x14ac:dyDescent="0.2">
      <c r="A1797" s="5">
        <v>1736</v>
      </c>
      <c r="B1797" s="138">
        <f>'Tax Sched 23'!F10</f>
        <v>3943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5736</v>
      </c>
      <c r="C1801" s="2" t="s">
        <v>594</v>
      </c>
      <c r="D1801" s="2" t="str">
        <f t="shared" si="27"/>
        <v>Error?</v>
      </c>
    </row>
    <row r="1802" spans="1:4" x14ac:dyDescent="0.2">
      <c r="A1802" s="5">
        <v>1741</v>
      </c>
      <c r="B1802" s="138">
        <f>'Tax Sched 23'!F14</f>
        <v>8603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374560</v>
      </c>
      <c r="C1807" s="2" t="s">
        <v>594</v>
      </c>
      <c r="D1807" s="2" t="str">
        <f t="shared" si="27"/>
        <v>Error?</v>
      </c>
    </row>
    <row r="1808" spans="1:4" x14ac:dyDescent="0.2">
      <c r="A1808" s="5">
        <v>1747</v>
      </c>
      <c r="B1808" s="138">
        <f>'Tax Sched 23'!E4</f>
        <v>297149</v>
      </c>
      <c r="D1808" s="2" t="str">
        <f t="shared" si="27"/>
        <v>Error?</v>
      </c>
    </row>
    <row r="1809" spans="1:4" x14ac:dyDescent="0.2">
      <c r="A1809" s="5">
        <v>1748</v>
      </c>
      <c r="B1809" s="138">
        <f>'Tax Sched 23'!E5</f>
        <v>36301</v>
      </c>
      <c r="D1809" s="2" t="str">
        <f t="shared" si="27"/>
        <v>Error?</v>
      </c>
    </row>
    <row r="1810" spans="1:4" x14ac:dyDescent="0.2">
      <c r="A1810" s="5">
        <v>1749</v>
      </c>
      <c r="B1810" s="138">
        <f>'Tax Sched 23'!E6</f>
        <v>0</v>
      </c>
      <c r="D1810" s="2" t="str">
        <f t="shared" si="27"/>
        <v>Error?</v>
      </c>
    </row>
    <row r="1811" spans="1:4" x14ac:dyDescent="0.2">
      <c r="A1811" s="5">
        <v>1750</v>
      </c>
      <c r="B1811" s="138">
        <f>'Tax Sched 23'!E7</f>
        <v>14912</v>
      </c>
      <c r="D1811" s="2" t="str">
        <f t="shared" si="27"/>
        <v>Error?</v>
      </c>
    </row>
    <row r="1812" spans="1:4" x14ac:dyDescent="0.2">
      <c r="A1812" s="5">
        <v>1751</v>
      </c>
      <c r="B1812" s="138">
        <f>'Tax Sched 23'!E8</f>
        <v>3958</v>
      </c>
      <c r="D1812" s="2" t="str">
        <f t="shared" si="27"/>
        <v>Error?</v>
      </c>
    </row>
    <row r="1813" spans="1:4" x14ac:dyDescent="0.2">
      <c r="A1813" s="5">
        <v>1752</v>
      </c>
      <c r="B1813" s="138">
        <f>'Tax Sched 23'!E10</f>
        <v>3943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5736</v>
      </c>
      <c r="D1817" s="2" t="str">
        <f t="shared" si="27"/>
        <v>Error?</v>
      </c>
    </row>
    <row r="1818" spans="1:4" x14ac:dyDescent="0.2">
      <c r="A1818" s="5">
        <v>1757</v>
      </c>
      <c r="B1818" s="138">
        <f>'Tax Sched 23'!E14</f>
        <v>8603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374560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8287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8287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8287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2300</v>
      </c>
      <c r="D2008" s="2" t="str">
        <f t="shared" si="30"/>
        <v>Error?</v>
      </c>
    </row>
    <row r="2009" spans="1:4" x14ac:dyDescent="0.2">
      <c r="A2009" s="5">
        <v>1948</v>
      </c>
      <c r="B2009" s="138">
        <f>'Cap Outlay Deprec 26'!C8</f>
        <v>552392</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115565</v>
      </c>
      <c r="D2011" s="2" t="str">
        <f t="shared" si="30"/>
        <v>Error?</v>
      </c>
    </row>
    <row r="2012" spans="1:4" x14ac:dyDescent="0.2">
      <c r="A2012" s="5">
        <v>1951</v>
      </c>
      <c r="B2012" s="138">
        <f>'Cap Outlay Deprec 26'!C13</f>
        <v>45922</v>
      </c>
      <c r="D2012" s="2" t="str">
        <f t="shared" si="30"/>
        <v>Error?</v>
      </c>
    </row>
    <row r="2013" spans="1:4" x14ac:dyDescent="0.2">
      <c r="A2013" s="5">
        <v>1952</v>
      </c>
      <c r="B2013" s="138">
        <f>'Cap Outlay Deprec 26'!C16</f>
        <v>716179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2300</v>
      </c>
      <c r="C2026" s="2" t="s">
        <v>594</v>
      </c>
      <c r="D2026" s="2" t="str">
        <f t="shared" si="30"/>
        <v>Error?</v>
      </c>
    </row>
    <row r="2027" spans="1:4" x14ac:dyDescent="0.2">
      <c r="A2027" s="5">
        <v>1966</v>
      </c>
      <c r="B2027" s="138">
        <f>'Cap Outlay Deprec 26'!F8</f>
        <v>552392</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115565</v>
      </c>
      <c r="C2029" s="2" t="s">
        <v>594</v>
      </c>
      <c r="D2029" s="2" t="str">
        <f t="shared" si="30"/>
        <v>Error?</v>
      </c>
    </row>
    <row r="2030" spans="1:4" x14ac:dyDescent="0.2">
      <c r="A2030" s="5">
        <v>1969</v>
      </c>
      <c r="B2030" s="138">
        <f>'Cap Outlay Deprec 26'!F13</f>
        <v>45922</v>
      </c>
      <c r="C2030" s="2" t="s">
        <v>594</v>
      </c>
      <c r="D2030" s="2" t="str">
        <f t="shared" si="30"/>
        <v>Error?</v>
      </c>
    </row>
    <row r="2031" spans="1:4" x14ac:dyDescent="0.2">
      <c r="A2031" s="5">
        <v>1970</v>
      </c>
      <c r="B2031" s="138">
        <f>'Cap Outlay Deprec 26'!F16</f>
        <v>716179</v>
      </c>
      <c r="C2031" s="2" t="s">
        <v>594</v>
      </c>
      <c r="D2031" s="2" t="str">
        <f t="shared" si="30"/>
        <v>Error?</v>
      </c>
    </row>
    <row r="2032" spans="1:4" x14ac:dyDescent="0.2">
      <c r="A2032" s="10">
        <v>1971</v>
      </c>
      <c r="D2032" s="2" t="str">
        <f t="shared" si="30"/>
        <v>OK</v>
      </c>
    </row>
    <row r="2033" spans="1:4" x14ac:dyDescent="0.2">
      <c r="A2033" s="5">
        <v>1972</v>
      </c>
      <c r="B2033" s="138">
        <f>'Cap Outlay Deprec 26'!H8</f>
        <v>448144</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78393</v>
      </c>
      <c r="D2035" s="2" t="str">
        <f t="shared" si="30"/>
        <v>Error?</v>
      </c>
    </row>
    <row r="2036" spans="1:4" x14ac:dyDescent="0.2">
      <c r="A2036" s="5">
        <v>1975</v>
      </c>
      <c r="B2036" s="138">
        <f>'Cap Outlay Deprec 26'!H13</f>
        <v>45922</v>
      </c>
      <c r="D2036" s="2" t="str">
        <f t="shared" si="30"/>
        <v>Error?</v>
      </c>
    </row>
    <row r="2037" spans="1:4" x14ac:dyDescent="0.2">
      <c r="A2037" s="5">
        <v>1976</v>
      </c>
      <c r="B2037" s="138">
        <f>'Cap Outlay Deprec 26'!H16</f>
        <v>572459</v>
      </c>
      <c r="C2037" s="2" t="s">
        <v>594</v>
      </c>
      <c r="D2037" s="2" t="str">
        <f t="shared" si="30"/>
        <v>Error?</v>
      </c>
    </row>
    <row r="2038" spans="1:4" x14ac:dyDescent="0.2">
      <c r="A2038" s="10">
        <v>1977</v>
      </c>
      <c r="D2038" s="2" t="str">
        <f t="shared" si="30"/>
        <v>OK</v>
      </c>
    </row>
    <row r="2039" spans="1:4" x14ac:dyDescent="0.2">
      <c r="A2039" s="5">
        <v>1978</v>
      </c>
      <c r="B2039" s="138">
        <f>'Cap Outlay Deprec 26'!I8</f>
        <v>14885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7232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22117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463029</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85625</v>
      </c>
      <c r="C2053" s="2" t="s">
        <v>594</v>
      </c>
      <c r="D2053" s="2" t="str">
        <f t="shared" si="31"/>
        <v>Error?</v>
      </c>
    </row>
    <row r="2054" spans="1:4" x14ac:dyDescent="0.2">
      <c r="A2054" s="5">
        <v>1993</v>
      </c>
      <c r="B2054" s="138">
        <f>'Cap Outlay Deprec 26'!K13</f>
        <v>45922</v>
      </c>
      <c r="C2054" s="2" t="s">
        <v>594</v>
      </c>
      <c r="D2054" s="2" t="str">
        <f t="shared" si="31"/>
        <v>Error?</v>
      </c>
    </row>
    <row r="2055" spans="1:4" x14ac:dyDescent="0.2">
      <c r="A2055" s="5">
        <v>1994</v>
      </c>
      <c r="B2055" s="138">
        <f>'Cap Outlay Deprec 26'!K16</f>
        <v>594576</v>
      </c>
      <c r="C2055" s="2" t="s">
        <v>594</v>
      </c>
      <c r="D2055" s="2" t="str">
        <f t="shared" si="31"/>
        <v>Error?</v>
      </c>
    </row>
    <row r="2056" spans="1:4" x14ac:dyDescent="0.2">
      <c r="A2056" s="5">
        <v>1995</v>
      </c>
      <c r="B2056" s="138">
        <f>'Cap Outlay Deprec 26'!L5</f>
        <v>2300</v>
      </c>
      <c r="C2056" s="2" t="s">
        <v>594</v>
      </c>
      <c r="D2056" s="2" t="str">
        <f t="shared" si="31"/>
        <v>Error?</v>
      </c>
    </row>
    <row r="2057" spans="1:4" x14ac:dyDescent="0.2">
      <c r="A2057" s="5">
        <v>1996</v>
      </c>
      <c r="B2057" s="138">
        <f>'Cap Outlay Deprec 26'!L8</f>
        <v>89363</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29940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121603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24712</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3799</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15277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315656</v>
      </c>
      <c r="C2551" s="2" t="s">
        <v>594</v>
      </c>
      <c r="D2551" s="2" t="str">
        <f t="shared" si="38"/>
        <v>Error?</v>
      </c>
    </row>
    <row r="2552" spans="1:4" x14ac:dyDescent="0.2">
      <c r="A2552" s="10">
        <v>2491</v>
      </c>
      <c r="D2552" s="2" t="str">
        <f t="shared" si="38"/>
        <v>OK</v>
      </c>
    </row>
    <row r="2553" spans="1:4" x14ac:dyDescent="0.2">
      <c r="A2553" s="5">
        <v>2492</v>
      </c>
      <c r="B2553" s="138">
        <f>'Acct Summary 7-8'!C6</f>
        <v>229679</v>
      </c>
      <c r="C2553" s="2" t="s">
        <v>594</v>
      </c>
      <c r="D2553" s="2" t="str">
        <f t="shared" si="38"/>
        <v>Error?</v>
      </c>
    </row>
    <row r="2554" spans="1:4" x14ac:dyDescent="0.2">
      <c r="A2554" s="5">
        <v>2493</v>
      </c>
      <c r="B2554" s="138">
        <f>'Acct Summary 7-8'!C7</f>
        <v>80429</v>
      </c>
      <c r="C2554" s="2" t="s">
        <v>594</v>
      </c>
      <c r="D2554" s="2" t="str">
        <f t="shared" si="38"/>
        <v>Error?</v>
      </c>
    </row>
    <row r="2555" spans="1:4" x14ac:dyDescent="0.2">
      <c r="A2555" s="5">
        <v>2494</v>
      </c>
      <c r="B2555" s="138">
        <f>'Acct Summary 7-8'!C8</f>
        <v>625764</v>
      </c>
      <c r="C2555" s="2" t="s">
        <v>594</v>
      </c>
      <c r="D2555" s="2" t="str">
        <f t="shared" si="38"/>
        <v>Error?</v>
      </c>
    </row>
    <row r="2556" spans="1:4" x14ac:dyDescent="0.2">
      <c r="A2556" s="5">
        <v>2495</v>
      </c>
      <c r="B2556" s="138">
        <f>'Acct Summary 7-8'!C12</f>
        <v>394171</v>
      </c>
      <c r="C2556" s="2" t="s">
        <v>594</v>
      </c>
      <c r="D2556" s="2" t="str">
        <f t="shared" si="38"/>
        <v>Error?</v>
      </c>
    </row>
    <row r="2557" spans="1:4" x14ac:dyDescent="0.2">
      <c r="A2557" s="5">
        <v>2496</v>
      </c>
      <c r="B2557" s="138">
        <f>'Acct Summary 7-8'!C13</f>
        <v>224513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24712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643396</v>
      </c>
      <c r="C2561" s="2" t="s">
        <v>594</v>
      </c>
      <c r="D2561" s="2" t="str">
        <f t="shared" si="39"/>
        <v>Error?</v>
      </c>
    </row>
    <row r="2562" spans="1:4" x14ac:dyDescent="0.2">
      <c r="A2562" s="5">
        <v>2501</v>
      </c>
      <c r="B2562" s="138">
        <f>'Acct Summary 7-8'!C20</f>
        <v>-17632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38938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38938</v>
      </c>
      <c r="C2568" s="2" t="s">
        <v>594</v>
      </c>
      <c r="D2568" s="2" t="str">
        <f t="shared" si="39"/>
        <v>Error?</v>
      </c>
    </row>
    <row r="2569" spans="1:4" x14ac:dyDescent="0.2">
      <c r="A2569" s="5">
        <v>2508</v>
      </c>
      <c r="B2569" s="138">
        <f>'Acct Summary 7-8'!D13</f>
        <v>22694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1125</v>
      </c>
      <c r="C2572" s="2" t="s">
        <v>594</v>
      </c>
      <c r="D2572" s="2" t="str">
        <f t="shared" si="39"/>
        <v>Error?</v>
      </c>
    </row>
    <row r="2573" spans="1:4" x14ac:dyDescent="0.2">
      <c r="A2573" s="5">
        <v>2512</v>
      </c>
      <c r="B2573" s="138">
        <f>'Acct Summary 7-8'!D17</f>
        <v>23819</v>
      </c>
      <c r="C2573" s="2" t="s">
        <v>594</v>
      </c>
      <c r="D2573" s="2" t="str">
        <f t="shared" si="39"/>
        <v>Error?</v>
      </c>
    </row>
    <row r="2574" spans="1:4" x14ac:dyDescent="0.2">
      <c r="A2574" s="5">
        <v>2513</v>
      </c>
      <c r="B2574" s="138">
        <f>'Acct Summary 7-8'!D20</f>
        <v>15119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14363</v>
      </c>
      <c r="C2591" s="2" t="s">
        <v>594</v>
      </c>
      <c r="D2591" s="2" t="str">
        <f t="shared" si="39"/>
        <v>Error?</v>
      </c>
    </row>
    <row r="2592" spans="1:4" x14ac:dyDescent="0.2">
      <c r="A2592" s="10">
        <v>2531</v>
      </c>
      <c r="D2592" s="2" t="str">
        <f t="shared" si="39"/>
        <v>OK</v>
      </c>
    </row>
    <row r="2593" spans="1:4" x14ac:dyDescent="0.2">
      <c r="A2593" s="5">
        <v>2532</v>
      </c>
      <c r="B2593" s="138">
        <f>'Acct Summary 7-8'!F6</f>
        <v>10288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24651</v>
      </c>
      <c r="C2595" s="2" t="s">
        <v>594</v>
      </c>
      <c r="D2595" s="2" t="str">
        <f t="shared" si="39"/>
        <v>Error?</v>
      </c>
    </row>
    <row r="2596" spans="1:4" x14ac:dyDescent="0.2">
      <c r="A2596" s="5">
        <v>2535</v>
      </c>
      <c r="B2596" s="138">
        <f>'Acct Summary 7-8'!F13</f>
        <v>22374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22374</v>
      </c>
      <c r="C2600" s="2" t="s">
        <v>594</v>
      </c>
      <c r="D2600" s="2" t="str">
        <f t="shared" si="39"/>
        <v>Error?</v>
      </c>
    </row>
    <row r="2601" spans="1:4" x14ac:dyDescent="0.2">
      <c r="A2601" s="5">
        <v>2540</v>
      </c>
      <c r="B2601" s="138">
        <f>'Acct Summary 7-8'!F20</f>
        <v>2277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24158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926</v>
      </c>
      <c r="C2605" s="2" t="s">
        <v>594</v>
      </c>
      <c r="D2605" s="2" t="str">
        <f t="shared" si="39"/>
        <v>Error?</v>
      </c>
    </row>
    <row r="2606" spans="1:4" x14ac:dyDescent="0.2">
      <c r="A2606" s="5">
        <v>2545</v>
      </c>
      <c r="B2606" s="138">
        <f>'Acct Summary 7-8'!G8</f>
        <v>25084</v>
      </c>
      <c r="C2606" s="2" t="s">
        <v>594</v>
      </c>
      <c r="D2606" s="2" t="str">
        <f t="shared" si="39"/>
        <v>Error?</v>
      </c>
    </row>
    <row r="2607" spans="1:4" x14ac:dyDescent="0.2">
      <c r="A2607" s="5">
        <v>2546</v>
      </c>
      <c r="B2607" s="138">
        <f>'Acct Summary 7-8'!G12</f>
        <v>9530</v>
      </c>
      <c r="C2607" s="2" t="s">
        <v>594</v>
      </c>
      <c r="D2607" s="2" t="str">
        <f t="shared" si="39"/>
        <v>Error?</v>
      </c>
    </row>
    <row r="2608" spans="1:4" x14ac:dyDescent="0.2">
      <c r="A2608" s="5">
        <v>2547</v>
      </c>
      <c r="B2608" s="138">
        <f>'Acct Summary 7-8'!G13</f>
        <v>17439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26969</v>
      </c>
      <c r="C2612" s="2" t="s">
        <v>594</v>
      </c>
      <c r="D2612" s="2" t="str">
        <f t="shared" si="39"/>
        <v>Error?</v>
      </c>
    </row>
    <row r="2613" spans="1:4" x14ac:dyDescent="0.2">
      <c r="A2613" s="5">
        <v>2552</v>
      </c>
      <c r="B2613" s="138">
        <f>'Acct Summary 7-8'!G20</f>
        <v>-1885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7965</v>
      </c>
      <c r="D3055" s="2" t="str">
        <f t="shared" si="46"/>
        <v>Error?</v>
      </c>
    </row>
    <row r="3056" spans="1:4" x14ac:dyDescent="0.2">
      <c r="A3056" s="5">
        <v>2995</v>
      </c>
      <c r="B3056" s="138">
        <f>'Expenditures 15-22'!D10</f>
        <v>6</v>
      </c>
      <c r="D3056" s="2" t="str">
        <f t="shared" si="46"/>
        <v>Error?</v>
      </c>
    </row>
    <row r="3057" spans="1:4" x14ac:dyDescent="0.2">
      <c r="A3057" s="5">
        <v>2996</v>
      </c>
      <c r="B3057" s="138">
        <f>'Expenditures 15-22'!E10</f>
        <v>4878</v>
      </c>
      <c r="D3057" s="2" t="str">
        <f t="shared" si="46"/>
        <v>Error?</v>
      </c>
    </row>
    <row r="3058" spans="1:4" x14ac:dyDescent="0.2">
      <c r="A3058" s="5">
        <v>2997</v>
      </c>
      <c r="B3058" s="138">
        <f>'Expenditures 15-22'!F10</f>
        <v>22928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35777</v>
      </c>
      <c r="C3062" s="2" t="s">
        <v>594</v>
      </c>
      <c r="D3062" s="2" t="str">
        <f t="shared" si="46"/>
        <v>Error?</v>
      </c>
    </row>
    <row r="3063" spans="1:4" x14ac:dyDescent="0.2">
      <c r="A3063" s="10">
        <v>3002</v>
      </c>
      <c r="D3063" s="2" t="str">
        <f t="shared" si="46"/>
        <v>OK</v>
      </c>
    </row>
    <row r="3064" spans="1:4" x14ac:dyDescent="0.2">
      <c r="A3064" s="5">
        <v>3003</v>
      </c>
      <c r="B3064" s="138">
        <f>'Expenditures 15-22'!D219</f>
        <v>1757</v>
      </c>
      <c r="D3064" s="2" t="str">
        <f t="shared" si="46"/>
        <v>Error?</v>
      </c>
    </row>
    <row r="3065" spans="1:4" x14ac:dyDescent="0.2">
      <c r="A3065" s="5">
        <v>3004</v>
      </c>
      <c r="B3065" s="138">
        <f>'Expenditures 15-22'!K219</f>
        <v>1757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3799</v>
      </c>
      <c r="C3225" s="2" t="s">
        <v>594</v>
      </c>
      <c r="D3225" s="2" t="str">
        <f t="shared" si="49"/>
        <v>Error?</v>
      </c>
    </row>
    <row r="3226" spans="1:4" x14ac:dyDescent="0.2">
      <c r="A3226" s="5">
        <v>3165</v>
      </c>
      <c r="B3226" s="138">
        <f>'Acct Summary 7-8'!I8</f>
        <v>3799</v>
      </c>
      <c r="C3226" s="2" t="s">
        <v>594</v>
      </c>
      <c r="D3226" s="2" t="str">
        <f t="shared" si="49"/>
        <v>Error?</v>
      </c>
    </row>
    <row r="3227" spans="1:4" x14ac:dyDescent="0.2">
      <c r="A3227" s="5">
        <v>3166</v>
      </c>
      <c r="B3227" s="138">
        <f>'Acct Summary 7-8'!I20</f>
        <v>3799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3799</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20450</v>
      </c>
      <c r="C3231" s="2" t="s">
        <v>594</v>
      </c>
      <c r="D3231" s="2" t="str">
        <f t="shared" si="49"/>
        <v>Error?</v>
      </c>
    </row>
    <row r="3232" spans="1:4" x14ac:dyDescent="0.2">
      <c r="A3232" s="5">
        <v>3171</v>
      </c>
      <c r="B3232" s="138">
        <f>'Acct Summary 7-8'!C77</f>
        <v>-16651</v>
      </c>
      <c r="C3232" s="2" t="s">
        <v>594</v>
      </c>
      <c r="D3232" s="2" t="str">
        <f t="shared" si="49"/>
        <v>Error?</v>
      </c>
    </row>
    <row r="3233" spans="1:4" x14ac:dyDescent="0.2">
      <c r="A3233" s="5">
        <v>3172</v>
      </c>
      <c r="B3233" s="138">
        <f>'Acct Summary 7-8'!C78</f>
        <v>-34283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20450</v>
      </c>
      <c r="C3235" s="2" t="s">
        <v>594</v>
      </c>
      <c r="D3235" s="2" t="str">
        <f t="shared" si="49"/>
        <v>Error?</v>
      </c>
    </row>
    <row r="3236" spans="1:4" x14ac:dyDescent="0.2">
      <c r="A3236" s="5">
        <v>3175</v>
      </c>
      <c r="B3236" s="138">
        <f>'Acct Summary 7-8'!D75</f>
        <v>30000</v>
      </c>
      <c r="D3236" s="2" t="str">
        <f t="shared" si="49"/>
        <v>Error?</v>
      </c>
    </row>
    <row r="3237" spans="1:4" x14ac:dyDescent="0.2">
      <c r="A3237" s="5">
        <v>3176</v>
      </c>
      <c r="B3237" s="138">
        <f>'Acct Summary 7-8'!D76</f>
        <v>30000</v>
      </c>
      <c r="C3237" s="2" t="s">
        <v>594</v>
      </c>
      <c r="D3237" s="2" t="str">
        <f t="shared" si="49"/>
        <v>Error?</v>
      </c>
    </row>
    <row r="3238" spans="1:4" x14ac:dyDescent="0.2">
      <c r="A3238" s="5">
        <v>3177</v>
      </c>
      <c r="B3238" s="138">
        <f>'Acct Summary 7-8'!D77</f>
        <v>-9550</v>
      </c>
      <c r="C3238" s="2" t="s">
        <v>594</v>
      </c>
      <c r="D3238" s="2" t="str">
        <f t="shared" si="49"/>
        <v>Error?</v>
      </c>
    </row>
    <row r="3239" spans="1:4" x14ac:dyDescent="0.2">
      <c r="A3239" s="5">
        <v>3178</v>
      </c>
      <c r="B3239" s="138">
        <f>'Acct Summary 7-8'!D78</f>
        <v>5569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2277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-1885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3799</v>
      </c>
      <c r="C3318" s="2" t="s">
        <v>594</v>
      </c>
      <c r="D3318" s="2" t="str">
        <f t="shared" si="50"/>
        <v>Error?</v>
      </c>
    </row>
    <row r="3319" spans="1:4" x14ac:dyDescent="0.2">
      <c r="A3319" s="5">
        <v>3258</v>
      </c>
      <c r="B3319" s="138">
        <f>'Acct Summary 7-8'!I77</f>
        <v>-3799</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48153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10187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58340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3808</v>
      </c>
      <c r="D3387" s="2" t="str">
        <f t="shared" si="51"/>
        <v>Error?</v>
      </c>
    </row>
    <row r="3388" spans="1:4" x14ac:dyDescent="0.2">
      <c r="A3388" s="5">
        <v>3327</v>
      </c>
      <c r="B3388" s="138">
        <f>'Expenditures 15-22'!D217</f>
        <v>3941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3808</v>
      </c>
      <c r="C3390" s="2" t="s">
        <v>594</v>
      </c>
      <c r="D3390" s="2" t="str">
        <f t="shared" si="51"/>
        <v>Error?</v>
      </c>
    </row>
    <row r="3391" spans="1:4" x14ac:dyDescent="0.2">
      <c r="A3391" s="5">
        <v>3330</v>
      </c>
      <c r="B3391" s="138">
        <f>'Expenditures 15-22'!K217</f>
        <v>3941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192217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26085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22815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3023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1647</v>
      </c>
      <c r="C3446" s="2" t="s">
        <v>594</v>
      </c>
      <c r="D3446" s="2" t="str">
        <f t="shared" si="52"/>
        <v>Error?</v>
      </c>
    </row>
    <row r="3447" spans="1:4" x14ac:dyDescent="0.2">
      <c r="A3447" s="5">
        <v>3386</v>
      </c>
      <c r="B3447" s="138">
        <f>'Tax Sched 23'!D16</f>
        <v>1647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3958</v>
      </c>
      <c r="C3449" s="2" t="s">
        <v>594</v>
      </c>
      <c r="D3449" s="2" t="str">
        <f t="shared" si="52"/>
        <v>Error?</v>
      </c>
    </row>
    <row r="3450" spans="1:4" x14ac:dyDescent="0.2">
      <c r="A3450" s="5">
        <v>3389</v>
      </c>
      <c r="B3450" s="138">
        <f>'Tax Sched 23'!E16</f>
        <v>3958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4843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4843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4843</v>
      </c>
      <c r="D3567" s="2" t="str">
        <f t="shared" si="54"/>
        <v>Error?</v>
      </c>
    </row>
    <row r="3568" spans="1:4" x14ac:dyDescent="0.2">
      <c r="A3568" s="5">
        <v>3507</v>
      </c>
      <c r="B3568" s="138">
        <f>'Assets-Liab 5-6'!K41</f>
        <v>4843</v>
      </c>
      <c r="C3568" s="2" t="s">
        <v>594</v>
      </c>
      <c r="D3568" s="2" t="str">
        <f t="shared" si="54"/>
        <v>Error?</v>
      </c>
    </row>
    <row r="3569" spans="1:4" x14ac:dyDescent="0.2">
      <c r="A3569" s="5">
        <v>3508</v>
      </c>
      <c r="B3569" s="138">
        <f>'Acct Summary 7-8'!K4</f>
        <v>5524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5524</v>
      </c>
      <c r="C3571" s="2" t="s">
        <v>594</v>
      </c>
      <c r="D3571" s="2" t="str">
        <f t="shared" si="54"/>
        <v>Error?</v>
      </c>
    </row>
    <row r="3572" spans="1:4" x14ac:dyDescent="0.2">
      <c r="A3572" s="5">
        <v>3511</v>
      </c>
      <c r="B3572" s="138">
        <f>'Acct Summary 7-8'!K13</f>
        <v>5383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5383</v>
      </c>
      <c r="C3575" s="2" t="s">
        <v>594</v>
      </c>
      <c r="D3575" s="2" t="str">
        <f t="shared" si="54"/>
        <v>Error?</v>
      </c>
    </row>
    <row r="3576" spans="1:4" x14ac:dyDescent="0.2">
      <c r="A3576" s="5">
        <v>3515</v>
      </c>
      <c r="B3576" s="138">
        <f>'Acct Summary 7-8'!K20</f>
        <v>141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141</v>
      </c>
      <c r="C3588" s="2" t="s">
        <v>594</v>
      </c>
      <c r="D3588" s="2" t="str">
        <f t="shared" si="55"/>
        <v>Error?</v>
      </c>
    </row>
    <row r="3589" spans="1:4" x14ac:dyDescent="0.2">
      <c r="A3589" s="5">
        <v>3528</v>
      </c>
      <c r="B3589" s="138">
        <f>'Acct Summary 7-8'!K79</f>
        <v>4702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4843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5383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5383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5383</v>
      </c>
      <c r="C3635" s="2" t="s">
        <v>594</v>
      </c>
      <c r="D3635" s="2" t="str">
        <f t="shared" si="55"/>
        <v>Error?</v>
      </c>
    </row>
    <row r="3636" spans="1:4" x14ac:dyDescent="0.2">
      <c r="A3636" s="5">
        <v>3575</v>
      </c>
      <c r="B3636" s="138">
        <f>'Expenditures 15-22'!E367</f>
        <v>5383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5383</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5383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5383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5383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19809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236284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862048</v>
      </c>
      <c r="C4122" s="2" t="s">
        <v>594</v>
      </c>
      <c r="D4122" s="2" t="str">
        <f t="shared" si="63"/>
        <v>Error?</v>
      </c>
    </row>
    <row r="4123" spans="1:4" x14ac:dyDescent="0.2">
      <c r="A4123" s="5">
        <v>4062</v>
      </c>
      <c r="B4123" s="138">
        <f>'Acct Summary 7-8'!D10</f>
        <v>38938</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24651</v>
      </c>
      <c r="C4125" s="2" t="s">
        <v>594</v>
      </c>
      <c r="D4125" s="2" t="str">
        <f t="shared" si="63"/>
        <v>Error?</v>
      </c>
    </row>
    <row r="4126" spans="1:4" x14ac:dyDescent="0.2">
      <c r="A4126" s="5">
        <v>4065</v>
      </c>
      <c r="B4126" s="138">
        <f>'Acct Summary 7-8'!G10</f>
        <v>25084</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3799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5524</v>
      </c>
      <c r="C4130" s="2" t="s">
        <v>594</v>
      </c>
      <c r="D4130" s="2" t="str">
        <f t="shared" si="63"/>
        <v>Error?</v>
      </c>
    </row>
    <row r="4131" spans="1:4" x14ac:dyDescent="0.2">
      <c r="A4131" s="5">
        <v>4070</v>
      </c>
      <c r="B4131" s="138">
        <f>'Acct Summary 7-8'!C18</f>
        <v>236284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879680</v>
      </c>
      <c r="C4136" s="2" t="s">
        <v>594</v>
      </c>
      <c r="D4136" s="2" t="str">
        <f t="shared" si="63"/>
        <v>Error?</v>
      </c>
    </row>
    <row r="4137" spans="1:4" x14ac:dyDescent="0.2">
      <c r="A4137" s="5">
        <v>4076</v>
      </c>
      <c r="B4137" s="138">
        <f>'Acct Summary 7-8'!D19</f>
        <v>23819</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22374</v>
      </c>
      <c r="C4139" s="2" t="s">
        <v>594</v>
      </c>
      <c r="D4139" s="2" t="str">
        <f t="shared" si="63"/>
        <v>Error?</v>
      </c>
    </row>
    <row r="4140" spans="1:4" x14ac:dyDescent="0.2">
      <c r="A4140" s="5">
        <v>4079</v>
      </c>
      <c r="B4140" s="138">
        <f>'Acct Summary 7-8'!G19</f>
        <v>26969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5383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30000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2550</v>
      </c>
      <c r="C4265" s="2" t="s">
        <v>594</v>
      </c>
      <c r="D4265" s="2" t="str">
        <f t="shared" si="65"/>
        <v>Error?</v>
      </c>
      <c r="E4265" s="128"/>
    </row>
    <row r="4266" spans="1:5" x14ac:dyDescent="0.2">
      <c r="A4266" s="12">
        <v>4205</v>
      </c>
      <c r="B4266" s="138">
        <f>('FP Info 3'!F10)*100000</f>
        <v>310</v>
      </c>
      <c r="C4266" s="2" t="s">
        <v>594</v>
      </c>
      <c r="D4266" s="2" t="str">
        <f t="shared" si="65"/>
        <v>Error?</v>
      </c>
      <c r="E4266" s="128"/>
    </row>
    <row r="4267" spans="1:5" x14ac:dyDescent="0.2">
      <c r="A4267" s="12">
        <v>4206</v>
      </c>
      <c r="B4267" s="138">
        <f>('FP Info 3'!H10)*100000</f>
        <v>130</v>
      </c>
      <c r="C4267" s="2" t="s">
        <v>594</v>
      </c>
      <c r="D4267" s="2" t="str">
        <f t="shared" si="65"/>
        <v>Error?</v>
      </c>
      <c r="E4267" s="128"/>
    </row>
    <row r="4268" spans="1:5" x14ac:dyDescent="0.2">
      <c r="A4268" s="12">
        <v>4207</v>
      </c>
      <c r="B4268" s="138">
        <f>('FP Info 3'!J10)*100000</f>
        <v>2990</v>
      </c>
      <c r="C4268" s="2" t="s">
        <v>594</v>
      </c>
      <c r="D4268" s="2" t="str">
        <f t="shared" si="65"/>
        <v>Error?</v>
      </c>
    </row>
    <row r="4269" spans="1:5" x14ac:dyDescent="0.2">
      <c r="A4269" s="12">
        <v>4208</v>
      </c>
      <c r="B4269" s="138">
        <f>'FP Info 3'!J16</f>
        <v>241104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1999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6003</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6003</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5073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29.999999999999996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11638806</v>
      </c>
      <c r="D4995" s="2" t="str">
        <f t="shared" si="77"/>
        <v>Error?</v>
      </c>
    </row>
    <row r="4996" spans="1:4" x14ac:dyDescent="0.2">
      <c r="A4996" s="12">
        <v>4935</v>
      </c>
      <c r="B4996" s="138">
        <f>'FP Info 3'!H31</f>
        <v>803077.61400000006</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20450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20450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286238</v>
      </c>
      <c r="D5061" s="2" t="str">
        <f t="shared" si="78"/>
        <v>Error?</v>
      </c>
    </row>
    <row r="5062" spans="1:4" x14ac:dyDescent="0.2">
      <c r="A5062" s="10">
        <v>5001</v>
      </c>
      <c r="D5062" s="2" t="str">
        <f t="shared" si="78"/>
        <v>OK</v>
      </c>
    </row>
    <row r="5063" spans="1:4" x14ac:dyDescent="0.2">
      <c r="A5063" s="5">
        <v>5002</v>
      </c>
      <c r="B5063" s="138">
        <f>'Revenues 9-14'!C7</f>
        <v>8287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294525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911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911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195</v>
      </c>
      <c r="C5096" s="2" t="s">
        <v>594</v>
      </c>
      <c r="D5096" s="2" t="str">
        <f t="shared" si="78"/>
        <v>Error?</v>
      </c>
    </row>
    <row r="5097" spans="1:4" x14ac:dyDescent="0.2">
      <c r="A5097" s="5">
        <v>5036</v>
      </c>
      <c r="B5097" s="138">
        <f>'Revenues 9-14'!C77</f>
        <v>2417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2417</v>
      </c>
      <c r="C5102" s="2" t="s">
        <v>594</v>
      </c>
      <c r="D5102" s="2" t="str">
        <f t="shared" si="78"/>
        <v>Error?</v>
      </c>
    </row>
    <row r="5103" spans="1:4" x14ac:dyDescent="0.2">
      <c r="A5103" s="5">
        <v>5042</v>
      </c>
      <c r="B5103" s="138">
        <f>'Revenues 9-14'!C84</f>
        <v>910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910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14870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1128</v>
      </c>
      <c r="D5119" s="2" t="str">
        <f t="shared" ref="D5119:D5182" si="79">IF(ISBLANK(B5119),"OK",IF(A5119-B5119=0,"OK","Error?"))</f>
        <v>Error?</v>
      </c>
    </row>
    <row r="5120" spans="1:4" x14ac:dyDescent="0.2">
      <c r="A5120" s="5">
        <v>5059</v>
      </c>
      <c r="B5120" s="138">
        <f>'Revenues 9-14'!C108</f>
        <v>16698</v>
      </c>
      <c r="C5120" s="2" t="s">
        <v>594</v>
      </c>
      <c r="D5120" s="2" t="str">
        <f t="shared" si="79"/>
        <v>Error?</v>
      </c>
    </row>
    <row r="5121" spans="1:4" x14ac:dyDescent="0.2">
      <c r="A5121" s="5">
        <v>5060</v>
      </c>
      <c r="B5121" s="138">
        <f>'Revenues 9-14'!C109</f>
        <v>315656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218728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218728</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4528</v>
      </c>
      <c r="D5134" s="2" t="str">
        <f t="shared" si="79"/>
        <v>Error?</v>
      </c>
    </row>
    <row r="5135" spans="1:4" x14ac:dyDescent="0.2">
      <c r="A5135" s="5">
        <v>5074</v>
      </c>
      <c r="B5135" s="138">
        <f>'Revenues 9-14'!C126</f>
        <v>5800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10328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623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10951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229679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27331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12224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39555</v>
      </c>
      <c r="C5246" s="2" t="s">
        <v>594</v>
      </c>
      <c r="D5246" s="2" t="str">
        <f t="shared" si="80"/>
        <v>Error?</v>
      </c>
    </row>
    <row r="5247" spans="1:4" x14ac:dyDescent="0.2">
      <c r="A5247" s="5">
        <v>5186</v>
      </c>
      <c r="B5247" s="138">
        <f>'Revenues 9-14'!C203</f>
        <v>26007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26007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1792</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1792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80429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80429</v>
      </c>
      <c r="C5326" s="2" t="s">
        <v>594</v>
      </c>
      <c r="D5326" s="2" t="str">
        <f t="shared" si="82"/>
        <v>Error?</v>
      </c>
    </row>
    <row r="5327" spans="1:4" x14ac:dyDescent="0.2">
      <c r="A5327" s="5">
        <v>5266</v>
      </c>
      <c r="B5327" s="138">
        <f>'Revenues 9-14'!C275</f>
        <v>625764</v>
      </c>
      <c r="C5327" s="2" t="s">
        <v>594</v>
      </c>
      <c r="D5327" s="2" t="str">
        <f t="shared" si="82"/>
        <v>Error?</v>
      </c>
    </row>
    <row r="5328" spans="1:4" x14ac:dyDescent="0.2">
      <c r="A5328" s="5">
        <v>5267</v>
      </c>
      <c r="B5328" s="138">
        <f>'Revenues 9-14'!D5</f>
        <v>37639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37639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1299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1299</v>
      </c>
      <c r="C5355" s="2" t="s">
        <v>594</v>
      </c>
      <c r="D5355" s="2" t="str">
        <f t="shared" si="82"/>
        <v>Error?</v>
      </c>
    </row>
    <row r="5356" spans="1:4" x14ac:dyDescent="0.2">
      <c r="A5356" s="5">
        <v>5295</v>
      </c>
      <c r="B5356" s="138">
        <f>'Revenues 9-14'!D109</f>
        <v>38938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38938</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14363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14363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14363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6215</v>
      </c>
      <c r="D5615" s="2" t="str">
        <f t="shared" si="86"/>
        <v>Error?</v>
      </c>
    </row>
    <row r="5616" spans="1:4" x14ac:dyDescent="0.2">
      <c r="A5616" s="10">
        <v>5555</v>
      </c>
      <c r="D5616" s="2" t="str">
        <f t="shared" si="86"/>
        <v>OK</v>
      </c>
    </row>
    <row r="5617" spans="1:4" x14ac:dyDescent="0.2">
      <c r="A5617" s="5">
        <v>5556</v>
      </c>
      <c r="B5617" s="138">
        <f>'Revenues 9-14'!F152</f>
        <v>4073</v>
      </c>
      <c r="D5617" s="2" t="str">
        <f t="shared" si="86"/>
        <v>Error?</v>
      </c>
    </row>
    <row r="5618" spans="1:4" x14ac:dyDescent="0.2">
      <c r="A5618" s="5">
        <v>5557</v>
      </c>
      <c r="B5618" s="138">
        <f>'Revenues 9-14'!F154</f>
        <v>10288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10288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10288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24651</v>
      </c>
      <c r="C5720" s="2" t="s">
        <v>594</v>
      </c>
      <c r="D5720" s="2" t="str">
        <f t="shared" si="88"/>
        <v>Error?</v>
      </c>
    </row>
    <row r="5721" spans="1:4" x14ac:dyDescent="0.2">
      <c r="A5721" s="5">
        <v>5660</v>
      </c>
      <c r="B5721" s="138">
        <f>'Revenues 9-14'!G5</f>
        <v>1647</v>
      </c>
      <c r="D5721" s="2" t="str">
        <f t="shared" si="88"/>
        <v>Error?</v>
      </c>
    </row>
    <row r="5722" spans="1:4" x14ac:dyDescent="0.2">
      <c r="A5722" s="5">
        <v>5661</v>
      </c>
      <c r="B5722" s="138">
        <f>'Revenues 9-14'!G7</f>
        <v>0</v>
      </c>
      <c r="D5722" s="2" t="str">
        <f t="shared" si="88"/>
        <v>Error?</v>
      </c>
    </row>
    <row r="5723" spans="1:4" x14ac:dyDescent="0.2">
      <c r="A5723" s="5">
        <v>5662</v>
      </c>
      <c r="B5723" s="138">
        <f>'Revenues 9-14'!G8</f>
        <v>1647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3294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20864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20864</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926</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926</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926</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926</v>
      </c>
      <c r="C5869" s="2" t="s">
        <v>594</v>
      </c>
      <c r="D5869" s="2" t="str">
        <f t="shared" si="90"/>
        <v>Error?</v>
      </c>
    </row>
    <row r="5870" spans="1:4" x14ac:dyDescent="0.2">
      <c r="A5870" s="5">
        <v>5809</v>
      </c>
      <c r="B5870" s="138">
        <f>'Revenues 9-14'!G275</f>
        <v>25084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3799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3799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3799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5524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5524</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5524</v>
      </c>
      <c r="C6023" s="2" t="s">
        <v>594</v>
      </c>
      <c r="D6023" s="2" t="str">
        <f t="shared" si="93"/>
        <v>Error?</v>
      </c>
    </row>
    <row r="6024" spans="1:5" x14ac:dyDescent="0.2">
      <c r="A6024" s="5">
        <v>5963</v>
      </c>
      <c r="B6024" s="138">
        <f>'Revenues 9-14'!G109</f>
        <v>24158</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3799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5524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3521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57.57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-34283</v>
      </c>
      <c r="D6267" s="2" t="str">
        <f t="shared" si="96"/>
        <v>Error?</v>
      </c>
      <c r="E6267" s="2" t="s">
        <v>199</v>
      </c>
    </row>
    <row r="6268" spans="1:5" x14ac:dyDescent="0.2">
      <c r="A6268">
        <v>6207</v>
      </c>
      <c r="B6268" s="138">
        <f>'Acct Summary 7-8'!D82</f>
        <v>5569</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2277</v>
      </c>
      <c r="D6270" s="2" t="str">
        <f t="shared" si="96"/>
        <v>Error?</v>
      </c>
      <c r="E6270" s="2" t="s">
        <v>199</v>
      </c>
    </row>
    <row r="6271" spans="1:5" x14ac:dyDescent="0.2">
      <c r="A6271">
        <v>6210</v>
      </c>
      <c r="B6271" s="138">
        <f>'Acct Summary 7-8'!G82</f>
        <v>-1885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141</v>
      </c>
      <c r="D6275" s="2" t="str">
        <f t="shared" si="97"/>
        <v>Error?</v>
      </c>
      <c r="E6275" s="2" t="s">
        <v>199</v>
      </c>
    </row>
    <row r="6276" spans="1:5" x14ac:dyDescent="0.2">
      <c r="A6276">
        <v>6215</v>
      </c>
      <c r="B6276" s="138">
        <f>'Acct Summary 7-8'!C83</f>
        <v>-0.17836777590476785</v>
      </c>
      <c r="D6276" s="2" t="str">
        <f t="shared" si="97"/>
        <v>Error?</v>
      </c>
      <c r="E6276" s="2" t="s">
        <v>199</v>
      </c>
    </row>
    <row r="6277" spans="1:5" x14ac:dyDescent="0.2">
      <c r="A6277">
        <v>6216</v>
      </c>
      <c r="B6277" s="138">
        <f>'Acct Summary 7-8'!D83</f>
        <v>0.21349434540923903</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9.9802761341222873E-2</v>
      </c>
      <c r="D6279" s="2" t="str">
        <f t="shared" si="97"/>
        <v>Error?</v>
      </c>
      <c r="E6279" s="2" t="s">
        <v>199</v>
      </c>
    </row>
    <row r="6280" spans="1:5" x14ac:dyDescent="0.2">
      <c r="A6280">
        <v>6219</v>
      </c>
      <c r="B6280" s="138">
        <f>'Acct Summary 7-8'!G83</f>
        <v>-0.62355276215679789</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2.911418542225893E-2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24712</v>
      </c>
      <c r="D6983" s="2" t="str">
        <f t="shared" si="108"/>
        <v>Error?</v>
      </c>
    </row>
    <row r="6984" spans="1:4" x14ac:dyDescent="0.2">
      <c r="A6984">
        <v>6923</v>
      </c>
      <c r="B6984" s="138">
        <f>'Expenditures 15-22'!K86</f>
        <v>24712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24712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1125</v>
      </c>
      <c r="D7049" s="2" t="str">
        <f t="shared" si="109"/>
        <v>Error?</v>
      </c>
    </row>
    <row r="7050" spans="1:5" x14ac:dyDescent="0.2">
      <c r="A7050">
        <v>6989</v>
      </c>
      <c r="B7050" s="138">
        <f>'Expenditures 15-22'!K148</f>
        <v>1125</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22117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8287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7" t="s">
        <v>1253</v>
      </c>
      <c r="B2" s="2397"/>
      <c r="C2" s="2397"/>
      <c r="D2" s="2397"/>
      <c r="E2" s="2397"/>
      <c r="F2" s="2397"/>
      <c r="G2" s="2397"/>
      <c r="H2" s="2397"/>
      <c r="I2" s="2397"/>
      <c r="J2" s="2397"/>
      <c r="K2" s="2397"/>
      <c r="L2" s="2397"/>
    </row>
    <row r="3" spans="1:29" ht="13.5" customHeight="1" x14ac:dyDescent="0.2">
      <c r="A3" s="2428" t="s">
        <v>1252</v>
      </c>
      <c r="B3" s="2428"/>
      <c r="C3" s="2428"/>
      <c r="D3" s="2428"/>
      <c r="E3" s="2428"/>
      <c r="F3" s="2428"/>
      <c r="G3" s="2428"/>
      <c r="H3" s="2428"/>
      <c r="I3" s="2428"/>
      <c r="J3" s="2428"/>
      <c r="K3" s="2428"/>
      <c r="L3" s="2428"/>
    </row>
    <row r="4" spans="1:29" ht="13.5" customHeight="1" x14ac:dyDescent="0.2">
      <c r="A4" s="2397" t="s">
        <v>1799</v>
      </c>
      <c r="B4" s="2418"/>
      <c r="C4" s="2418"/>
      <c r="D4" s="2418"/>
      <c r="E4" s="2418"/>
      <c r="F4" s="2418"/>
      <c r="G4" s="2418"/>
      <c r="H4" s="2418"/>
      <c r="I4" s="2418"/>
      <c r="J4" s="2418"/>
      <c r="K4" s="2418"/>
      <c r="L4" s="241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9" t="str">
        <f>COVER!A17</f>
        <v>Irvington CCSD 11</v>
      </c>
      <c r="B7" s="2420"/>
      <c r="C7" s="2420"/>
      <c r="D7" s="2421"/>
      <c r="E7" s="2422">
        <f>COVER!A13</f>
        <v>13095011004</v>
      </c>
      <c r="F7" s="2423"/>
      <c r="G7" s="2429" t="str">
        <f>COVER!T23</f>
        <v>066-005248</v>
      </c>
      <c r="H7" s="2430"/>
      <c r="I7" s="2430"/>
      <c r="J7" s="2430"/>
      <c r="K7" s="2430"/>
      <c r="L7" s="243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2"/>
      <c r="B9" s="2433"/>
      <c r="C9" s="2433"/>
      <c r="D9" s="2433"/>
      <c r="E9" s="2433"/>
      <c r="F9" s="2434"/>
      <c r="G9" s="2403" t="str">
        <f>COVER!T13</f>
        <v>Moore &amp; Simonin, PC</v>
      </c>
      <c r="H9" s="2435"/>
      <c r="I9" s="2435"/>
      <c r="J9" s="2435"/>
      <c r="K9" s="2435"/>
      <c r="L9" s="2436"/>
    </row>
    <row r="10" spans="1:29" ht="13.5" customHeight="1" x14ac:dyDescent="0.2">
      <c r="A10" s="2409">
        <f>COVER!A38</f>
        <v>0</v>
      </c>
      <c r="B10" s="2410"/>
      <c r="C10" s="2410"/>
      <c r="D10" s="2410"/>
      <c r="E10" s="2410"/>
      <c r="F10" s="2411"/>
      <c r="G10" s="2403" t="str">
        <f>COVER!T17</f>
        <v>3636 North Belt West</v>
      </c>
      <c r="H10" s="2404"/>
      <c r="I10" s="2404"/>
      <c r="J10" s="2404"/>
      <c r="K10" s="2404"/>
      <c r="L10" s="2405"/>
    </row>
    <row r="11" spans="1:29" ht="13.5" customHeight="1" x14ac:dyDescent="0.2">
      <c r="A11" s="1185" t="s">
        <v>1599</v>
      </c>
      <c r="B11" s="1186"/>
      <c r="C11" s="1187"/>
      <c r="D11" s="1192"/>
      <c r="E11" s="1187"/>
      <c r="F11" s="1191"/>
      <c r="G11" s="2403" t="str">
        <f>COVER!T19</f>
        <v>Belleville</v>
      </c>
      <c r="H11" s="2404"/>
      <c r="I11" s="2404"/>
      <c r="J11" s="2404"/>
      <c r="K11" s="2404"/>
      <c r="L11" s="2405"/>
    </row>
    <row r="12" spans="1:29" ht="13.5" customHeight="1" x14ac:dyDescent="0.2">
      <c r="A12" s="2412" t="s">
        <v>1598</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1600</v>
      </c>
      <c r="H13" s="2399"/>
      <c r="I13" s="2415" t="str">
        <f>COVER!T25</f>
        <v>mooresimonin@mrsaccountants.com</v>
      </c>
      <c r="J13" s="2416"/>
      <c r="K13" s="2416"/>
      <c r="L13" s="2417"/>
    </row>
    <row r="14" spans="1:29" ht="13.5" customHeight="1" x14ac:dyDescent="0.2">
      <c r="A14" s="2403" t="str">
        <f>COVER!A19</f>
        <v>P.O. Box 130</v>
      </c>
      <c r="B14" s="2404"/>
      <c r="C14" s="2404"/>
      <c r="D14" s="2404"/>
      <c r="E14" s="2404"/>
      <c r="F14" s="2405"/>
      <c r="G14" s="1196" t="s">
        <v>1247</v>
      </c>
      <c r="H14" s="1194"/>
      <c r="I14" s="1194"/>
      <c r="J14" s="1194"/>
      <c r="K14" s="1194"/>
      <c r="L14" s="1195"/>
    </row>
    <row r="15" spans="1:29" ht="13.5" customHeight="1" x14ac:dyDescent="0.2">
      <c r="A15" s="2403" t="str">
        <f>COVER!A21</f>
        <v>Irvington</v>
      </c>
      <c r="B15" s="2404"/>
      <c r="C15" s="2404"/>
      <c r="D15" s="2404"/>
      <c r="E15" s="2404"/>
      <c r="F15" s="2405"/>
      <c r="G15" s="2400" t="str">
        <f>COVER!T15</f>
        <v>Robert E. Moore, CPA</v>
      </c>
      <c r="H15" s="2401"/>
      <c r="I15" s="2401"/>
      <c r="J15" s="2401"/>
      <c r="K15" s="2401"/>
      <c r="L15" s="2402"/>
    </row>
    <row r="16" spans="1:29" ht="12.2" customHeight="1" x14ac:dyDescent="0.2">
      <c r="A16" s="2425">
        <f>COVER!A25</f>
        <v>62848</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6" t="s">
        <v>1246</v>
      </c>
      <c r="H17" s="1194"/>
      <c r="I17" s="1194"/>
      <c r="J17" s="1194"/>
      <c r="K17" s="1198" t="s">
        <v>1245</v>
      </c>
      <c r="L17" s="1191"/>
      <c r="M17" s="1184"/>
    </row>
    <row r="18" spans="1:13" ht="12.2" customHeight="1" x14ac:dyDescent="0.2">
      <c r="A18" s="2409"/>
      <c r="B18" s="2410"/>
      <c r="C18" s="2410"/>
      <c r="D18" s="2410"/>
      <c r="E18" s="2410"/>
      <c r="F18" s="2411"/>
      <c r="G18" s="2419" t="str">
        <f>COVER!T21</f>
        <v>618-233-5049</v>
      </c>
      <c r="H18" s="2420"/>
      <c r="I18" s="2420"/>
      <c r="J18" s="2420"/>
      <c r="K18" s="2419" t="str">
        <f>COVER!X21</f>
        <v>618-233-1061</v>
      </c>
      <c r="L18" s="242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Irvington CCSD 11</v>
      </c>
      <c r="B1" s="2418"/>
      <c r="C1" s="2418"/>
      <c r="D1" s="2418"/>
    </row>
    <row r="2" spans="1:11" s="1215" customFormat="1" ht="12.75" x14ac:dyDescent="0.2">
      <c r="A2" s="2442">
        <f>'Single Audit Cover'!E7</f>
        <v>13095011004</v>
      </c>
      <c r="B2" s="2443"/>
      <c r="C2" s="2443"/>
      <c r="D2" s="2443"/>
    </row>
    <row r="3" spans="1:11" s="1215" customFormat="1" ht="12.75" x14ac:dyDescent="0.2">
      <c r="A3" s="2441" t="s">
        <v>1593</v>
      </c>
      <c r="B3" s="2418"/>
      <c r="C3" s="2418"/>
      <c r="D3" s="241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Irvington CCSD 11</v>
      </c>
      <c r="B1" s="2445"/>
      <c r="C1" s="2445"/>
      <c r="D1" s="2445"/>
      <c r="E1" s="2445"/>
    </row>
    <row r="2" spans="1:5" x14ac:dyDescent="0.2">
      <c r="A2" s="2446">
        <f>'Single Audit Cover'!E7</f>
        <v>13095011004</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81355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3521</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-1999</v>
      </c>
    </row>
    <row r="19" spans="1:4" ht="13.5" thickBot="1" x14ac:dyDescent="0.25">
      <c r="A19" s="1265" t="s">
        <v>1297</v>
      </c>
      <c r="D19" s="1266">
        <f>SUM(D10:D17)</f>
        <v>82877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82877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0</v>
      </c>
    </row>
    <row r="49" spans="2:4" x14ac:dyDescent="0.2">
      <c r="B49" s="1272" t="s">
        <v>1288</v>
      </c>
      <c r="C49" s="1272"/>
      <c r="D49" s="1273">
        <f>D32-D47</f>
        <v>82877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Irvington CCSD 11</v>
      </c>
      <c r="B1" s="2458"/>
      <c r="C1" s="2458"/>
      <c r="D1" s="2458"/>
      <c r="E1" s="2458"/>
      <c r="F1" s="2458"/>
    </row>
    <row r="2" spans="1:7" ht="13.5" customHeight="1" x14ac:dyDescent="0.2">
      <c r="A2" s="2459">
        <f>'Single Audit Cover'!E7</f>
        <v>13095011004</v>
      </c>
      <c r="B2" s="2459"/>
      <c r="C2" s="2459"/>
      <c r="D2" s="2459"/>
      <c r="E2" s="2459"/>
      <c r="F2" s="2459"/>
      <c r="G2" s="1275"/>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6" t="s">
        <v>1831</v>
      </c>
      <c r="C6" s="317"/>
      <c r="D6" s="317"/>
    </row>
    <row r="7" spans="1:7" ht="60.95" customHeight="1" x14ac:dyDescent="0.2">
      <c r="A7" s="2457" t="s">
        <v>1832</v>
      </c>
      <c r="B7" s="2457"/>
      <c r="C7" s="2457"/>
      <c r="D7" s="2457"/>
      <c r="E7" s="2457"/>
      <c r="F7" s="2457"/>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7" t="s">
        <v>1834</v>
      </c>
      <c r="B13" s="2457"/>
      <c r="C13" s="2457"/>
      <c r="D13" s="2457"/>
      <c r="E13" s="2457"/>
      <c r="F13" s="2457"/>
    </row>
    <row r="14" spans="1:7" ht="9.75" customHeight="1" x14ac:dyDescent="0.2">
      <c r="C14" s="1260"/>
      <c r="D14" s="1260"/>
    </row>
    <row r="15" spans="1:7" ht="13.5" customHeight="1" x14ac:dyDescent="0.2">
      <c r="C15" s="1871" t="s">
        <v>1332</v>
      </c>
      <c r="D15" s="2455" t="s">
        <v>1331</v>
      </c>
      <c r="E15" s="2455"/>
      <c r="F15" s="2455"/>
    </row>
    <row r="16" spans="1:7" ht="13.5" customHeight="1" x14ac:dyDescent="0.2">
      <c r="A16" s="1282"/>
      <c r="B16" s="1276" t="s">
        <v>1330</v>
      </c>
      <c r="C16" s="1871" t="s">
        <v>1329</v>
      </c>
      <c r="D16" s="2456" t="s">
        <v>1670</v>
      </c>
      <c r="E16" s="2456"/>
      <c r="F16" s="2456"/>
    </row>
    <row r="17" spans="1:6" ht="20.45" customHeight="1" x14ac:dyDescent="0.2">
      <c r="A17" s="1283"/>
      <c r="B17" s="1284"/>
      <c r="C17" s="1285"/>
      <c r="D17" s="2450"/>
      <c r="E17" s="2450"/>
      <c r="F17" s="2450"/>
    </row>
    <row r="18" spans="1:6" ht="20.65" customHeight="1" x14ac:dyDescent="0.2">
      <c r="A18" s="1283"/>
      <c r="B18" s="1284"/>
      <c r="C18" s="1285"/>
      <c r="D18" s="2450"/>
      <c r="E18" s="2450"/>
      <c r="F18" s="2450"/>
    </row>
    <row r="19" spans="1:6" ht="20.65" customHeight="1" x14ac:dyDescent="0.2">
      <c r="A19" s="1283"/>
      <c r="B19" s="1284"/>
      <c r="C19" s="1285"/>
      <c r="D19" s="2450"/>
      <c r="E19" s="2450"/>
      <c r="F19" s="2450"/>
    </row>
    <row r="20" spans="1:6" ht="20.65" customHeight="1" x14ac:dyDescent="0.2">
      <c r="A20" s="1283"/>
      <c r="B20" s="1284"/>
      <c r="C20" s="1285"/>
      <c r="D20" s="2450"/>
      <c r="E20" s="2450"/>
      <c r="F20" s="2450"/>
    </row>
    <row r="21" spans="1:6" ht="20.65" customHeight="1" x14ac:dyDescent="0.2">
      <c r="A21" s="1283"/>
      <c r="B21" s="1284"/>
      <c r="C21" s="1285"/>
      <c r="D21" s="2450"/>
      <c r="E21" s="2450"/>
      <c r="F21" s="2450"/>
    </row>
    <row r="22" spans="1:6" ht="20.65" customHeight="1" x14ac:dyDescent="0.2">
      <c r="A22" s="1283"/>
      <c r="B22" s="1284"/>
      <c r="C22" s="1285"/>
      <c r="D22" s="2450"/>
      <c r="E22" s="2450"/>
      <c r="F22" s="2450"/>
    </row>
    <row r="23" spans="1:6" ht="20.65" customHeight="1" x14ac:dyDescent="0.2">
      <c r="A23" s="1283"/>
      <c r="B23" s="1284"/>
      <c r="C23" s="1285"/>
      <c r="D23" s="2450"/>
      <c r="E23" s="2450"/>
      <c r="F23" s="2450"/>
    </row>
    <row r="24" spans="1:6" ht="20.65" customHeight="1" x14ac:dyDescent="0.2">
      <c r="A24" s="1283"/>
      <c r="B24" s="1284"/>
      <c r="C24" s="1285"/>
      <c r="D24" s="2450"/>
      <c r="E24" s="2450"/>
      <c r="F24" s="2450"/>
    </row>
    <row r="25" spans="1:6" ht="20.65" customHeight="1" x14ac:dyDescent="0.2">
      <c r="A25" s="1283"/>
      <c r="B25" s="1284"/>
      <c r="C25" s="1285"/>
      <c r="D25" s="2450"/>
      <c r="E25" s="2450"/>
      <c r="F25" s="2450"/>
    </row>
    <row r="26" spans="1:6" ht="20.65" customHeight="1" x14ac:dyDescent="0.2">
      <c r="A26" s="1283"/>
      <c r="B26" s="1284"/>
      <c r="C26" s="1285"/>
      <c r="D26" s="2450"/>
      <c r="E26" s="2450"/>
      <c r="F26" s="2450"/>
    </row>
    <row r="27" spans="1:6" ht="20.65" customHeight="1" x14ac:dyDescent="0.2">
      <c r="A27" s="1283"/>
      <c r="B27" s="1284"/>
      <c r="C27" s="1285"/>
      <c r="D27" s="2450"/>
      <c r="E27" s="2450"/>
      <c r="F27" s="2450"/>
    </row>
    <row r="28" spans="1:6" ht="20.65" customHeight="1" x14ac:dyDescent="0.2">
      <c r="A28" s="1283"/>
      <c r="B28" s="1284"/>
      <c r="C28" s="1285"/>
      <c r="D28" s="2450"/>
      <c r="E28" s="2450"/>
      <c r="F28" s="2450"/>
    </row>
    <row r="29" spans="1:6" ht="20.65" customHeight="1" x14ac:dyDescent="0.2">
      <c r="A29" s="1283"/>
      <c r="B29" s="1284"/>
      <c r="C29" s="1285"/>
      <c r="D29" s="2450"/>
      <c r="E29" s="2450"/>
      <c r="F29" s="2450"/>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1" t="s">
        <v>1835</v>
      </c>
      <c r="B32" s="2451"/>
      <c r="C32" s="2451"/>
      <c r="D32" s="2451"/>
      <c r="E32" s="2451"/>
      <c r="F32" s="2451"/>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2">
        <f>+C33+C34</f>
        <v>0</v>
      </c>
      <c r="F34" s="245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4" t="s">
        <v>1672</v>
      </c>
      <c r="C49" s="2454"/>
      <c r="D49" s="2454"/>
      <c r="E49" s="1399"/>
    </row>
    <row r="50" spans="1:5" s="1300" customFormat="1" ht="3.75" customHeight="1" x14ac:dyDescent="0.2">
      <c r="A50" s="1299"/>
      <c r="B50" s="1870"/>
      <c r="C50" s="1870"/>
      <c r="D50" s="1870"/>
      <c r="E50" s="1399"/>
    </row>
    <row r="51" spans="1:5" s="1300" customFormat="1" ht="20.25" customHeight="1" x14ac:dyDescent="0.2">
      <c r="A51" s="1301">
        <v>6</v>
      </c>
      <c r="B51" s="2449" t="s">
        <v>1632</v>
      </c>
      <c r="C51" s="2449"/>
      <c r="D51" s="2449"/>
    </row>
    <row r="52" spans="1:5" ht="14.25" customHeight="1" x14ac:dyDescent="0.2">
      <c r="A52" s="1301"/>
      <c r="B52" s="2449"/>
      <c r="C52" s="2449"/>
      <c r="D52" s="244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Irvington CCSD 11</v>
      </c>
      <c r="C1" s="2462"/>
      <c r="D1" s="2462"/>
      <c r="E1" s="2462"/>
      <c r="F1" s="2462"/>
      <c r="G1" s="2462"/>
      <c r="H1" s="2462"/>
      <c r="I1" s="2462"/>
      <c r="J1" s="2462"/>
      <c r="K1" s="2462"/>
      <c r="L1" s="2462"/>
      <c r="M1" s="2462"/>
    </row>
    <row r="2" spans="2:14" ht="15" x14ac:dyDescent="0.2">
      <c r="B2" s="2459">
        <f>'Single Audit Cover'!E7</f>
        <v>13095011004</v>
      </c>
      <c r="C2" s="2459"/>
      <c r="D2" s="2459"/>
      <c r="E2" s="2459"/>
      <c r="F2" s="2459"/>
      <c r="G2" s="2459"/>
      <c r="H2" s="2459"/>
      <c r="I2" s="2459"/>
      <c r="J2" s="2459"/>
      <c r="K2" s="2459"/>
      <c r="L2" s="2459"/>
      <c r="M2" s="2459"/>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2078</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Irvington CCSD 11</v>
      </c>
      <c r="C1" s="2477"/>
      <c r="D1" s="2477"/>
      <c r="E1" s="2477"/>
      <c r="F1" s="2477"/>
      <c r="G1" s="2477"/>
      <c r="H1" s="2477"/>
      <c r="I1" s="2477"/>
      <c r="J1" s="1422"/>
    </row>
    <row r="2" spans="2:10" s="317" customFormat="1" ht="12.75" customHeight="1" x14ac:dyDescent="0.2">
      <c r="B2" s="2478">
        <f>'Single Audit Cover'!E7</f>
        <v>13095011004</v>
      </c>
      <c r="C2" s="2479"/>
      <c r="D2" s="2479"/>
      <c r="E2" s="2479"/>
      <c r="F2" s="2479"/>
      <c r="G2" s="2479"/>
      <c r="H2" s="2479"/>
      <c r="I2" s="2479"/>
      <c r="J2" s="1422"/>
    </row>
    <row r="3" spans="2:10" s="317" customFormat="1" ht="12.75" customHeight="1" x14ac:dyDescent="0.2">
      <c r="B3" s="2480" t="s">
        <v>1347</v>
      </c>
      <c r="C3" s="2481"/>
      <c r="D3" s="2481"/>
      <c r="E3" s="2481"/>
      <c r="F3" s="2481"/>
      <c r="G3" s="2481"/>
      <c r="H3" s="2481"/>
      <c r="I3" s="2481"/>
      <c r="J3" s="1423"/>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0" t="s">
        <v>1346</v>
      </c>
      <c r="C7" s="2481"/>
      <c r="D7" s="2481"/>
      <c r="E7" s="2481"/>
      <c r="F7" s="2481"/>
      <c r="G7" s="2481"/>
      <c r="H7" s="2481"/>
      <c r="I7" s="248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2"/>
      <c r="D11" s="248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3"/>
      <c r="E29" s="2483"/>
      <c r="F29" s="2483"/>
      <c r="G29" s="2483"/>
      <c r="H29" s="2483"/>
      <c r="I29" s="2483"/>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4" t="s">
        <v>1854</v>
      </c>
      <c r="D37" s="2485"/>
      <c r="E37" s="2485"/>
      <c r="F37" s="2486"/>
      <c r="G37" s="2484" t="s">
        <v>1674</v>
      </c>
      <c r="H37" s="2485"/>
      <c r="I37" s="2486"/>
    </row>
    <row r="38" spans="2:9" ht="16.5" customHeight="1" x14ac:dyDescent="0.2">
      <c r="B38" s="1444"/>
      <c r="C38" s="2472"/>
      <c r="D38" s="2473"/>
      <c r="E38" s="2473"/>
      <c r="F38" s="2474"/>
      <c r="G38" s="2487"/>
      <c r="H38" s="2488"/>
      <c r="I38" s="2489"/>
    </row>
    <row r="39" spans="2:9" ht="16.5" customHeight="1" x14ac:dyDescent="0.2">
      <c r="B39" s="1444"/>
      <c r="C39" s="2472"/>
      <c r="D39" s="2473"/>
      <c r="E39" s="2473"/>
      <c r="F39" s="2474"/>
      <c r="G39" s="2475"/>
      <c r="H39" s="2475"/>
      <c r="I39" s="2475"/>
    </row>
    <row r="40" spans="2:9" ht="16.5" customHeight="1" x14ac:dyDescent="0.2">
      <c r="B40" s="1444"/>
      <c r="C40" s="2472"/>
      <c r="D40" s="2473"/>
      <c r="E40" s="2473"/>
      <c r="F40" s="2474"/>
      <c r="G40" s="2475"/>
      <c r="H40" s="2475"/>
      <c r="I40" s="2475"/>
    </row>
    <row r="41" spans="2:9" ht="16.5" customHeight="1" x14ac:dyDescent="0.2">
      <c r="B41" s="1444"/>
      <c r="C41" s="2472"/>
      <c r="D41" s="2473"/>
      <c r="E41" s="2473"/>
      <c r="F41" s="2474"/>
      <c r="G41" s="2475"/>
      <c r="H41" s="2475"/>
      <c r="I41" s="2475"/>
    </row>
    <row r="42" spans="2:9" ht="16.5" customHeight="1" x14ac:dyDescent="0.2">
      <c r="B42" s="1444"/>
      <c r="C42" s="2472"/>
      <c r="D42" s="2473"/>
      <c r="E42" s="2473"/>
      <c r="F42" s="2474"/>
      <c r="G42" s="2475"/>
      <c r="H42" s="2475"/>
      <c r="I42" s="2475"/>
    </row>
    <row r="43" spans="2:9" ht="16.5" customHeight="1" x14ac:dyDescent="0.2">
      <c r="B43" s="1444"/>
      <c r="C43" s="2465" t="s">
        <v>1675</v>
      </c>
      <c r="D43" s="2466"/>
      <c r="E43" s="2466"/>
      <c r="F43" s="2467"/>
      <c r="G43" s="2468">
        <f>SUM(G38:I42)</f>
        <v>0</v>
      </c>
      <c r="H43" s="2468"/>
      <c r="I43" s="2468"/>
    </row>
    <row r="44" spans="2:9" ht="12.75" customHeight="1" x14ac:dyDescent="0.2"/>
    <row r="45" spans="2:9" ht="12.75" customHeight="1" x14ac:dyDescent="0.2">
      <c r="B45" s="1435" t="s">
        <v>1951</v>
      </c>
      <c r="D45" s="2469">
        <v>0</v>
      </c>
      <c r="E45" s="247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1"/>
      <c r="F49" s="2471"/>
      <c r="G49" s="247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8"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Irvington CCSD 11</v>
      </c>
      <c r="C1" s="2476"/>
      <c r="D1" s="2476"/>
      <c r="E1" s="2476"/>
      <c r="F1" s="2476"/>
      <c r="G1" s="2476"/>
      <c r="H1" s="2476"/>
      <c r="I1" s="2476"/>
      <c r="J1" s="2476"/>
      <c r="K1" s="2476"/>
      <c r="L1" s="1374"/>
      <c r="M1" s="1374"/>
    </row>
    <row r="2" spans="1:13" ht="12" customHeight="1" x14ac:dyDescent="0.2">
      <c r="B2" s="2478">
        <f>'Single Audit Cover'!E7</f>
        <v>13095011004</v>
      </c>
      <c r="C2" s="2478"/>
      <c r="D2" s="2478"/>
      <c r="E2" s="2478"/>
      <c r="F2" s="2478"/>
      <c r="G2" s="2478"/>
      <c r="H2" s="2478"/>
      <c r="I2" s="2478"/>
      <c r="J2" s="2478"/>
      <c r="K2" s="2478"/>
      <c r="L2" s="1375"/>
      <c r="M2" s="1376"/>
    </row>
    <row r="3" spans="1:13" ht="10.35" customHeight="1" x14ac:dyDescent="0.2">
      <c r="B3" s="2492" t="s">
        <v>1347</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2010</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t="s">
        <v>2093</v>
      </c>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t="s">
        <v>2094</v>
      </c>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t="s">
        <v>2095</v>
      </c>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t="s">
        <v>2096</v>
      </c>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t="s">
        <v>2097</v>
      </c>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t="s">
        <v>2098</v>
      </c>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t="s">
        <v>2099</v>
      </c>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Irvington CCSD 11</v>
      </c>
      <c r="C1" s="2499"/>
      <c r="D1" s="2499"/>
      <c r="E1" s="2499"/>
      <c r="F1" s="2499"/>
      <c r="G1" s="2499"/>
      <c r="H1" s="2499"/>
      <c r="I1" s="2499"/>
      <c r="J1" s="2499"/>
      <c r="K1" s="2499"/>
      <c r="L1" s="1465"/>
    </row>
    <row r="2" spans="1:12" ht="12.75" customHeight="1" x14ac:dyDescent="0.2">
      <c r="B2" s="2500">
        <f>'Single Audit Cover'!E7</f>
        <v>13095011004</v>
      </c>
      <c r="C2" s="2500"/>
      <c r="D2" s="2500"/>
      <c r="E2" s="2500"/>
      <c r="F2" s="2500"/>
      <c r="G2" s="2500"/>
      <c r="H2" s="2500"/>
      <c r="I2" s="2500"/>
      <c r="J2" s="2500"/>
      <c r="K2" s="2500"/>
      <c r="L2" s="1466"/>
    </row>
    <row r="3" spans="1:12" ht="12.75" customHeight="1" x14ac:dyDescent="0.2">
      <c r="B3" s="2492" t="s">
        <v>1347</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3"/>
      <c r="G12" s="2483"/>
      <c r="H12" s="2483"/>
      <c r="I12" s="2483"/>
      <c r="J12" s="2483"/>
      <c r="K12" s="248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6"/>
      <c r="E14" s="2496"/>
      <c r="F14" s="2496"/>
      <c r="H14" s="1475" t="s">
        <v>1370</v>
      </c>
      <c r="I14" s="2497"/>
      <c r="J14" s="2497"/>
      <c r="K14" s="249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7"/>
      <c r="E16" s="2497"/>
      <c r="F16" s="2497"/>
      <c r="G16" s="2497"/>
      <c r="H16" s="2497"/>
      <c r="I16" s="2497"/>
      <c r="J16" s="2497"/>
      <c r="K16" s="2497"/>
      <c r="L16" s="322"/>
    </row>
    <row r="17" spans="2:12" ht="13.5" customHeight="1" x14ac:dyDescent="0.2">
      <c r="B17" s="1387" t="s">
        <v>1368</v>
      </c>
      <c r="C17" s="1387"/>
      <c r="D17" s="2498"/>
      <c r="E17" s="2498"/>
      <c r="F17" s="2498"/>
      <c r="G17" s="2498"/>
      <c r="H17" s="2498"/>
      <c r="I17" s="2498"/>
      <c r="J17" s="2498"/>
      <c r="K17" s="249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1"/>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6" t="str">
        <f>'Single Audit Cover'!A7</f>
        <v>Irvington CCSD 11</v>
      </c>
      <c r="C1" s="2476"/>
      <c r="D1" s="2476"/>
      <c r="E1" s="1491"/>
    </row>
    <row r="2" spans="2:5" s="1282" customFormat="1" ht="12.75" customHeight="1" x14ac:dyDescent="0.2">
      <c r="B2" s="2478">
        <f>'Single Audit Cover'!E7</f>
        <v>13095011004</v>
      </c>
      <c r="C2" s="2478"/>
      <c r="D2" s="2478"/>
      <c r="E2" s="1492"/>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11638806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2.5499999999999998E-2</v>
      </c>
      <c r="E10" s="356" t="s">
        <v>1062</v>
      </c>
      <c r="F10" s="355">
        <v>3.0999999999999999E-3</v>
      </c>
      <c r="G10" s="356" t="s">
        <v>1062</v>
      </c>
      <c r="H10" s="355">
        <v>1.2999999999999999E-3</v>
      </c>
      <c r="I10" s="356" t="s">
        <v>1063</v>
      </c>
      <c r="J10" s="1754">
        <f>ROUND(D10+F10+H10,5)</f>
        <v>2.9899999999999999E-2</v>
      </c>
      <c r="K10" s="222"/>
      <c r="L10" s="355">
        <v>2.9999999999999997E-4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693152</v>
      </c>
      <c r="E16" s="356"/>
      <c r="F16" s="1755">
        <f>SUM('Acct Summary 7-8'!C17,'Acct Summary 7-8'!D17,'Acct Summary 7-8'!F17)</f>
        <v>689589</v>
      </c>
      <c r="G16" s="356"/>
      <c r="H16" s="1755">
        <f>SUM(D16-F16)</f>
        <v>3563</v>
      </c>
      <c r="I16" s="222"/>
      <c r="J16" s="1755">
        <f>SUM('Acct Summary 7-8'!C81,'Acct Summary 7-8'!D81,'Acct Summary 7-8'!F81,'Acct Summary 7-8'!I81)</f>
        <v>241104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803077.61400000006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8" sqref="A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Irvington CCSD 11</v>
      </c>
      <c r="E7" s="391"/>
      <c r="G7" s="252"/>
      <c r="H7" s="387"/>
      <c r="I7" s="387"/>
      <c r="J7" s="387"/>
      <c r="K7" s="387"/>
      <c r="L7" s="329"/>
      <c r="M7" s="329"/>
      <c r="N7" s="329"/>
      <c r="O7" s="329"/>
      <c r="P7" s="329"/>
    </row>
    <row r="8" spans="1:18" ht="12.75" x14ac:dyDescent="0.2">
      <c r="A8" s="329"/>
      <c r="B8" s="329"/>
      <c r="C8" s="389" t="s">
        <v>1187</v>
      </c>
      <c r="D8" s="392">
        <f>COVER!A13</f>
        <v>13095011004</v>
      </c>
      <c r="E8" s="393"/>
      <c r="G8" s="329"/>
      <c r="H8" s="329"/>
      <c r="I8" s="329"/>
      <c r="J8" s="329"/>
      <c r="K8" s="329"/>
      <c r="L8" s="329"/>
      <c r="M8" s="329"/>
      <c r="N8" s="329"/>
      <c r="O8" s="329"/>
      <c r="P8" s="329"/>
    </row>
    <row r="9" spans="1:18" ht="12.75" x14ac:dyDescent="0.2">
      <c r="A9" s="329"/>
      <c r="B9" s="329"/>
      <c r="C9" s="389" t="s">
        <v>737</v>
      </c>
      <c r="D9" s="394" t="str">
        <f>COVER!A15</f>
        <v>Washington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241104</v>
      </c>
      <c r="I12" s="404"/>
      <c r="J12" s="404"/>
      <c r="K12" s="405">
        <f>TRUNC((H12/H13*100000),5)/100000</f>
        <v>0.34783712659999999</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693152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689589</v>
      </c>
      <c r="I17" s="404"/>
      <c r="J17" s="416"/>
      <c r="K17" s="405">
        <f>TRUNC((H17/H18*100000),5)/100000</f>
        <v>0.9948597133</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693152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241117</v>
      </c>
      <c r="I24" s="422"/>
      <c r="J24" s="422"/>
      <c r="K24" s="423">
        <f>TRUNC(((H24/H25*100000)/100000),2)</f>
        <v>125.87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1915.5250000000001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295800.25449000002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803077.61400000006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4" activePane="bottomLeft" state="frozen"/>
      <selection activeCell="A8" sqref="A8"/>
      <selection pane="bottomLeft" activeCell="C4" sqref="C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192217</v>
      </c>
      <c r="D4" s="466">
        <v>26085</v>
      </c>
      <c r="E4" s="466"/>
      <c r="F4" s="466">
        <v>22815</v>
      </c>
      <c r="G4" s="466">
        <v>3023</v>
      </c>
      <c r="H4" s="466"/>
      <c r="I4" s="466"/>
      <c r="J4" s="467"/>
      <c r="K4" s="466">
        <v>4843</v>
      </c>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192217</v>
      </c>
      <c r="D13" s="1759">
        <f t="shared" ref="D13:L13" si="0">SUM(D4:D12)</f>
        <v>26085</v>
      </c>
      <c r="E13" s="1759">
        <f t="shared" si="0"/>
        <v>0</v>
      </c>
      <c r="F13" s="1759">
        <f t="shared" si="0"/>
        <v>22815</v>
      </c>
      <c r="G13" s="1759">
        <f t="shared" si="0"/>
        <v>3023</v>
      </c>
      <c r="H13" s="1759">
        <f t="shared" si="0"/>
        <v>0</v>
      </c>
      <c r="I13" s="1759">
        <f t="shared" si="0"/>
        <v>0</v>
      </c>
      <c r="J13" s="1759">
        <f t="shared" si="0"/>
        <v>0</v>
      </c>
      <c r="K13" s="1759">
        <f t="shared" si="0"/>
        <v>4843</v>
      </c>
      <c r="L13" s="1759">
        <f t="shared" si="0"/>
        <v>0</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2300</v>
      </c>
      <c r="N16" s="484"/>
    </row>
    <row r="17" spans="1:14" s="485" customFormat="1" ht="12.75" customHeight="1" x14ac:dyDescent="0.2">
      <c r="A17" s="482" t="s">
        <v>1470</v>
      </c>
      <c r="B17" s="483">
        <v>230</v>
      </c>
      <c r="C17" s="477"/>
      <c r="D17" s="477"/>
      <c r="E17" s="477"/>
      <c r="F17" s="477"/>
      <c r="G17" s="477"/>
      <c r="H17" s="477"/>
      <c r="I17" s="477"/>
      <c r="J17" s="477"/>
      <c r="K17" s="477"/>
      <c r="L17" s="477"/>
      <c r="M17" s="467">
        <v>552392</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161487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716179</v>
      </c>
      <c r="N23" s="1710">
        <f>SUM(N21:N22)</f>
        <v>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13</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13</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v>15277</v>
      </c>
      <c r="H38" s="466"/>
      <c r="I38" s="466"/>
      <c r="J38" s="467"/>
      <c r="K38" s="466"/>
      <c r="L38" s="481"/>
      <c r="M38" s="497"/>
      <c r="N38" s="497"/>
    </row>
    <row r="39" spans="1:14" s="329" customFormat="1" ht="13.5" customHeight="1" x14ac:dyDescent="0.2">
      <c r="A39" s="496" t="s">
        <v>360</v>
      </c>
      <c r="B39" s="483">
        <v>730</v>
      </c>
      <c r="C39" s="466">
        <v>192204</v>
      </c>
      <c r="D39" s="466">
        <v>26085</v>
      </c>
      <c r="E39" s="466"/>
      <c r="F39" s="466">
        <v>22815</v>
      </c>
      <c r="G39" s="466">
        <v>-12254</v>
      </c>
      <c r="H39" s="466"/>
      <c r="I39" s="466"/>
      <c r="J39" s="467"/>
      <c r="K39" s="466">
        <v>4843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716179</v>
      </c>
      <c r="N40" s="497"/>
    </row>
    <row r="41" spans="1:14" ht="13.5" customHeight="1" thickBot="1" x14ac:dyDescent="0.25">
      <c r="A41" s="1758" t="s">
        <v>676</v>
      </c>
      <c r="B41" s="1728"/>
      <c r="C41" s="1710">
        <f>(SUM(C34,C37,C38,C39))</f>
        <v>192217</v>
      </c>
      <c r="D41" s="1710">
        <f t="shared" ref="D41:L41" si="2">SUM(D34,D37,D38:D39)</f>
        <v>26085</v>
      </c>
      <c r="E41" s="1710">
        <f t="shared" si="2"/>
        <v>0</v>
      </c>
      <c r="F41" s="1710">
        <f t="shared" si="2"/>
        <v>22815</v>
      </c>
      <c r="G41" s="1710">
        <f t="shared" si="2"/>
        <v>3023</v>
      </c>
      <c r="H41" s="1710">
        <f t="shared" si="2"/>
        <v>0</v>
      </c>
      <c r="I41" s="1710">
        <f t="shared" si="2"/>
        <v>0</v>
      </c>
      <c r="J41" s="1710">
        <f t="shared" si="2"/>
        <v>0</v>
      </c>
      <c r="K41" s="1710">
        <f t="shared" si="2"/>
        <v>4843</v>
      </c>
      <c r="L41" s="1710">
        <f t="shared" si="2"/>
        <v>0</v>
      </c>
      <c r="M41" s="1710">
        <f>SUM(M40)</f>
        <v>716179</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&amp;L&amp;8See notes.
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9" activePane="bottomLeft" state="frozenSplit"/>
      <selection activeCell="A8" sqref="A8"/>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1954" t="s">
        <v>1579</v>
      </c>
      <c r="B4" s="1955">
        <v>1000</v>
      </c>
      <c r="C4" s="1764">
        <f>'Revenues 9-14'!C109</f>
        <v>315656</v>
      </c>
      <c r="D4" s="1764">
        <f>'Revenues 9-14'!D109</f>
        <v>38938</v>
      </c>
      <c r="E4" s="1764">
        <f>'Revenues 9-14'!E109</f>
        <v>0</v>
      </c>
      <c r="F4" s="1764">
        <f>'Revenues 9-14'!F109</f>
        <v>14363</v>
      </c>
      <c r="G4" s="1764">
        <f>'Revenues 9-14'!G109</f>
        <v>24158</v>
      </c>
      <c r="H4" s="1764">
        <f>'Revenues 9-14'!H109</f>
        <v>0</v>
      </c>
      <c r="I4" s="1764">
        <f>'Revenues 9-14'!I109</f>
        <v>3799</v>
      </c>
      <c r="J4" s="1764">
        <f>'Revenues 9-14'!J109</f>
        <v>0</v>
      </c>
      <c r="K4" s="1764">
        <f>'Revenues 9-14'!K109</f>
        <v>5524</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229679</v>
      </c>
      <c r="D6" s="1765">
        <f>'Revenues 9-14'!D173</f>
        <v>0</v>
      </c>
      <c r="E6" s="1765">
        <f>'Revenues 9-14'!E173</f>
        <v>0</v>
      </c>
      <c r="F6" s="1765">
        <f>'Revenues 9-14'!F173</f>
        <v>10288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80429</v>
      </c>
      <c r="D7" s="1765">
        <f>'Revenues 9-14'!D274</f>
        <v>0</v>
      </c>
      <c r="E7" s="1765">
        <f>'Revenues 9-14'!E274</f>
        <v>0</v>
      </c>
      <c r="F7" s="1765">
        <f>'Revenues 9-14'!F274</f>
        <v>0</v>
      </c>
      <c r="G7" s="1765">
        <f>'Revenues 9-14'!G274</f>
        <v>926</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625764</v>
      </c>
      <c r="D8" s="1710">
        <f t="shared" ref="D8:K8" si="0">SUM(D4:D7)</f>
        <v>38938</v>
      </c>
      <c r="E8" s="1710">
        <f t="shared" si="0"/>
        <v>0</v>
      </c>
      <c r="F8" s="1710">
        <f t="shared" si="0"/>
        <v>24651</v>
      </c>
      <c r="G8" s="1710">
        <f t="shared" si="0"/>
        <v>25084</v>
      </c>
      <c r="H8" s="1710">
        <f t="shared" si="0"/>
        <v>0</v>
      </c>
      <c r="I8" s="1710">
        <f t="shared" si="0"/>
        <v>3799</v>
      </c>
      <c r="J8" s="1710">
        <f t="shared" si="0"/>
        <v>0</v>
      </c>
      <c r="K8" s="1710">
        <f t="shared" si="0"/>
        <v>5524</v>
      </c>
      <c r="L8" s="347"/>
    </row>
    <row r="9" spans="1:13" ht="15.75" thickTop="1" x14ac:dyDescent="0.2">
      <c r="A9" s="514" t="s">
        <v>1752</v>
      </c>
      <c r="B9" s="515">
        <v>3998</v>
      </c>
      <c r="C9" s="481">
        <v>236284</v>
      </c>
      <c r="D9" s="516"/>
      <c r="E9" s="481"/>
      <c r="F9" s="481"/>
      <c r="G9" s="517"/>
      <c r="H9" s="481"/>
      <c r="I9" s="509" t="s">
        <v>1231</v>
      </c>
      <c r="J9" s="478"/>
      <c r="K9" s="481"/>
      <c r="L9" s="347"/>
    </row>
    <row r="10" spans="1:13" s="519" customFormat="1" ht="13.5" thickBot="1" x14ac:dyDescent="0.25">
      <c r="A10" s="1758" t="s">
        <v>1235</v>
      </c>
      <c r="B10" s="1731"/>
      <c r="C10" s="1710">
        <f>SUM(C8:C9)</f>
        <v>862048</v>
      </c>
      <c r="D10" s="1710">
        <f t="shared" ref="D10:K10" si="1">SUM(D8:D9)</f>
        <v>38938</v>
      </c>
      <c r="E10" s="1710">
        <f t="shared" si="1"/>
        <v>0</v>
      </c>
      <c r="F10" s="1710">
        <f t="shared" si="1"/>
        <v>24651</v>
      </c>
      <c r="G10" s="1710">
        <f t="shared" si="1"/>
        <v>25084</v>
      </c>
      <c r="H10" s="1710">
        <f t="shared" si="1"/>
        <v>0</v>
      </c>
      <c r="I10" s="1710">
        <f t="shared" si="1"/>
        <v>3799</v>
      </c>
      <c r="J10" s="1710">
        <f t="shared" si="1"/>
        <v>0</v>
      </c>
      <c r="K10" s="1710">
        <f t="shared" si="1"/>
        <v>5524</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394171</v>
      </c>
      <c r="D12" s="520" t="s">
        <v>1231</v>
      </c>
      <c r="E12" s="468" t="s">
        <v>1231</v>
      </c>
      <c r="F12" s="468" t="s">
        <v>1231</v>
      </c>
      <c r="G12" s="1764">
        <f>'Expenditures 15-22'!K229</f>
        <v>9530</v>
      </c>
      <c r="H12" s="521"/>
      <c r="I12" s="468" t="s">
        <v>1231</v>
      </c>
      <c r="J12" s="468" t="s">
        <v>1231</v>
      </c>
      <c r="K12" s="521" t="s">
        <v>1231</v>
      </c>
      <c r="L12" s="347"/>
    </row>
    <row r="13" spans="1:13" ht="15.75" customHeight="1" x14ac:dyDescent="0.2">
      <c r="A13" s="1598" t="s">
        <v>477</v>
      </c>
      <c r="B13" s="1600">
        <v>2000</v>
      </c>
      <c r="C13" s="1765">
        <f>'Expenditures 15-22'!K74</f>
        <v>224513</v>
      </c>
      <c r="D13" s="1765">
        <f>'Expenditures 15-22'!K129</f>
        <v>22694</v>
      </c>
      <c r="E13" s="469" t="s">
        <v>1231</v>
      </c>
      <c r="F13" s="1765">
        <f>'Expenditures 15-22'!K184</f>
        <v>22374</v>
      </c>
      <c r="G13" s="1765">
        <f>'Expenditures 15-22'!K279</f>
        <v>17439</v>
      </c>
      <c r="H13" s="1765">
        <f>'Expenditures 15-22'!K303</f>
        <v>0</v>
      </c>
      <c r="I13" s="468" t="s">
        <v>1231</v>
      </c>
      <c r="J13" s="1765">
        <f>'Expenditures 15-22'!K330</f>
        <v>0</v>
      </c>
      <c r="K13" s="1769">
        <f>'Expenditures 15-22'!K352</f>
        <v>5383</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24712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1125</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643396</v>
      </c>
      <c r="D17" s="1710">
        <f t="shared" si="2"/>
        <v>23819</v>
      </c>
      <c r="E17" s="1710">
        <f t="shared" si="2"/>
        <v>0</v>
      </c>
      <c r="F17" s="1710">
        <f t="shared" si="2"/>
        <v>22374</v>
      </c>
      <c r="G17" s="1710">
        <f t="shared" si="2"/>
        <v>26969</v>
      </c>
      <c r="H17" s="1710">
        <f t="shared" si="2"/>
        <v>0</v>
      </c>
      <c r="I17" s="468"/>
      <c r="J17" s="1710">
        <f>SUM(J12:J16)</f>
        <v>0</v>
      </c>
      <c r="K17" s="1710">
        <f>SUM(K12:K16)</f>
        <v>5383</v>
      </c>
      <c r="L17" s="347"/>
    </row>
    <row r="18" spans="1:12" ht="15" customHeight="1" thickTop="1" x14ac:dyDescent="0.2">
      <c r="A18" s="1766" t="s">
        <v>1753</v>
      </c>
      <c r="B18" s="1767">
        <v>4180</v>
      </c>
      <c r="C18" s="1764">
        <f t="shared" ref="C18:H18" si="3">C9</f>
        <v>236284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879680</v>
      </c>
      <c r="D19" s="1710">
        <f t="shared" si="4"/>
        <v>23819</v>
      </c>
      <c r="E19" s="1710">
        <f t="shared" si="4"/>
        <v>0</v>
      </c>
      <c r="F19" s="1710">
        <f t="shared" si="4"/>
        <v>22374</v>
      </c>
      <c r="G19" s="1710">
        <f t="shared" si="4"/>
        <v>26969</v>
      </c>
      <c r="H19" s="1710">
        <f t="shared" si="4"/>
        <v>0</v>
      </c>
      <c r="I19" s="468"/>
      <c r="J19" s="1710">
        <f>SUM(J17:J18)</f>
        <v>0</v>
      </c>
      <c r="K19" s="1710">
        <f>SUM(K17:K18)</f>
        <v>5383</v>
      </c>
      <c r="L19" s="347"/>
    </row>
    <row r="20" spans="1:12" ht="16.5" thickTop="1" thickBot="1" x14ac:dyDescent="0.25">
      <c r="A20" s="2142" t="s">
        <v>1754</v>
      </c>
      <c r="B20" s="2143"/>
      <c r="C20" s="1768">
        <f>C8-C17</f>
        <v>-17632</v>
      </c>
      <c r="D20" s="1768">
        <f t="shared" ref="D20:K20" si="5">D8-D17</f>
        <v>15119</v>
      </c>
      <c r="E20" s="1768">
        <f t="shared" si="5"/>
        <v>0</v>
      </c>
      <c r="F20" s="1768">
        <f t="shared" si="5"/>
        <v>2277</v>
      </c>
      <c r="G20" s="1768">
        <f t="shared" si="5"/>
        <v>-1885</v>
      </c>
      <c r="H20" s="1768">
        <f t="shared" si="5"/>
        <v>0</v>
      </c>
      <c r="I20" s="1768">
        <f t="shared" si="5"/>
        <v>3799</v>
      </c>
      <c r="J20" s="1768">
        <f t="shared" si="5"/>
        <v>0</v>
      </c>
      <c r="K20" s="1768">
        <f t="shared" si="5"/>
        <v>141</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v>3799</v>
      </c>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v>20450</v>
      </c>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5">
        <f>SUM(C24:C43)</f>
        <v>3799</v>
      </c>
      <c r="D44" s="1725">
        <f t="shared" ref="D44:K44" si="6">SUM(D24:D43)</f>
        <v>20450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3799</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20450</v>
      </c>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v>30000</v>
      </c>
      <c r="E75" s="530"/>
      <c r="F75" s="532"/>
      <c r="G75" s="532"/>
      <c r="H75" s="532"/>
      <c r="I75" s="530"/>
      <c r="J75" s="530"/>
      <c r="K75" s="532"/>
      <c r="L75" s="524"/>
    </row>
    <row r="76" spans="1:12" s="485" customFormat="1" ht="14.25" thickTop="1" thickBot="1" x14ac:dyDescent="0.25">
      <c r="A76" s="2132" t="s">
        <v>460</v>
      </c>
      <c r="B76" s="2133"/>
      <c r="C76" s="1725">
        <f t="shared" ref="C76:K76" si="7">SUM(C47:C75)</f>
        <v>20450</v>
      </c>
      <c r="D76" s="1725">
        <f t="shared" si="7"/>
        <v>30000</v>
      </c>
      <c r="E76" s="1725">
        <f t="shared" si="7"/>
        <v>0</v>
      </c>
      <c r="F76" s="1725">
        <f t="shared" si="7"/>
        <v>0</v>
      </c>
      <c r="G76" s="1725">
        <f t="shared" si="7"/>
        <v>0</v>
      </c>
      <c r="H76" s="1725">
        <f t="shared" si="7"/>
        <v>0</v>
      </c>
      <c r="I76" s="1725">
        <f t="shared" si="7"/>
        <v>3799</v>
      </c>
      <c r="J76" s="1725">
        <f t="shared" si="7"/>
        <v>0</v>
      </c>
      <c r="K76" s="1725">
        <f t="shared" si="7"/>
        <v>0</v>
      </c>
      <c r="L76" s="524"/>
    </row>
    <row r="77" spans="1:12" ht="14.25" thickTop="1" thickBot="1" x14ac:dyDescent="0.25">
      <c r="A77" s="2134" t="s">
        <v>1239</v>
      </c>
      <c r="B77" s="2135"/>
      <c r="C77" s="1725">
        <f t="shared" ref="C77:K77" si="8">C44-C76</f>
        <v>-16651</v>
      </c>
      <c r="D77" s="1725">
        <f t="shared" si="8"/>
        <v>-9550</v>
      </c>
      <c r="E77" s="1725">
        <f t="shared" si="8"/>
        <v>0</v>
      </c>
      <c r="F77" s="1725">
        <f t="shared" si="8"/>
        <v>0</v>
      </c>
      <c r="G77" s="1725">
        <f t="shared" si="8"/>
        <v>0</v>
      </c>
      <c r="H77" s="1725">
        <f t="shared" si="8"/>
        <v>0</v>
      </c>
      <c r="I77" s="1725">
        <f t="shared" si="8"/>
        <v>-3799</v>
      </c>
      <c r="J77" s="1725">
        <f t="shared" si="8"/>
        <v>0</v>
      </c>
      <c r="K77" s="1725">
        <f t="shared" si="8"/>
        <v>0</v>
      </c>
      <c r="L77" s="347"/>
    </row>
    <row r="78" spans="1:12" ht="21.75" customHeight="1" thickTop="1" thickBot="1" x14ac:dyDescent="0.25">
      <c r="A78" s="2138" t="s">
        <v>618</v>
      </c>
      <c r="B78" s="2139"/>
      <c r="C78" s="1724">
        <f t="shared" ref="C78:K78" si="9">C20+C77</f>
        <v>-34283</v>
      </c>
      <c r="D78" s="1724">
        <f t="shared" si="9"/>
        <v>5569</v>
      </c>
      <c r="E78" s="1724">
        <f t="shared" si="9"/>
        <v>0</v>
      </c>
      <c r="F78" s="1724">
        <f t="shared" si="9"/>
        <v>2277</v>
      </c>
      <c r="G78" s="1724">
        <f t="shared" si="9"/>
        <v>-1885</v>
      </c>
      <c r="H78" s="1724">
        <f t="shared" si="9"/>
        <v>0</v>
      </c>
      <c r="I78" s="1724">
        <f t="shared" si="9"/>
        <v>0</v>
      </c>
      <c r="J78" s="1724">
        <f t="shared" si="9"/>
        <v>0</v>
      </c>
      <c r="K78" s="1724">
        <f t="shared" si="9"/>
        <v>141</v>
      </c>
      <c r="L78" s="533"/>
    </row>
    <row r="79" spans="1:12" ht="13.5" thickTop="1" x14ac:dyDescent="0.2">
      <c r="A79" s="1516" t="s">
        <v>2071</v>
      </c>
      <c r="B79" s="534"/>
      <c r="C79" s="478">
        <v>226487</v>
      </c>
      <c r="D79" s="535">
        <v>20516</v>
      </c>
      <c r="E79" s="535"/>
      <c r="F79" s="535">
        <v>20538</v>
      </c>
      <c r="G79" s="535">
        <v>4908</v>
      </c>
      <c r="H79" s="535"/>
      <c r="I79" s="535"/>
      <c r="J79" s="535"/>
      <c r="K79" s="535">
        <v>4702</v>
      </c>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2072</v>
      </c>
      <c r="B81" s="2137"/>
      <c r="C81" s="1710">
        <f>(SUM(C78:C80))</f>
        <v>192204</v>
      </c>
      <c r="D81" s="1710">
        <f>SUM(D78:D80)</f>
        <v>26085</v>
      </c>
      <c r="E81" s="1710">
        <f t="shared" ref="E81:K81" si="10">SUM(E78:E80)</f>
        <v>0</v>
      </c>
      <c r="F81" s="1710">
        <f t="shared" si="10"/>
        <v>22815</v>
      </c>
      <c r="G81" s="1710">
        <f t="shared" si="10"/>
        <v>3023</v>
      </c>
      <c r="H81" s="1710">
        <f t="shared" si="10"/>
        <v>0</v>
      </c>
      <c r="I81" s="1710">
        <f t="shared" si="10"/>
        <v>0</v>
      </c>
      <c r="J81" s="1710">
        <f t="shared" si="10"/>
        <v>0</v>
      </c>
      <c r="K81" s="1710">
        <f t="shared" si="10"/>
        <v>4843</v>
      </c>
      <c r="L81" s="347"/>
    </row>
    <row r="82" spans="1:12" ht="0.75" customHeight="1" thickTop="1" thickBot="1" x14ac:dyDescent="0.25">
      <c r="A82" s="536" t="s">
        <v>361</v>
      </c>
      <c r="B82" s="537"/>
      <c r="C82" s="538">
        <f>(C81-C79)</f>
        <v>-34283</v>
      </c>
      <c r="D82" s="538">
        <f t="shared" ref="D82:K82" si="11">(D81-D79)</f>
        <v>5569</v>
      </c>
      <c r="E82" s="538">
        <f t="shared" si="11"/>
        <v>0</v>
      </c>
      <c r="F82" s="538">
        <f t="shared" si="11"/>
        <v>2277</v>
      </c>
      <c r="G82" s="538">
        <f t="shared" si="11"/>
        <v>-1885</v>
      </c>
      <c r="H82" s="538">
        <f t="shared" si="11"/>
        <v>0</v>
      </c>
      <c r="I82" s="538">
        <f t="shared" si="11"/>
        <v>0</v>
      </c>
      <c r="J82" s="538">
        <f t="shared" si="11"/>
        <v>0</v>
      </c>
      <c r="K82" s="538">
        <f t="shared" si="11"/>
        <v>141</v>
      </c>
    </row>
    <row r="83" spans="1:12" ht="14.25" hidden="1" thickTop="1" thickBot="1" x14ac:dyDescent="0.25">
      <c r="A83" s="539" t="s">
        <v>362</v>
      </c>
      <c r="B83" s="464"/>
      <c r="C83" s="540">
        <f>C82/C81</f>
        <v>-0.17836777590476785</v>
      </c>
      <c r="D83" s="540">
        <f t="shared" ref="D83:K83" si="12">D82/D81</f>
        <v>0.21349434540923903</v>
      </c>
      <c r="E83" s="540" t="e">
        <f t="shared" si="12"/>
        <v>#DIV/0!</v>
      </c>
      <c r="F83" s="540">
        <f t="shared" si="12"/>
        <v>9.9802761341222873E-2</v>
      </c>
      <c r="G83" s="540">
        <f t="shared" si="12"/>
        <v>-0.62355276215679789</v>
      </c>
      <c r="H83" s="540" t="e">
        <f t="shared" si="12"/>
        <v>#DIV/0!</v>
      </c>
      <c r="I83" s="540" t="e">
        <f t="shared" si="12"/>
        <v>#DIV/0!</v>
      </c>
      <c r="J83" s="540" t="e">
        <f t="shared" si="12"/>
        <v>#DIV/0!</v>
      </c>
      <c r="K83" s="540">
        <f t="shared" si="12"/>
        <v>2.911418542225893E-2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&amp;L&amp;8See notes.
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8" sqref="A8"/>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286238</v>
      </c>
      <c r="D5" s="481">
        <v>37639</v>
      </c>
      <c r="E5" s="466"/>
      <c r="F5" s="548">
        <v>14363</v>
      </c>
      <c r="G5" s="466">
        <v>1647</v>
      </c>
      <c r="H5" s="466"/>
      <c r="I5" s="466">
        <v>3799</v>
      </c>
      <c r="J5" s="467"/>
      <c r="K5" s="466">
        <v>5524</v>
      </c>
    </row>
    <row r="6" spans="1:12" ht="15" x14ac:dyDescent="0.2">
      <c r="A6" s="463" t="s">
        <v>1761</v>
      </c>
      <c r="B6" s="470">
        <v>1130</v>
      </c>
      <c r="C6" s="466"/>
      <c r="D6" s="466"/>
      <c r="E6" s="475"/>
      <c r="F6" s="475"/>
      <c r="G6" s="468"/>
      <c r="H6" s="468"/>
      <c r="I6" s="468"/>
      <c r="J6" s="468"/>
      <c r="K6" s="468"/>
    </row>
    <row r="7" spans="1:12" x14ac:dyDescent="0.2">
      <c r="A7" s="463" t="s">
        <v>112</v>
      </c>
      <c r="B7" s="549">
        <v>1140</v>
      </c>
      <c r="C7" s="466">
        <v>8287</v>
      </c>
      <c r="D7" s="466"/>
      <c r="E7" s="468"/>
      <c r="F7" s="467"/>
      <c r="G7" s="467"/>
      <c r="H7" s="467"/>
      <c r="I7" s="468"/>
      <c r="J7" s="468"/>
      <c r="K7" s="468"/>
    </row>
    <row r="8" spans="1:12" x14ac:dyDescent="0.2">
      <c r="A8" s="463" t="s">
        <v>433</v>
      </c>
      <c r="B8" s="470">
        <v>1150</v>
      </c>
      <c r="C8" s="475"/>
      <c r="D8" s="475"/>
      <c r="E8" s="477"/>
      <c r="F8" s="477"/>
      <c r="G8" s="481">
        <v>1647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294525</v>
      </c>
      <c r="D12" s="1729">
        <f t="shared" si="0"/>
        <v>37639</v>
      </c>
      <c r="E12" s="1729">
        <f t="shared" si="0"/>
        <v>0</v>
      </c>
      <c r="F12" s="1729">
        <f t="shared" si="0"/>
        <v>14363</v>
      </c>
      <c r="G12" s="1729">
        <f t="shared" si="0"/>
        <v>3294</v>
      </c>
      <c r="H12" s="1729">
        <f t="shared" si="0"/>
        <v>0</v>
      </c>
      <c r="I12" s="1729">
        <f t="shared" si="0"/>
        <v>3799</v>
      </c>
      <c r="J12" s="1729">
        <f t="shared" si="0"/>
        <v>0</v>
      </c>
      <c r="K12" s="1710">
        <f t="shared" si="0"/>
        <v>5524</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v>20864</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20864</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911</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911</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195</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195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2417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2417</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910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910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700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14870</v>
      </c>
      <c r="D99" s="466">
        <v>1299</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1128</v>
      </c>
      <c r="D107" s="466"/>
      <c r="E107" s="466"/>
      <c r="F107" s="466"/>
      <c r="G107" s="466"/>
      <c r="H107" s="466"/>
      <c r="I107" s="466"/>
      <c r="J107" s="467"/>
      <c r="K107" s="466"/>
    </row>
    <row r="108" spans="1:12" ht="12.75" customHeight="1" thickBot="1" x14ac:dyDescent="0.25">
      <c r="A108" s="1730" t="s">
        <v>508</v>
      </c>
      <c r="B108" s="1734"/>
      <c r="C108" s="1729">
        <f>SUM(C95:C107)</f>
        <v>16698</v>
      </c>
      <c r="D108" s="1729">
        <f t="shared" ref="D108:K108" si="3">SUM(D95:D107)</f>
        <v>1299</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315656</v>
      </c>
      <c r="D109" s="1737">
        <f t="shared" si="4"/>
        <v>38938</v>
      </c>
      <c r="E109" s="1737">
        <f t="shared" si="4"/>
        <v>0</v>
      </c>
      <c r="F109" s="1737">
        <f t="shared" si="4"/>
        <v>14363</v>
      </c>
      <c r="G109" s="1737">
        <f t="shared" si="4"/>
        <v>24158</v>
      </c>
      <c r="H109" s="1737">
        <f t="shared" si="4"/>
        <v>0</v>
      </c>
      <c r="I109" s="1737">
        <f t="shared" si="4"/>
        <v>3799</v>
      </c>
      <c r="J109" s="1737">
        <f t="shared" si="4"/>
        <v>0</v>
      </c>
      <c r="K109" s="1724">
        <f t="shared" si="4"/>
        <v>5524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218728</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218728</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4528</v>
      </c>
      <c r="D125" s="561"/>
      <c r="E125" s="468"/>
      <c r="F125" s="466"/>
      <c r="G125" s="468"/>
      <c r="H125" s="468"/>
      <c r="I125" s="468"/>
      <c r="J125" s="468"/>
      <c r="K125" s="468"/>
    </row>
    <row r="126" spans="1:11" ht="12.75" customHeight="1" x14ac:dyDescent="0.2">
      <c r="A126" s="463" t="s">
        <v>922</v>
      </c>
      <c r="B126" s="562">
        <v>3110</v>
      </c>
      <c r="C126" s="551">
        <v>5800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10328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623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6215</v>
      </c>
      <c r="G151" s="467"/>
      <c r="H151" s="468"/>
      <c r="I151" s="468"/>
      <c r="J151" s="468"/>
      <c r="K151" s="468"/>
    </row>
    <row r="152" spans="1:11" ht="12.75" customHeight="1" x14ac:dyDescent="0.2">
      <c r="A152" s="463" t="s">
        <v>1117</v>
      </c>
      <c r="B152" s="562">
        <v>3510</v>
      </c>
      <c r="C152" s="551"/>
      <c r="D152" s="466"/>
      <c r="E152" s="561"/>
      <c r="F152" s="466">
        <v>4073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10288</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0" t="s">
        <v>418</v>
      </c>
      <c r="B172" s="2161"/>
      <c r="C172" s="1744">
        <f t="shared" ref="C172:K172" si="6">SUM(C131,C140,C144,C145:C149,C154,C155:C170,C171)</f>
        <v>10951</v>
      </c>
      <c r="D172" s="1744">
        <f t="shared" si="6"/>
        <v>0</v>
      </c>
      <c r="E172" s="1744">
        <f t="shared" si="6"/>
        <v>0</v>
      </c>
      <c r="F172" s="1744">
        <f t="shared" si="6"/>
        <v>10288</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229679</v>
      </c>
      <c r="D173" s="1737">
        <f>SUM(D121,D172)</f>
        <v>0</v>
      </c>
      <c r="E173" s="1737">
        <f>SUM(E121,E172)</f>
        <v>0</v>
      </c>
      <c r="F173" s="1737">
        <f t="shared" ref="F173:K173" si="7">SUM(F121,F172)</f>
        <v>10288</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6003</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6003</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27331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12224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39555</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26007</v>
      </c>
      <c r="D203" s="466"/>
      <c r="E203" s="468"/>
      <c r="F203" s="466"/>
      <c r="G203" s="466">
        <v>926</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26007</v>
      </c>
      <c r="D211" s="1729">
        <f>SUM(D203:D210)</f>
        <v>0</v>
      </c>
      <c r="E211" s="468"/>
      <c r="F211" s="1729">
        <f>SUM(F203:F210)</f>
        <v>0</v>
      </c>
      <c r="G211" s="1729">
        <f>SUM(G203:G210)</f>
        <v>926</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1792</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1792</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5073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1999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80429</v>
      </c>
      <c r="D273" s="1737">
        <f t="shared" si="10"/>
        <v>0</v>
      </c>
      <c r="E273" s="1737">
        <f t="shared" si="10"/>
        <v>0</v>
      </c>
      <c r="F273" s="1737">
        <f t="shared" si="10"/>
        <v>0</v>
      </c>
      <c r="G273" s="1737">
        <f t="shared" si="10"/>
        <v>926</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80429</v>
      </c>
      <c r="D274" s="1737">
        <f>SUM(D178,D184,D273)</f>
        <v>0</v>
      </c>
      <c r="E274" s="1737">
        <f>SUM(E178,E273)</f>
        <v>0</v>
      </c>
      <c r="F274" s="1737">
        <f t="shared" ref="F274:K274" si="11">SUM(F178,F184,F273)</f>
        <v>0</v>
      </c>
      <c r="G274" s="1737">
        <f t="shared" si="11"/>
        <v>926</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625764</v>
      </c>
      <c r="D275" s="1737">
        <f t="shared" si="12"/>
        <v>38938</v>
      </c>
      <c r="E275" s="1737">
        <f t="shared" si="12"/>
        <v>0</v>
      </c>
      <c r="F275" s="1737">
        <f t="shared" si="12"/>
        <v>24651</v>
      </c>
      <c r="G275" s="1737">
        <f t="shared" si="12"/>
        <v>25084</v>
      </c>
      <c r="H275" s="1737">
        <f t="shared" si="12"/>
        <v>0</v>
      </c>
      <c r="I275" s="1737">
        <f t="shared" si="12"/>
        <v>3799</v>
      </c>
      <c r="J275" s="1737">
        <f t="shared" si="12"/>
        <v>0</v>
      </c>
      <c r="K275" s="1724">
        <f t="shared" si="12"/>
        <v>5524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&amp;L&amp;8See notes.
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 activePane="bottomLeft" state="frozen"/>
      <selection activeCell="A8" sqref="A8"/>
      <selection pane="bottomLeft" activeCell="C5" sqref="C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8" t="s">
        <v>315</v>
      </c>
      <c r="B3" s="217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225609</v>
      </c>
      <c r="D5" s="466">
        <v>57988</v>
      </c>
      <c r="E5" s="466">
        <v>10740</v>
      </c>
      <c r="F5" s="466">
        <v>2027</v>
      </c>
      <c r="G5" s="466"/>
      <c r="H5" s="466"/>
      <c r="I5" s="467"/>
      <c r="J5" s="467"/>
      <c r="K5" s="1693">
        <f>SUM(C5:J5)</f>
        <v>296364</v>
      </c>
      <c r="L5" s="466">
        <v>332903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48153</v>
      </c>
      <c r="D8" s="466">
        <v>10187</v>
      </c>
      <c r="E8" s="466"/>
      <c r="F8" s="466"/>
      <c r="G8" s="466"/>
      <c r="H8" s="466"/>
      <c r="I8" s="467"/>
      <c r="J8" s="467"/>
      <c r="K8" s="1693">
        <f t="shared" si="0"/>
        <v>58340</v>
      </c>
      <c r="L8" s="466">
        <v>52900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7965</v>
      </c>
      <c r="D10" s="466">
        <v>6</v>
      </c>
      <c r="E10" s="466">
        <v>4878</v>
      </c>
      <c r="F10" s="466">
        <v>22928</v>
      </c>
      <c r="G10" s="466"/>
      <c r="H10" s="466"/>
      <c r="I10" s="467"/>
      <c r="J10" s="467"/>
      <c r="K10" s="1693">
        <f t="shared" si="0"/>
        <v>35777</v>
      </c>
      <c r="L10" s="466">
        <v>18200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1500</v>
      </c>
      <c r="D14" s="466">
        <v>166</v>
      </c>
      <c r="E14" s="466">
        <v>1776</v>
      </c>
      <c r="F14" s="466">
        <v>38</v>
      </c>
      <c r="G14" s="466"/>
      <c r="H14" s="466">
        <v>210</v>
      </c>
      <c r="I14" s="467"/>
      <c r="J14" s="467"/>
      <c r="K14" s="1693">
        <f t="shared" si="0"/>
        <v>3690</v>
      </c>
      <c r="L14" s="466">
        <v>3735</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283227</v>
      </c>
      <c r="D33" s="1692">
        <f t="shared" ref="D33:L33" si="1">SUM(D5:D32)</f>
        <v>68347</v>
      </c>
      <c r="E33" s="1692">
        <f t="shared" si="1"/>
        <v>17394</v>
      </c>
      <c r="F33" s="1692">
        <f t="shared" si="1"/>
        <v>24993</v>
      </c>
      <c r="G33" s="1692">
        <f t="shared" si="1"/>
        <v>0</v>
      </c>
      <c r="H33" s="1692">
        <f t="shared" si="1"/>
        <v>210</v>
      </c>
      <c r="I33" s="1692">
        <f t="shared" si="1"/>
        <v>0</v>
      </c>
      <c r="J33" s="1692">
        <f t="shared" si="1"/>
        <v>0</v>
      </c>
      <c r="K33" s="1692">
        <f t="shared" si="1"/>
        <v>394171</v>
      </c>
      <c r="L33" s="1692">
        <f t="shared" si="1"/>
        <v>407738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c r="G38" s="466"/>
      <c r="H38" s="466"/>
      <c r="I38" s="467"/>
      <c r="J38" s="467"/>
      <c r="K38" s="1693">
        <f t="shared" si="2"/>
        <v>0</v>
      </c>
      <c r="L38" s="466">
        <v>200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v>26</v>
      </c>
      <c r="G41" s="466"/>
      <c r="H41" s="466"/>
      <c r="I41" s="467"/>
      <c r="J41" s="467"/>
      <c r="K41" s="1693">
        <f t="shared" si="2"/>
        <v>26</v>
      </c>
      <c r="L41" s="466">
        <v>200</v>
      </c>
    </row>
    <row r="42" spans="1:14" ht="12.75" customHeight="1" thickBot="1" x14ac:dyDescent="0.25">
      <c r="A42" s="1690" t="s">
        <v>581</v>
      </c>
      <c r="B42" s="1691" t="s">
        <v>740</v>
      </c>
      <c r="C42" s="1692">
        <f>SUM(C36:C41)</f>
        <v>0</v>
      </c>
      <c r="D42" s="1692">
        <f t="shared" ref="D42:L42" si="3">SUM(D36:D41)</f>
        <v>0</v>
      </c>
      <c r="E42" s="1692">
        <f t="shared" si="3"/>
        <v>0</v>
      </c>
      <c r="F42" s="1692">
        <f t="shared" si="3"/>
        <v>26</v>
      </c>
      <c r="G42" s="1692">
        <f t="shared" si="3"/>
        <v>0</v>
      </c>
      <c r="H42" s="1692">
        <f t="shared" si="3"/>
        <v>0</v>
      </c>
      <c r="I42" s="1692">
        <f t="shared" si="3"/>
        <v>0</v>
      </c>
      <c r="J42" s="1692">
        <f t="shared" si="3"/>
        <v>0</v>
      </c>
      <c r="K42" s="1692">
        <f t="shared" si="3"/>
        <v>26</v>
      </c>
      <c r="L42" s="1692">
        <f t="shared" si="3"/>
        <v>400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4101</v>
      </c>
      <c r="D44" s="481">
        <v>38</v>
      </c>
      <c r="E44" s="481">
        <v>11844</v>
      </c>
      <c r="F44" s="481"/>
      <c r="G44" s="481"/>
      <c r="H44" s="481"/>
      <c r="I44" s="467"/>
      <c r="J44" s="467"/>
      <c r="K44" s="1694">
        <f>SUM(C44:J44)</f>
        <v>15983</v>
      </c>
      <c r="L44" s="481">
        <v>22009</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4101</v>
      </c>
      <c r="D47" s="1692">
        <f t="shared" ref="D47:K47" si="4">SUM(D44:D46)</f>
        <v>38</v>
      </c>
      <c r="E47" s="1692">
        <f t="shared" si="4"/>
        <v>11844</v>
      </c>
      <c r="F47" s="1692">
        <f t="shared" si="4"/>
        <v>0</v>
      </c>
      <c r="G47" s="1692">
        <f t="shared" si="4"/>
        <v>0</v>
      </c>
      <c r="H47" s="1692">
        <f t="shared" si="4"/>
        <v>0</v>
      </c>
      <c r="I47" s="1692">
        <f t="shared" si="4"/>
        <v>0</v>
      </c>
      <c r="J47" s="1692">
        <f t="shared" si="4"/>
        <v>0</v>
      </c>
      <c r="K47" s="1692">
        <f t="shared" si="4"/>
        <v>15983</v>
      </c>
      <c r="L47" s="1692">
        <f>SUM(L44:L46)</f>
        <v>22009</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20522</v>
      </c>
      <c r="F49" s="481">
        <v>50</v>
      </c>
      <c r="G49" s="481"/>
      <c r="H49" s="481">
        <v>803</v>
      </c>
      <c r="I49" s="467"/>
      <c r="J49" s="467"/>
      <c r="K49" s="1694">
        <f>SUM(C49:J49)</f>
        <v>21375</v>
      </c>
      <c r="L49" s="481">
        <v>24650</v>
      </c>
    </row>
    <row r="50" spans="1:14" x14ac:dyDescent="0.2">
      <c r="A50" s="1526" t="s">
        <v>872</v>
      </c>
      <c r="B50" s="615">
        <v>2320</v>
      </c>
      <c r="C50" s="466">
        <v>70468</v>
      </c>
      <c r="D50" s="466">
        <v>17131</v>
      </c>
      <c r="E50" s="466">
        <v>1239</v>
      </c>
      <c r="F50" s="466"/>
      <c r="G50" s="466"/>
      <c r="H50" s="466">
        <v>45</v>
      </c>
      <c r="I50" s="467"/>
      <c r="J50" s="467"/>
      <c r="K50" s="1694">
        <f>SUM(C50:J50)</f>
        <v>88883</v>
      </c>
      <c r="L50" s="466">
        <v>90788</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70468</v>
      </c>
      <c r="D53" s="1692">
        <f t="shared" ref="D53:L53" si="5">SUM(D49:D52)</f>
        <v>17131</v>
      </c>
      <c r="E53" s="1692">
        <f t="shared" si="5"/>
        <v>21761</v>
      </c>
      <c r="F53" s="1692">
        <f t="shared" si="5"/>
        <v>50</v>
      </c>
      <c r="G53" s="1692">
        <f t="shared" si="5"/>
        <v>0</v>
      </c>
      <c r="H53" s="1692">
        <f t="shared" si="5"/>
        <v>848</v>
      </c>
      <c r="I53" s="1692">
        <f t="shared" si="5"/>
        <v>0</v>
      </c>
      <c r="J53" s="1692">
        <f t="shared" si="5"/>
        <v>0</v>
      </c>
      <c r="K53" s="1692">
        <f t="shared" si="5"/>
        <v>110258</v>
      </c>
      <c r="L53" s="1692">
        <f t="shared" si="5"/>
        <v>115438</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25460</v>
      </c>
      <c r="D60" s="466">
        <v>12</v>
      </c>
      <c r="E60" s="466"/>
      <c r="F60" s="466"/>
      <c r="G60" s="466"/>
      <c r="H60" s="466"/>
      <c r="I60" s="467"/>
      <c r="J60" s="467"/>
      <c r="K60" s="1694">
        <f t="shared" si="7"/>
        <v>25472</v>
      </c>
      <c r="L60" s="466">
        <v>25200</v>
      </c>
      <c r="M60" s="610"/>
      <c r="N60" s="610"/>
    </row>
    <row r="61" spans="1:14" s="343" customFormat="1" x14ac:dyDescent="0.2">
      <c r="A61" s="1526" t="s">
        <v>206</v>
      </c>
      <c r="B61" s="615">
        <v>2540</v>
      </c>
      <c r="C61" s="466">
        <v>23817</v>
      </c>
      <c r="D61" s="466">
        <v>5046</v>
      </c>
      <c r="E61" s="466">
        <v>10863</v>
      </c>
      <c r="F61" s="466"/>
      <c r="G61" s="466"/>
      <c r="H61" s="466"/>
      <c r="I61" s="467"/>
      <c r="J61" s="467"/>
      <c r="K61" s="1694">
        <f t="shared" si="7"/>
        <v>39726</v>
      </c>
      <c r="L61" s="466">
        <v>42000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13239</v>
      </c>
      <c r="D63" s="466"/>
      <c r="E63" s="466"/>
      <c r="F63" s="466">
        <v>19809</v>
      </c>
      <c r="G63" s="466"/>
      <c r="H63" s="466"/>
      <c r="I63" s="467"/>
      <c r="J63" s="467"/>
      <c r="K63" s="1694">
        <f t="shared" si="7"/>
        <v>33048</v>
      </c>
      <c r="L63" s="466">
        <v>33000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62516</v>
      </c>
      <c r="D65" s="1692">
        <f t="shared" ref="D65:L65" si="8">SUM(D59:D64)</f>
        <v>5058</v>
      </c>
      <c r="E65" s="1692">
        <f t="shared" si="8"/>
        <v>10863</v>
      </c>
      <c r="F65" s="1692">
        <f t="shared" si="8"/>
        <v>19809</v>
      </c>
      <c r="G65" s="1692">
        <f t="shared" si="8"/>
        <v>0</v>
      </c>
      <c r="H65" s="1692">
        <f t="shared" si="8"/>
        <v>0</v>
      </c>
      <c r="I65" s="1692">
        <f t="shared" si="8"/>
        <v>0</v>
      </c>
      <c r="J65" s="1692">
        <f t="shared" si="8"/>
        <v>0</v>
      </c>
      <c r="K65" s="1692">
        <f t="shared" si="8"/>
        <v>98246</v>
      </c>
      <c r="L65" s="1692">
        <f t="shared" si="8"/>
        <v>100200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137085</v>
      </c>
      <c r="D74" s="1699">
        <f t="shared" ref="D74:K74" si="10">SUM(D42,D47,D53,D57,D65,D72,D73)</f>
        <v>22227</v>
      </c>
      <c r="E74" s="1699">
        <f t="shared" si="10"/>
        <v>44468</v>
      </c>
      <c r="F74" s="1699">
        <f t="shared" si="10"/>
        <v>19885</v>
      </c>
      <c r="G74" s="1699">
        <f t="shared" si="10"/>
        <v>0</v>
      </c>
      <c r="H74" s="1699">
        <f t="shared" si="10"/>
        <v>848</v>
      </c>
      <c r="I74" s="1699">
        <f t="shared" si="10"/>
        <v>0</v>
      </c>
      <c r="J74" s="1699">
        <f t="shared" si="10"/>
        <v>0</v>
      </c>
      <c r="K74" s="1699">
        <f t="shared" si="10"/>
        <v>224513</v>
      </c>
      <c r="L74" s="1699">
        <f>SUM(L42,L47,L53,L57,L65,L72,L73)</f>
        <v>238047</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24712</v>
      </c>
      <c r="I86" s="477"/>
      <c r="J86" s="477"/>
      <c r="K86" s="1699">
        <f t="shared" ref="K86:K98" si="12">H86</f>
        <v>24712</v>
      </c>
      <c r="L86" s="530">
        <v>23000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24712</v>
      </c>
      <c r="I92" s="477"/>
      <c r="J92" s="477"/>
      <c r="K92" s="1699">
        <f t="shared" si="12"/>
        <v>24712</v>
      </c>
      <c r="L92" s="1692">
        <f>SUM(L85:L91)</f>
        <v>23000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24712</v>
      </c>
      <c r="I102" s="477"/>
      <c r="J102" s="477"/>
      <c r="K102" s="1699">
        <f>SUM(K84,K92,K100,K101)</f>
        <v>24712</v>
      </c>
      <c r="L102" s="1699">
        <f>SUM(L84,L92,L100,L101)</f>
        <v>23000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420312</v>
      </c>
      <c r="D114" s="1692">
        <f t="shared" ref="D114:K114" si="13">SUM(D33,D74,D75,D102,D112,D113)</f>
        <v>90574</v>
      </c>
      <c r="E114" s="1692">
        <f t="shared" si="13"/>
        <v>61862</v>
      </c>
      <c r="F114" s="1692">
        <f t="shared" si="13"/>
        <v>44878</v>
      </c>
      <c r="G114" s="1692">
        <f t="shared" si="13"/>
        <v>0</v>
      </c>
      <c r="H114" s="1692">
        <f>SUM(H33,H74,H75,H102,H112,H113)</f>
        <v>25770</v>
      </c>
      <c r="I114" s="1692">
        <f t="shared" si="13"/>
        <v>0</v>
      </c>
      <c r="J114" s="1692">
        <f t="shared" si="13"/>
        <v>0</v>
      </c>
      <c r="K114" s="1692">
        <f t="shared" si="13"/>
        <v>643396</v>
      </c>
      <c r="L114" s="1692">
        <f>SUM(L33,L74,L75,L102,L112,L113)</f>
        <v>668785</v>
      </c>
    </row>
    <row r="115" spans="1:14" ht="13.5" thickTop="1" x14ac:dyDescent="0.2">
      <c r="A115" s="2197" t="s">
        <v>1053</v>
      </c>
      <c r="B115" s="2198"/>
      <c r="C115" s="619"/>
      <c r="D115" s="619"/>
      <c r="E115" s="619"/>
      <c r="F115" s="619"/>
      <c r="G115" s="619"/>
      <c r="H115" s="619"/>
      <c r="I115" s="619"/>
      <c r="J115" s="619"/>
      <c r="K115" s="1706">
        <f>'Revenues 9-14'!C275-'Expenditures 15-22'!K114</f>
        <v>-17632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5" t="s">
        <v>314</v>
      </c>
      <c r="B117" s="217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v>5982</v>
      </c>
      <c r="F124" s="466">
        <v>16712</v>
      </c>
      <c r="G124" s="466"/>
      <c r="H124" s="466"/>
      <c r="I124" s="467"/>
      <c r="J124" s="467"/>
      <c r="K124" s="1692">
        <f>SUM(C124:J124)</f>
        <v>22694</v>
      </c>
      <c r="L124" s="466">
        <v>22400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5982</v>
      </c>
      <c r="F127" s="1692">
        <f t="shared" si="14"/>
        <v>16712</v>
      </c>
      <c r="G127" s="1692">
        <f t="shared" si="14"/>
        <v>0</v>
      </c>
      <c r="H127" s="1692">
        <f t="shared" si="14"/>
        <v>0</v>
      </c>
      <c r="I127" s="1692">
        <f t="shared" si="14"/>
        <v>0</v>
      </c>
      <c r="J127" s="1692">
        <f t="shared" si="14"/>
        <v>0</v>
      </c>
      <c r="K127" s="1692">
        <f t="shared" si="14"/>
        <v>22694</v>
      </c>
      <c r="L127" s="1692">
        <f t="shared" si="14"/>
        <v>22400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5982</v>
      </c>
      <c r="F129" s="1699">
        <f t="shared" si="15"/>
        <v>16712</v>
      </c>
      <c r="G129" s="1699">
        <f t="shared" si="15"/>
        <v>0</v>
      </c>
      <c r="H129" s="1699">
        <f t="shared" si="15"/>
        <v>0</v>
      </c>
      <c r="I129" s="1699">
        <f t="shared" si="15"/>
        <v>0</v>
      </c>
      <c r="J129" s="1699">
        <f t="shared" si="15"/>
        <v>0</v>
      </c>
      <c r="K129" s="1699">
        <f t="shared" si="15"/>
        <v>22694</v>
      </c>
      <c r="L129" s="1699">
        <f t="shared" si="15"/>
        <v>22400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v>20450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20450</v>
      </c>
    </row>
    <row r="148" spans="1:14" ht="15.75" customHeight="1" thickTop="1" x14ac:dyDescent="0.2">
      <c r="A148" s="661" t="s">
        <v>1165</v>
      </c>
      <c r="B148" s="662" t="s">
        <v>38</v>
      </c>
      <c r="C148" s="617"/>
      <c r="D148" s="617"/>
      <c r="E148" s="617"/>
      <c r="F148" s="617"/>
      <c r="G148" s="617"/>
      <c r="H148" s="479">
        <v>1125</v>
      </c>
      <c r="I148" s="468"/>
      <c r="J148" s="617"/>
      <c r="K148" s="1694">
        <f>SUM(H148)</f>
        <v>1125</v>
      </c>
      <c r="L148" s="492"/>
    </row>
    <row r="149" spans="1:14" ht="12.75" customHeight="1" thickBot="1" x14ac:dyDescent="0.25">
      <c r="A149" s="1529" t="s">
        <v>659</v>
      </c>
      <c r="B149" s="618" t="s">
        <v>513</v>
      </c>
      <c r="C149" s="617"/>
      <c r="D149" s="617"/>
      <c r="E149" s="617"/>
      <c r="F149" s="617"/>
      <c r="G149" s="617"/>
      <c r="H149" s="1692">
        <f>SUM(H147,H148)</f>
        <v>1125</v>
      </c>
      <c r="I149" s="468"/>
      <c r="J149" s="617"/>
      <c r="K149" s="1692">
        <f>SUM(K147:K148)</f>
        <v>1125</v>
      </c>
      <c r="L149" s="1692">
        <f>SUM(L142:L146,L148)</f>
        <v>20450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7" t="s">
        <v>641</v>
      </c>
      <c r="B151" s="2169"/>
      <c r="C151" s="1692">
        <f>SUM(C129,C130,C139,C149,C150)</f>
        <v>0</v>
      </c>
      <c r="D151" s="1692">
        <f t="shared" ref="D151:K151" si="16">SUM(D129,D130,D139,D149,D150)</f>
        <v>0</v>
      </c>
      <c r="E151" s="1692">
        <f t="shared" si="16"/>
        <v>5982</v>
      </c>
      <c r="F151" s="1692">
        <f t="shared" si="16"/>
        <v>16712</v>
      </c>
      <c r="G151" s="1692">
        <f t="shared" si="16"/>
        <v>0</v>
      </c>
      <c r="H151" s="1692">
        <f t="shared" si="16"/>
        <v>1125</v>
      </c>
      <c r="I151" s="1692">
        <f t="shared" si="16"/>
        <v>0</v>
      </c>
      <c r="J151" s="1692">
        <f t="shared" si="16"/>
        <v>0</v>
      </c>
      <c r="K151" s="1692">
        <f t="shared" si="16"/>
        <v>23819</v>
      </c>
      <c r="L151" s="1692">
        <f>SUM(L129,L130,L139,L149,L150)</f>
        <v>42850</v>
      </c>
    </row>
    <row r="152" spans="1:14" ht="12.75" customHeight="1" thickTop="1" x14ac:dyDescent="0.2">
      <c r="A152" s="2190" t="s">
        <v>1240</v>
      </c>
      <c r="B152" s="2191"/>
      <c r="C152" s="619"/>
      <c r="D152" s="619"/>
      <c r="E152" s="619"/>
      <c r="F152" s="619"/>
      <c r="G152" s="619"/>
      <c r="H152" s="619"/>
      <c r="I152" s="619"/>
      <c r="J152" s="617"/>
      <c r="K152" s="1706">
        <f>'Revenues 9-14'!D275-'Expenditures 15-22'!K151</f>
        <v>15119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5" t="s">
        <v>642</v>
      </c>
      <c r="B154" s="217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97" t="s">
        <v>1053</v>
      </c>
      <c r="B175" s="2198"/>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14472</v>
      </c>
      <c r="D182" s="466">
        <v>2554</v>
      </c>
      <c r="E182" s="466">
        <v>733</v>
      </c>
      <c r="F182" s="466">
        <v>4615</v>
      </c>
      <c r="G182" s="466"/>
      <c r="H182" s="466"/>
      <c r="I182" s="467"/>
      <c r="J182" s="467"/>
      <c r="K182" s="1693">
        <f>SUM(C182:J182)</f>
        <v>22374</v>
      </c>
      <c r="L182" s="466">
        <v>16700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14472</v>
      </c>
      <c r="D184" s="1699">
        <f t="shared" ref="D184:J184" si="17">SUM(D180,D182,D183)</f>
        <v>2554</v>
      </c>
      <c r="E184" s="1699">
        <f t="shared" si="17"/>
        <v>733</v>
      </c>
      <c r="F184" s="1699">
        <f t="shared" si="17"/>
        <v>4615</v>
      </c>
      <c r="G184" s="1699">
        <f t="shared" si="17"/>
        <v>0</v>
      </c>
      <c r="H184" s="1699">
        <f t="shared" si="17"/>
        <v>0</v>
      </c>
      <c r="I184" s="1699">
        <f t="shared" si="17"/>
        <v>0</v>
      </c>
      <c r="J184" s="1699">
        <f t="shared" si="17"/>
        <v>0</v>
      </c>
      <c r="K184" s="1699">
        <f>SUM(K180,K182,K183)</f>
        <v>22374</v>
      </c>
      <c r="L184" s="1699">
        <f>SUM(L180, L182:L183)</f>
        <v>16700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14472</v>
      </c>
      <c r="D210" s="1692">
        <f>SUM(D184,D185)</f>
        <v>2554</v>
      </c>
      <c r="E210" s="1692">
        <f>SUM(E184,E185,E196)</f>
        <v>733</v>
      </c>
      <c r="F210" s="1692">
        <f>SUM(F184,F185)</f>
        <v>4615</v>
      </c>
      <c r="G210" s="1692">
        <f>SUM(G184,G185)</f>
        <v>0</v>
      </c>
      <c r="H210" s="1692">
        <f>SUM(H184,H185,H196,H208,H209)</f>
        <v>0</v>
      </c>
      <c r="I210" s="1692">
        <f>SUM(I184,I185)</f>
        <v>0</v>
      </c>
      <c r="J210" s="1692">
        <f>SUM(J184,J185)</f>
        <v>0</v>
      </c>
      <c r="K210" s="1693">
        <f>SUM(K184,K185,K196,K208,K209)</f>
        <v>22374</v>
      </c>
      <c r="L210" s="1692">
        <f>SUM(L184,L185,L196,L208,L209)</f>
        <v>16700</v>
      </c>
    </row>
    <row r="211" spans="1:14" ht="13.5" thickTop="1" x14ac:dyDescent="0.2">
      <c r="A211" s="2197" t="s">
        <v>1053</v>
      </c>
      <c r="B211" s="2198"/>
      <c r="C211" s="619"/>
      <c r="D211" s="619"/>
      <c r="E211" s="619"/>
      <c r="F211" s="619"/>
      <c r="G211" s="619"/>
      <c r="H211" s="619"/>
      <c r="I211" s="617"/>
      <c r="J211" s="617"/>
      <c r="K211" s="1706">
        <f>'Revenues 9-14'!F275-'Expenditures 15-22'!K210</f>
        <v>2277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2" t="s">
        <v>1022</v>
      </c>
      <c r="B213" s="219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3808</v>
      </c>
      <c r="E215" s="617"/>
      <c r="F215" s="617"/>
      <c r="G215" s="617"/>
      <c r="H215" s="617"/>
      <c r="I215" s="617"/>
      <c r="J215" s="617"/>
      <c r="K215" s="1693">
        <f>D215</f>
        <v>3808</v>
      </c>
      <c r="L215" s="466">
        <v>3500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3941</v>
      </c>
      <c r="E217" s="617"/>
      <c r="F217" s="617"/>
      <c r="G217" s="617"/>
      <c r="H217" s="617"/>
      <c r="I217" s="617"/>
      <c r="J217" s="617"/>
      <c r="K217" s="1693">
        <f t="shared" si="19"/>
        <v>3941</v>
      </c>
      <c r="L217" s="466">
        <v>2100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1757</v>
      </c>
      <c r="E219" s="617"/>
      <c r="F219" s="617"/>
      <c r="G219" s="617"/>
      <c r="H219" s="617"/>
      <c r="I219" s="617"/>
      <c r="J219" s="617"/>
      <c r="K219" s="1693">
        <f t="shared" si="19"/>
        <v>1757</v>
      </c>
      <c r="L219" s="466">
        <v>1790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24</v>
      </c>
      <c r="E223" s="617"/>
      <c r="F223" s="617"/>
      <c r="G223" s="617"/>
      <c r="H223" s="617"/>
      <c r="I223" s="617"/>
      <c r="J223" s="617"/>
      <c r="K223" s="1693">
        <f t="shared" si="19"/>
        <v>24</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9530</v>
      </c>
      <c r="E229" s="617"/>
      <c r="F229" s="617"/>
      <c r="G229" s="617"/>
      <c r="H229" s="617"/>
      <c r="I229" s="617"/>
      <c r="J229" s="617"/>
      <c r="K229" s="1692">
        <f>SUM(K215:K228)</f>
        <v>9530</v>
      </c>
      <c r="L229" s="1692">
        <f>SUM(L215:L228)</f>
        <v>7390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904</v>
      </c>
      <c r="E240" s="617"/>
      <c r="F240" s="617"/>
      <c r="G240" s="617"/>
      <c r="H240" s="617"/>
      <c r="I240" s="617"/>
      <c r="J240" s="617"/>
      <c r="K240" s="1694">
        <f>D240</f>
        <v>904</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904</v>
      </c>
      <c r="E243" s="617"/>
      <c r="F243" s="617"/>
      <c r="G243" s="617"/>
      <c r="H243" s="617"/>
      <c r="I243" s="617"/>
      <c r="J243" s="617"/>
      <c r="K243" s="1692">
        <f>SUM(K240:K242)</f>
        <v>904</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1214</v>
      </c>
      <c r="E246" s="617"/>
      <c r="F246" s="617"/>
      <c r="G246" s="617"/>
      <c r="H246" s="617"/>
      <c r="I246" s="617"/>
      <c r="J246" s="617"/>
      <c r="K246" s="1694">
        <f t="shared" ref="K246:K256" si="21">D246</f>
        <v>1214</v>
      </c>
      <c r="L246" s="466">
        <v>1200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1214</v>
      </c>
      <c r="E257" s="617"/>
      <c r="F257" s="617"/>
      <c r="G257" s="617"/>
      <c r="H257" s="617"/>
      <c r="I257" s="617"/>
      <c r="J257" s="617"/>
      <c r="K257" s="1692">
        <f>SUM(K245:K256)</f>
        <v>1214</v>
      </c>
      <c r="L257" s="1692">
        <f>SUM(L245:L256)</f>
        <v>1200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5615</v>
      </c>
      <c r="E264" s="617"/>
      <c r="F264" s="617"/>
      <c r="G264" s="617"/>
      <c r="H264" s="617"/>
      <c r="I264" s="617"/>
      <c r="J264" s="617"/>
      <c r="K264" s="1694">
        <f t="shared" ref="K264:K269" si="22">D264</f>
        <v>5615</v>
      </c>
      <c r="L264" s="466">
        <v>6000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5253</v>
      </c>
      <c r="E266" s="617"/>
      <c r="F266" s="617"/>
      <c r="G266" s="617"/>
      <c r="H266" s="617"/>
      <c r="I266" s="617"/>
      <c r="J266" s="617"/>
      <c r="K266" s="1694">
        <f t="shared" si="22"/>
        <v>5253</v>
      </c>
      <c r="L266" s="466">
        <v>5200</v>
      </c>
    </row>
    <row r="267" spans="1:14" x14ac:dyDescent="0.2">
      <c r="A267" s="1526" t="s">
        <v>1010</v>
      </c>
      <c r="B267" s="615">
        <v>2550</v>
      </c>
      <c r="C267" s="617"/>
      <c r="D267" s="466">
        <v>1533</v>
      </c>
      <c r="E267" s="617"/>
      <c r="F267" s="617"/>
      <c r="G267" s="617"/>
      <c r="H267" s="617"/>
      <c r="I267" s="617"/>
      <c r="J267" s="617"/>
      <c r="K267" s="1694">
        <f t="shared" si="22"/>
        <v>1533</v>
      </c>
      <c r="L267" s="466"/>
    </row>
    <row r="268" spans="1:14" x14ac:dyDescent="0.2">
      <c r="A268" s="1526" t="s">
        <v>102</v>
      </c>
      <c r="B268" s="615">
        <v>2560</v>
      </c>
      <c r="C268" s="617"/>
      <c r="D268" s="466">
        <v>2920</v>
      </c>
      <c r="E268" s="617"/>
      <c r="F268" s="617"/>
      <c r="G268" s="617"/>
      <c r="H268" s="617"/>
      <c r="I268" s="617"/>
      <c r="J268" s="617"/>
      <c r="K268" s="1694">
        <f t="shared" si="22"/>
        <v>2920</v>
      </c>
      <c r="L268" s="466">
        <v>3100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15321</v>
      </c>
      <c r="E270" s="617"/>
      <c r="F270" s="617"/>
      <c r="G270" s="617"/>
      <c r="H270" s="617"/>
      <c r="I270" s="617"/>
      <c r="J270" s="617"/>
      <c r="K270" s="1692">
        <f>SUM(K263:K269)</f>
        <v>15321</v>
      </c>
      <c r="L270" s="1692">
        <f>SUM(L263:L269)</f>
        <v>14300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17439</v>
      </c>
      <c r="E279" s="617"/>
      <c r="F279" s="617"/>
      <c r="G279" s="617"/>
      <c r="H279" s="617"/>
      <c r="I279" s="617"/>
      <c r="J279" s="617"/>
      <c r="K279" s="1699">
        <f>SUM(K238,K243,K257,K261,K270,K277,K278)</f>
        <v>17439</v>
      </c>
      <c r="L279" s="1699">
        <f>SUM(L238,L243,L257,L261,L270,L277,L278)</f>
        <v>15500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8" t="s">
        <v>526</v>
      </c>
      <c r="B295" s="2189"/>
      <c r="C295" s="617"/>
      <c r="D295" s="1692">
        <f>SUM(D229,D279,D280,D285)</f>
        <v>26969</v>
      </c>
      <c r="E295" s="617"/>
      <c r="F295" s="617"/>
      <c r="G295" s="617"/>
      <c r="H295" s="1692">
        <f>H293</f>
        <v>0</v>
      </c>
      <c r="I295" s="617"/>
      <c r="J295" s="617"/>
      <c r="K295" s="1692">
        <f>SUM(K229,K279,K280,K285,K293,K294)</f>
        <v>26969</v>
      </c>
      <c r="L295" s="1692">
        <f>SUM(L229,L279,L280,L285,L293,L294)</f>
        <v>22890</v>
      </c>
    </row>
    <row r="296" spans="1:14" ht="13.5" thickTop="1" x14ac:dyDescent="0.2">
      <c r="A296" s="2197" t="s">
        <v>1053</v>
      </c>
      <c r="B296" s="2198"/>
      <c r="C296" s="617"/>
      <c r="D296" s="619"/>
      <c r="E296" s="617"/>
      <c r="F296" s="617"/>
      <c r="G296" s="617"/>
      <c r="H296" s="688"/>
      <c r="I296" s="617"/>
      <c r="J296" s="617"/>
      <c r="K296" s="1706">
        <f>'Revenues 9-14'!G275-'Expenditures 15-22'!K295</f>
        <v>-1885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0" t="s">
        <v>145</v>
      </c>
      <c r="B298" s="217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5" t="s">
        <v>295</v>
      </c>
      <c r="B312" s="2186"/>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1" t="s">
        <v>1053</v>
      </c>
      <c r="B313" s="2182"/>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4" t="s">
        <v>151</v>
      </c>
      <c r="B315" s="219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6" t="s">
        <v>954</v>
      </c>
      <c r="B317" s="219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3" t="s">
        <v>1053</v>
      </c>
      <c r="B343" s="2184"/>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3" t="s">
        <v>1023</v>
      </c>
      <c r="B345" s="217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5383</v>
      </c>
      <c r="F348" s="466"/>
      <c r="G348" s="466"/>
      <c r="H348" s="466"/>
      <c r="I348" s="467"/>
      <c r="J348" s="467"/>
      <c r="K348" s="1693">
        <f>SUM(C348:J348)</f>
        <v>5383</v>
      </c>
      <c r="L348" s="466">
        <v>1000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5383</v>
      </c>
      <c r="F350" s="1692">
        <f t="shared" si="26"/>
        <v>0</v>
      </c>
      <c r="G350" s="1692">
        <f t="shared" si="26"/>
        <v>0</v>
      </c>
      <c r="H350" s="1692">
        <f t="shared" si="26"/>
        <v>0</v>
      </c>
      <c r="I350" s="1692">
        <f t="shared" si="26"/>
        <v>0</v>
      </c>
      <c r="J350" s="1692">
        <f t="shared" si="26"/>
        <v>0</v>
      </c>
      <c r="K350" s="1692">
        <f t="shared" si="26"/>
        <v>5383</v>
      </c>
      <c r="L350" s="1692">
        <f t="shared" si="26"/>
        <v>1000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5383</v>
      </c>
      <c r="F352" s="1692">
        <f t="shared" si="27"/>
        <v>0</v>
      </c>
      <c r="G352" s="1692">
        <f t="shared" si="27"/>
        <v>0</v>
      </c>
      <c r="H352" s="1692">
        <f t="shared" si="27"/>
        <v>0</v>
      </c>
      <c r="I352" s="1692">
        <f t="shared" si="27"/>
        <v>0</v>
      </c>
      <c r="J352" s="1692">
        <f t="shared" si="27"/>
        <v>0</v>
      </c>
      <c r="K352" s="1692">
        <f t="shared" si="27"/>
        <v>5383</v>
      </c>
      <c r="L352" s="1692">
        <f t="shared" si="27"/>
        <v>1000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5383</v>
      </c>
      <c r="F367" s="1692">
        <f t="shared" si="28"/>
        <v>0</v>
      </c>
      <c r="G367" s="1692">
        <f t="shared" si="28"/>
        <v>0</v>
      </c>
      <c r="H367" s="1692">
        <f t="shared" si="28"/>
        <v>0</v>
      </c>
      <c r="I367" s="1692">
        <f t="shared" si="28"/>
        <v>0</v>
      </c>
      <c r="J367" s="1692">
        <f t="shared" si="28"/>
        <v>0</v>
      </c>
      <c r="K367" s="1692">
        <f t="shared" si="28"/>
        <v>5383</v>
      </c>
      <c r="L367" s="1692">
        <f t="shared" si="28"/>
        <v>1000</v>
      </c>
    </row>
    <row r="368" spans="1:14" ht="13.5" thickTop="1" x14ac:dyDescent="0.2">
      <c r="A368" s="2197" t="s">
        <v>1053</v>
      </c>
      <c r="B368" s="2198"/>
      <c r="C368" s="655"/>
      <c r="D368" s="655"/>
      <c r="E368" s="627"/>
      <c r="F368" s="627"/>
      <c r="G368" s="627"/>
      <c r="H368" s="627"/>
      <c r="I368" s="627"/>
      <c r="J368" s="624"/>
      <c r="K368" s="1693">
        <f>'Revenues 9-14'!K275-'Expenditures 15-22'!K367</f>
        <v>141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
See notes.
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http://schemas.microsoft.com/office/2006/documentManagement/types"/>
    <ds:schemaRef ds:uri="4d435f69-8686-490b-bd6d-b153bf22ab50"/>
    <ds:schemaRef ds:uri="http://purl.org/dc/dcmitype/"/>
    <ds:schemaRef ds:uri="d21dc803-237d-4c68-8692-8d731fd29118"/>
    <ds:schemaRef ds:uri="http://purl.org/dc/elements/1.1/"/>
    <ds:schemaRef ds:uri="http://schemas.microsoft.com/office/infopath/2007/PartnerControls"/>
    <ds:schemaRef ds:uri="http://schemas.openxmlformats.org/package/2006/metadata/core-properties"/>
    <ds:schemaRef ds:uri="6ce3111e-7420-4802-b50a-75d4e9a0b980"/>
    <ds:schemaRef ds:uri="http://schemas.microsoft.com/sharepoint/v3"/>
    <ds:schemaRef ds:uri="http://purl.org/dc/te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2018-10-01T16:46:37Z</cp:lastPrinted>
  <dcterms:created xsi:type="dcterms:W3CDTF">2003-10-29T19:06:34Z</dcterms:created>
  <dcterms:modified xsi:type="dcterms:W3CDTF">2018-10-17T20:57:29Z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