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8" i="181"/>
  <c r="G28" i="181" s="1"/>
  <c r="E28" i="181"/>
  <c r="F27" i="181"/>
  <c r="G27" i="181" s="1"/>
  <c r="E27" i="181"/>
  <c r="F29" i="181"/>
  <c r="G29" i="181" s="1"/>
  <c r="E29" i="181"/>
  <c r="F26" i="181"/>
  <c r="G26" i="181" s="1"/>
  <c r="E26" i="181"/>
  <c r="E25" i="181"/>
  <c r="F25" i="181" s="1"/>
  <c r="G25" i="181" s="1"/>
  <c r="F24" i="181"/>
  <c r="G24" i="181" s="1"/>
  <c r="E24" i="181"/>
  <c r="F23" i="181"/>
  <c r="G23" i="181" s="1"/>
  <c r="E23" i="181"/>
  <c r="F22" i="181"/>
  <c r="G22" i="181" s="1"/>
  <c r="E22" i="181"/>
  <c r="E21" i="181"/>
  <c r="F21" i="181" s="1"/>
  <c r="G21" i="181" s="1"/>
  <c r="F20" i="181"/>
  <c r="G20" i="181" s="1"/>
  <c r="E20" i="181"/>
  <c r="E19" i="181"/>
  <c r="F19" i="181" s="1"/>
  <c r="G19" i="181" s="1"/>
  <c r="F18" i="181"/>
  <c r="G18" i="181" s="1"/>
  <c r="E18" i="181"/>
  <c r="D30" i="181" l="1"/>
  <c r="D80" i="36" l="1"/>
  <c r="B7797" i="106"/>
  <c r="E30" i="181"/>
  <c r="E17" i="181"/>
  <c r="E16" i="181"/>
  <c r="F16" i="181" s="1"/>
  <c r="G16" i="181" s="1"/>
  <c r="F17" i="181" l="1"/>
  <c r="G17" i="181" s="1"/>
  <c r="G30" i="181" s="1"/>
  <c r="G40" i="108" l="1"/>
  <c r="B7799" i="106"/>
  <c r="F3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s="1"/>
  <c r="B5114" i="106"/>
  <c r="D5114" i="106" s="1"/>
  <c r="B5115" i="106"/>
  <c r="D5115" i="106" s="1"/>
  <c r="B5116" i="106"/>
  <c r="D5116" i="106" s="1"/>
  <c r="B5117" i="106"/>
  <c r="D5117" i="106"/>
  <c r="B5118" i="106"/>
  <c r="D5118" i="106" s="1"/>
  <c r="B5119" i="106"/>
  <c r="D5119" i="106" s="1"/>
  <c r="B5122" i="106"/>
  <c r="D5122" i="106"/>
  <c r="B5123" i="106"/>
  <c r="D5123" i="106"/>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s="1"/>
  <c r="B6303" i="106"/>
  <c r="D6303" i="106" s="1"/>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c r="B6320" i="106"/>
  <c r="D6320" i="106" s="1"/>
  <c r="B6321" i="106"/>
  <c r="D6321" i="106" s="1"/>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s="1"/>
  <c r="B6332" i="106"/>
  <c r="D6332" i="106"/>
  <c r="B6333" i="106"/>
  <c r="D6333" i="106" s="1"/>
  <c r="B6334" i="106"/>
  <c r="D6334" i="106"/>
  <c r="B6335" i="106"/>
  <c r="D6335" i="106" s="1"/>
  <c r="B6336" i="106"/>
  <c r="D6336" i="106"/>
  <c r="B6337" i="106"/>
  <c r="D6337" i="106" s="1"/>
  <c r="B6338" i="106"/>
  <c r="D6338" i="106"/>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s="1"/>
  <c r="B6354" i="106"/>
  <c r="D6354" i="106" s="1"/>
  <c r="B6355" i="106"/>
  <c r="D6355" i="106"/>
  <c r="B6356" i="106"/>
  <c r="D6356" i="106" s="1"/>
  <c r="B6358" i="106"/>
  <c r="D6358" i="106"/>
  <c r="B6359" i="106"/>
  <c r="D6359" i="106" s="1"/>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s="1"/>
  <c r="B6730" i="106"/>
  <c r="D6730" i="106"/>
  <c r="B6731" i="106"/>
  <c r="D6731" i="106" s="1"/>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E27" i="108"/>
  <c r="G27" i="108"/>
  <c r="E28" i="108"/>
  <c r="F28" i="108"/>
  <c r="F31" i="108"/>
  <c r="F36" i="108"/>
  <c r="G28" i="108"/>
  <c r="E29" i="108"/>
  <c r="G29" i="108"/>
  <c r="E30" i="108"/>
  <c r="G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B4357" i="106" s="1"/>
  <c r="D4357" i="106" s="1"/>
  <c r="G172" i="5"/>
  <c r="G173" i="5" s="1"/>
  <c r="B5778" i="106" s="1"/>
  <c r="D5778"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K274" i="5" s="1"/>
  <c r="B4951" i="106"/>
  <c r="D4951" i="106" s="1"/>
  <c r="C184" i="5"/>
  <c r="B5232" i="106" s="1"/>
  <c r="D5232" i="106" s="1"/>
  <c r="D184" i="5"/>
  <c r="B5425" i="106"/>
  <c r="D5425" i="106" s="1"/>
  <c r="F184" i="5"/>
  <c r="F127" i="34" s="1"/>
  <c r="G184" i="5"/>
  <c r="B5784" i="106"/>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J22" i="37"/>
  <c r="L22" i="37"/>
  <c r="D24" i="37"/>
  <c r="B4270" i="106" s="1"/>
  <c r="D4270" i="106" s="1"/>
  <c r="D13" i="7"/>
  <c r="B3726" i="106" s="1"/>
  <c r="D3726" i="106" s="1"/>
  <c r="D9" i="7"/>
  <c r="B1767" i="106" s="1"/>
  <c r="D1767" i="106" s="1"/>
  <c r="F136" i="34"/>
  <c r="F130" i="34"/>
  <c r="B5847" i="106"/>
  <c r="D5847" i="106" s="1"/>
  <c r="B5752" i="106"/>
  <c r="D5752" i="106" s="1"/>
  <c r="D109" i="5"/>
  <c r="B5356" i="106" s="1"/>
  <c r="D5356" i="106" s="1"/>
  <c r="D7" i="7"/>
  <c r="B1763" i="106" s="1"/>
  <c r="D1763" i="106" s="1"/>
  <c r="B1746" i="106"/>
  <c r="D1746" i="106" s="1"/>
  <c r="D12" i="7"/>
  <c r="B1769" i="106" s="1"/>
  <c r="D1769" i="106" s="1"/>
  <c r="D15" i="7"/>
  <c r="B1772" i="106" s="1"/>
  <c r="D1772" i="106" s="1"/>
  <c r="B1996" i="106" l="1"/>
  <c r="D1996" i="106" s="1"/>
  <c r="I26" i="12"/>
  <c r="B7741" i="106" s="1"/>
  <c r="D7741" i="106" s="1"/>
  <c r="B3621" i="106"/>
  <c r="D3621" i="106" s="1"/>
  <c r="C367" i="29"/>
  <c r="H173" i="5"/>
  <c r="F131" i="34"/>
  <c r="I129" i="29"/>
  <c r="B7037" i="106" s="1"/>
  <c r="D7037" i="106" s="1"/>
  <c r="D5" i="7"/>
  <c r="B1761" i="106" s="1"/>
  <c r="D1761" i="106" s="1"/>
  <c r="D17" i="7"/>
  <c r="B4104" i="106" s="1"/>
  <c r="D4104" i="106" s="1"/>
  <c r="F106" i="34"/>
  <c r="F128" i="34"/>
  <c r="B5770" i="106"/>
  <c r="D5770" i="106" s="1"/>
  <c r="D4" i="7"/>
  <c r="B1760" i="106" s="1"/>
  <c r="D1760" i="106" s="1"/>
  <c r="K28" i="118"/>
  <c r="O27" i="118" s="1"/>
  <c r="O29" i="118" s="1"/>
  <c r="B5658" i="106"/>
  <c r="D5658" i="106" s="1"/>
  <c r="F172" i="5"/>
  <c r="B5644" i="106" s="1"/>
  <c r="D5644" i="106" s="1"/>
  <c r="L312" i="29"/>
  <c r="B7235" i="106"/>
  <c r="D7235" i="106" s="1"/>
  <c r="C342" i="29"/>
  <c r="B7216" i="106" s="1"/>
  <c r="D7216" i="106" s="1"/>
  <c r="J77" i="4"/>
  <c r="B6262" i="106" s="1"/>
  <c r="D6262" i="106" s="1"/>
  <c r="K76" i="4"/>
  <c r="B3586" i="106" s="1"/>
  <c r="D3586" i="106" s="1"/>
  <c r="F77" i="4"/>
  <c r="B3255" i="106" s="1"/>
  <c r="D3255" i="106" s="1"/>
  <c r="B1995" i="106"/>
  <c r="D1995" i="106" s="1"/>
  <c r="F21" i="8"/>
  <c r="G210" i="29"/>
  <c r="E174" i="29"/>
  <c r="B1309" i="106" s="1"/>
  <c r="D1309" i="106" s="1"/>
  <c r="C129" i="29"/>
  <c r="K24" i="12"/>
  <c r="B7242" i="106"/>
  <c r="D7242" i="106" s="1"/>
  <c r="B3619" i="106"/>
  <c r="D3619" i="106" s="1"/>
  <c r="I173" i="5"/>
  <c r="B4216" i="106" s="1"/>
  <c r="D4216" i="106" s="1"/>
  <c r="H33" i="118"/>
  <c r="G5" i="4"/>
  <c r="B3409" i="106" s="1"/>
  <c r="D3409" i="106" s="1"/>
  <c r="F46" i="34"/>
  <c r="K41" i="3"/>
  <c r="D27" i="108"/>
  <c r="E109" i="5"/>
  <c r="E4" i="4" s="1"/>
  <c r="B2630" i="106" s="1"/>
  <c r="D2630" i="106" s="1"/>
  <c r="D11" i="7"/>
  <c r="B1768" i="106" s="1"/>
  <c r="D1768" i="106" s="1"/>
  <c r="G352" i="29"/>
  <c r="F111" i="34"/>
  <c r="C172" i="5"/>
  <c r="B5214" i="106" s="1"/>
  <c r="D5214" i="106" s="1"/>
  <c r="B1329" i="106"/>
  <c r="D1329" i="106" s="1"/>
  <c r="F61" i="34"/>
  <c r="F19" i="7"/>
  <c r="B1807" i="106" s="1"/>
  <c r="D1807" i="106" s="1"/>
  <c r="D37" i="108"/>
  <c r="F37" i="108"/>
  <c r="F41" i="108" s="1"/>
  <c r="G43" i="108" s="1"/>
  <c r="C109" i="5"/>
  <c r="B5121" i="106" s="1"/>
  <c r="D5121" i="106" s="1"/>
  <c r="D4" i="4"/>
  <c r="B2564" i="106" s="1"/>
  <c r="D2564" i="106" s="1"/>
  <c r="K184" i="29"/>
  <c r="F13" i="4" s="1"/>
  <c r="B2596" i="106" s="1"/>
  <c r="D2596" i="106" s="1"/>
  <c r="B1410" i="106"/>
  <c r="D1410" i="106" s="1"/>
  <c r="G109" i="5"/>
  <c r="B6024" i="106" s="1"/>
  <c r="D6024" i="106" s="1"/>
  <c r="H109" i="5"/>
  <c r="B3649" i="106"/>
  <c r="D3649" i="106" s="1"/>
  <c r="G367" i="29"/>
  <c r="B3650" i="106" s="1"/>
  <c r="D3650" i="106" s="1"/>
  <c r="K350" i="29"/>
  <c r="L15" i="11"/>
  <c r="B3459" i="106" s="1"/>
  <c r="D3459" i="106" s="1"/>
  <c r="L13" i="11"/>
  <c r="B2060" i="106" s="1"/>
  <c r="D2060" i="106" s="1"/>
  <c r="L5" i="11"/>
  <c r="B2056" i="106" s="1"/>
  <c r="D2056"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B3447" i="106"/>
  <c r="D3447" i="106" s="1"/>
  <c r="B7270" i="106"/>
  <c r="B3568" i="106" l="1"/>
  <c r="D3568" i="106" s="1"/>
  <c r="D52" i="36"/>
  <c r="H367" i="29"/>
  <c r="B3660" i="106" s="1"/>
  <c r="D3660" i="106" s="1"/>
  <c r="B1365" i="106"/>
  <c r="D1365" i="106" s="1"/>
  <c r="F65" i="34"/>
  <c r="D274" i="5"/>
  <c r="I151" i="29"/>
  <c r="F59" i="34" s="1"/>
  <c r="D7255" i="106"/>
  <c r="D7252" i="106"/>
  <c r="H275" i="5"/>
  <c r="B7733" i="106"/>
  <c r="D7733" i="106" s="1"/>
  <c r="K26" i="12"/>
  <c r="B7743" i="106" s="1"/>
  <c r="D7743" i="106" s="1"/>
  <c r="B1879" i="106"/>
  <c r="D1879" i="106" s="1"/>
  <c r="H22" i="37"/>
  <c r="B5906" i="106"/>
  <c r="D5906" i="106" s="1"/>
  <c r="H6" i="4"/>
  <c r="B2656" i="106" s="1"/>
  <c r="D2656" i="106" s="1"/>
  <c r="B5527" i="106"/>
  <c r="D5527" i="106" s="1"/>
  <c r="B5653" i="106"/>
  <c r="D5653" i="106" s="1"/>
  <c r="B1317" i="106"/>
  <c r="D1317" i="106" s="1"/>
  <c r="L114" i="29"/>
  <c r="F275" i="5"/>
  <c r="B5720" i="106" s="1"/>
  <c r="D5720" i="106" s="1"/>
  <c r="C173" i="5"/>
  <c r="B5223" i="106" s="1"/>
  <c r="D5223" i="106" s="1"/>
  <c r="D19" i="7"/>
  <c r="B1775" i="106" s="1"/>
  <c r="D1775" i="106" s="1"/>
  <c r="C114" i="29"/>
  <c r="B757" i="106" s="1"/>
  <c r="D757" i="106" s="1"/>
  <c r="C4" i="4"/>
  <c r="B2551" i="106" s="1"/>
  <c r="D2551" i="106" s="1"/>
  <c r="G4" i="4"/>
  <c r="B2603" i="106" s="1"/>
  <c r="D2603" i="106" s="1"/>
  <c r="B6025" i="106"/>
  <c r="D6025" i="106" s="1"/>
  <c r="H4" i="4"/>
  <c r="K342" i="29"/>
  <c r="F13" i="34" s="1"/>
  <c r="B3670" i="106"/>
  <c r="D3670" i="106" s="1"/>
  <c r="K352" i="29"/>
  <c r="K367" i="29"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6222" i="106"/>
  <c r="D6222" i="106" s="1"/>
  <c r="J8" i="4"/>
  <c r="D7" i="4"/>
  <c r="D275" i="5"/>
  <c r="B5507" i="106"/>
  <c r="D5507" i="106" s="1"/>
  <c r="B7298" i="106"/>
  <c r="B7299" i="106"/>
  <c r="B7051" i="106" l="1"/>
  <c r="D7051" i="106" s="1"/>
  <c r="C6" i="4"/>
  <c r="B2553" i="106" s="1"/>
  <c r="D2553" i="106" s="1"/>
  <c r="G41" i="108"/>
  <c r="G44" i="108" s="1"/>
  <c r="G45" i="108" s="1"/>
  <c r="E41" i="108"/>
  <c r="E44" i="108" s="1"/>
  <c r="E45" i="108" s="1"/>
  <c r="B2655" i="106"/>
  <c r="D2655" i="106" s="1"/>
  <c r="H8" i="4"/>
  <c r="J17" i="4"/>
  <c r="J20" i="4"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B6227" i="106" l="1"/>
  <c r="D6227" i="106" s="1"/>
  <c r="D10" i="171"/>
  <c r="D19" i="171" s="1"/>
  <c r="D32" i="171" s="1"/>
  <c r="D49" i="171" s="1"/>
  <c r="D8" i="4"/>
  <c r="B2568" i="106" s="1"/>
  <c r="D2568" i="10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H13" i="118"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<sst xmlns="http://schemas.openxmlformats.org/spreadsheetml/2006/main" count="5128" uniqueCount="2146">
  <si>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</si>
  <si>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</si>
  <si>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</si>
  <si>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</si>
  <si>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</si>
  <si>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</si>
  <si>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</si>
  <si>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</si>
  <si>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</si>
  <si>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</si>
  <si>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</si>
  <si>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</si>
  <si>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</si>
  <si>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</si>
  <si>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</si>
  <si>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</si>
  <si>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</si>
  <si>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</si>
  <si>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</si>
  <si>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</si>
  <si>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</si>
  <si>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</si>
  <si>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</si>
  <si>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</si>
  <si>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</si>
  <si>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</si>
  <si>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</si>
  <si>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</si>
  <si>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</si>
  <si>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</si>
  <si>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</si>
  <si>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</si>
  <si>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</si>
  <si>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</si>
  <si>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</si>
  <si>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</si>
  <si>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</si>
  <si>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</si>
  <si>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</si>
  <si>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</si>
  <si>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</si>
  <si>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</si>
  <si>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</si>
  <si>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</si>
  <si>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</si>
  <si>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</si>
  <si>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</si>
  <si>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</si>
  <si>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</si>
  <si>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</si>
  <si>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</si>
  <si>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</si>
  <si>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</si>
  <si>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</si>
  <si>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</si>
  <si>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</si>
  <si>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</si>
  <si>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</si>
  <si>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</si>
  <si>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</si>
  <si>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</si>
  <si>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</si>
  <si>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</si>
  <si>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</si>
  <si>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</si>
  <si>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</si>
  <si>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</si>
  <si>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</si>
  <si>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</si>
  <si>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</si>
  <si>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</si>
  <si>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</si>
  <si>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</si>
  <si>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</si>
  <si>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</si>
  <si>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</si>
  <si>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</si>
  <si>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</si>
  <si>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</si>
  <si>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</si>
  <si>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</si>
  <si>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</si>
  <si>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</si>
  <si>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</si>
  <si>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</si>
  <si>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</si>
  <si>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</si>
  <si>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</si>
  <si>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</si>
  <si>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</si>
  <si>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</si>
  <si>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</si>
  <si>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</si>
  <si>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</si>
  <si>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</si>
  <si>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</si>
  <si>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</si>
  <si>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</si>
  <si>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</si>
  <si>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</si>
  <si>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</si>
  <si>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</si>
  <si>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</si>
  <si>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</si>
  <si>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</si>
  <si>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</si>
  <si>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</si>
  <si>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</si>
  <si>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</si>
  <si>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</si>
  <si>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</si>
  <si>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</si>
  <si>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</si>
  <si>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</si>
  <si>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</si>
  <si>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</si>
  <si>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</si>
  <si>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</si>
  <si>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</si>
  <si>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</si>
  <si>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</si>
  <si>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</si>
  <si>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</si>
  <si>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</si>
  <si>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</si>
  <si>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</si>
  <si>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</si>
  <si>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</si>
  <si>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</si>
  <si>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</si>
  <si>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</si>
  <si>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</si>
  <si>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</si>
  <si>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</si>
  <si>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</si>
  <si>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</si>
  <si>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</si>
  <si>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</si>
  <si>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</si>
  <si>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</si>
  <si>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</si>
  <si>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</si>
  <si>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</si>
  <si>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</si>
  <si>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</si>
  <si>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</si>
  <si>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</si>
  <si>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</si>
  <si>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</si>
  <si>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</si>
  <si>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</si>
  <si>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</si>
  <si>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</si>
  <si>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</si>
  <si>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</si>
  <si>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</si>
  <si>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</si>
  <si>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</si>
  <si>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</si>
  <si>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</si>
  <si>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</si>
  <si>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</si>
  <si>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</si>
  <si>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</si>
  <si>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</si>
  <si>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</si>
  <si>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</si>
  <si>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</si>
  <si>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</si>
  <si>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</si>
  <si>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</si>
  <si>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</si>
  <si>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</si>
  <si>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</si>
  <si>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</si>
  <si>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</si>
  <si>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</si>
  <si>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</si>
  <si>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</si>
  <si>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</si>
  <si>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</si>
  <si>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</si>
  <si>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</si>
  <si>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</si>
  <si>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</si>
  <si>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</si>
  <si>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</si>
  <si>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</si>
  <si>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</si>
  <si>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</si>
  <si>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</si>
  <si>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</si>
  <si>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</si>
  <si>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</si>
  <si>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</si>
  <si>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</si>
  <si>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</si>
  <si>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</si>
  <si>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</si>
  <si>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</si>
  <si>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</si>
  <si>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</si>
  <si>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</si>
  <si>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</si>
  <si>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</si>
  <si>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</si>
  <si>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</si>
  <si>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</si>
  <si>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</si>
  <si>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</si>
  <si>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</si>
  <si>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</si>
  <si>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</si>
  <si>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</si>
  <si>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</si>
  <si>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</si>
  <si>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</si>
  <si>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</si>
  <si>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</si>
  <si>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</si>
  <si>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</si>
  <si>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</si>
  <si>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</si>
  <si>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</si>
  <si>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</si>
  <si>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</si>
  <si>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</si>
  <si>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</si>
  <si>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</si>
  <si>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</si>
  <si>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</si>
  <si>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</si>
  <si>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</si>
  <si>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</si>
  <si>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</si>
  <si>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</si>
  <si>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</si>
  <si>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</si>
  <si>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</si>
  <si>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</si>
  <si>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</si>
  <si>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</si>
  <si>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</si>
  <si>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</si>
  <si>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</si>
  <si>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</si>
  <si>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</si>
  <si>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</si>
  <si>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</si>
  <si>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</si>
  <si>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</si>
  <si>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</si>
  <si>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</si>
  <si>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</si>
  <si>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</si>
  <si>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</si>
  <si>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</si>
  <si>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</si>
  <si>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</si>
  <si>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</si>
  <si>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</si>
  <si>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</si>
  <si>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</si>
  <si>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</si>
  <si>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</si>
  <si>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</si>
  <si>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</si>
  <si>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</si>
  <si>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</si>
  <si>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</si>
  <si>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</si>
  <si>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</si>
  <si>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</si>
  <si>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</si>
  <si>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</si>
  <si>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</si>
  <si>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</si>
  <si>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</si>
  <si>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</si>
  <si>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</si>
  <si>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</si>
  <si>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</si>
  <si>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</si>
  <si>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</si>
  <si>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</si>
  <si>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</si>
  <si>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</si>
  <si>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</si>
  <si>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</si>
  <si>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</si>
  <si>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</si>
  <si>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</si>
  <si>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</si>
  <si>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</si>
  <si>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</si>
  <si>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</si>
  <si>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</si>
  <si>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</si>
  <si>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</si>
  <si>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</si>
  <si>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</si>
  <si>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</si>
  <si>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</si>
  <si>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</si>
  <si>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</si>
  <si>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</si>
  <si>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</si>
  <si>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</si>
  <si>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</si>
  <si>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</si>
  <si>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</si>
  <si>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</si>
  <si>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</si>
  <si>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</si>
  <si>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</si>
  <si>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</si>
  <si>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</si>
  <si>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</si>
  <si>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</si>
  <si>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</si>
  <si>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</si>
  <si>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</si>
  <si>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</si>
  <si>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</si>
  <si>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</si>
  <si>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</si>
  <si>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</si>
  <si>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</si>
  <si>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</si>
  <si>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</si>
  <si>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</si>
  <si>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</si>
  <si>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</si>
  <si>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</si>
  <si>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</si>
  <si>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</si>
  <si>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</si>
  <si>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</si>
  <si>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</si>
  <si>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</si>
  <si>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</si>
  <si>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</si>
  <si>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</si>
  <si>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</si>
  <si>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</si>
  <si>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</si>
  <si>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</si>
  <si>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</si>
  <si>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</si>
  <si>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</si>
  <si>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</si>
  <si>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</si>
  <si>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</si>
  <si>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</si>
  <si>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</si>
  <si>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</si>
  <si>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</si>
  <si>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</si>
  <si>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</si>
  <si>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</si>
  <si>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</si>
  <si>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</si>
  <si>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</si>
  <si>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</si>
  <si>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</si>
  <si>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</si>
  <si>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</si>
  <si>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</si>
  <si>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</si>
  <si>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</si>
  <si>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</si>
  <si>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</si>
  <si>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</si>
  <si>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</si>
  <si>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</si>
  <si>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</si>
  <si>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</si>
  <si>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</si>
  <si>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</si>
  <si>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</si>
  <si>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</si>
  <si>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</si>
  <si>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</si>
  <si>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</si>
  <si>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</si>
  <si>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</si>
  <si>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</si>
  <si>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</si>
  <si>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</si>
  <si>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</si>
  <si>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</si>
  <si>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</si>
  <si>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</si>
  <si>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</si>
  <si>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</si>
  <si>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</si>
  <si>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</si>
  <si>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</si>
  <si>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</si>
  <si>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</si>
  <si>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</si>
  <si>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</si>
  <si>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</si>
  <si>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</si>
  <si>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</si>
  <si>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</si>
  <si>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</si>
  <si>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</si>
  <si>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</si>
  <si>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</si>
  <si>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</si>
  <si>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</si>
  <si>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</si>
  <si>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</si>
  <si>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</si>
  <si>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</si>
  <si>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</si>
  <si>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</si>
  <si>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</si>
  <si>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</si>
  <si>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</si>
  <si>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</si>
  <si>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</si>
  <si>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</si>
  <si>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</si>
  <si>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</si>
  <si>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</si>
  <si>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</si>
  <si>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</si>
  <si>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</si>
  <si>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</si>
  <si>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</si>
  <si>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</si>
  <si>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</si>
  <si>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</si>
  <si>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</si>
  <si>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</si>
  <si>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</si>
  <si>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</si>
  <si>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</si>
  <si>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</si>
  <si>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</si>
  <si>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</si>
  <si>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</si>
  <si>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</si>
  <si>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</si>
  <si>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</si>
  <si>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</si>
  <si>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</si>
  <si>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</si>
  <si>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</si>
  <si>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</si>
  <si>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</si>
  <si>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</si>
  <si>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</si>
  <si>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</si>
  <si>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</si>
  <si>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</si>
  <si>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</si>
  <si>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</si>
  <si>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</si>
  <si>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</si>
  <si>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</si>
  <si>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</si>
  <si>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</si>
  <si>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</si>
  <si>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</si>
  <si>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</si>
  <si>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</si>
  <si>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</si>
  <si>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</si>
  <si>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</si>
  <si>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</si>
  <si>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</si>
  <si>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</si>
  <si>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</si>
  <si>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</si>
  <si>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</si>
  <si>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</si>
  <si>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</si>
  <si>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</si>
  <si>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</si>
  <si>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</si>
  <si>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</si>
  <si>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</si>
  <si>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</si>
  <si>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</si>
  <si>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</si>
  <si>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</si>
  <si>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</si>
  <si>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</si>
  <si>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</si>
  <si>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</si>
  <si>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</si>
  <si>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</si>
  <si>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</si>
  <si>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</si>
  <si>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</si>
  <si>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</si>
  <si>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</si>
  <si>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</si>
  <si>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</si>
  <si>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</si>
  <si>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</si>
  <si>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</si>
  <si>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</si>
  <si>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</si>
  <si>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</si>
  <si>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</si>
  <si>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</si>
  <si>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</si>
  <si>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</si>
  <si>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</si>
  <si>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</si>
  <si>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</si>
  <si>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</si>
  <si>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</si>
  <si>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</si>
  <si>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</si>
  <si>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</si>
  <si>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</si>
  <si>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</si>
  <si>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</si>
  <si>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</si>
  <si>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</si>
  <si>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</si>
  <si>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</si>
  <si>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</si>
  <si>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</si>
  <si>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</si>
  <si>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</si>
  <si>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</si>
  <si>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</si>
  <si>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</si>
  <si>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</si>
  <si>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</si>
  <si>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</si>
  <si>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</si>
  <si>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</si>
  <si>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</si>
  <si>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</si>
  <si>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</si>
  <si>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</si>
  <si>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</si>
  <si>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</si>
  <si>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</si>
  <si>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</si>
  <si>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</si>
  <si>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</si>
  <si>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</si>
  <si>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</si>
  <si>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</si>
  <si>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</si>
  <si>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</si>
  <si>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</si>
  <si>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</si>
  <si>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</si>
  <si>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</si>
  <si>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</si>
  <si>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</si>
  <si>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</si>
  <si>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</si>
  <si>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</si>
  <si>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</si>
  <si>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</si>
  <si>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</si>
  <si>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</si>
  <si>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</si>
  <si>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</si>
  <si>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</si>
  <si>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</si>
  <si>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</si>
  <si>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</si>
  <si>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</si>
  <si>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</si>
  <si>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</si>
  <si>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</si>
  <si>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</si>
  <si>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</si>
  <si>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</si>
  <si>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</si>
  <si>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</si>
  <si>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</si>
  <si>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</si>
  <si>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</si>
  <si>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</si>
  <si>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</si>
  <si>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</si>
  <si>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</si>
  <si>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</si>
  <si>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</si>
  <si>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</si>
  <si>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</si>
  <si>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</si>
  <si>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</si>
  <si>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</si>
  <si>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</si>
  <si>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</si>
  <si>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</si>
  <si>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</si>
  <si>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</si>
  <si>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</si>
  <si>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</si>
  <si>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</si>
  <si>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</si>
  <si>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</si>
  <si>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</si>
  <si>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</si>
  <si>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</si>
  <si>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</si>
  <si>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</si>
  <si>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</si>
  <si>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</si>
  <si>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</si>
  <si>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</si>
  <si>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</si>
  <si>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</si>
  <si>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</si>
  <si>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</si>
  <si>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</si>
  <si>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</si>
  <si>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</si>
  <si>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</si>
  <si>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</si>
  <si>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</si>
  <si>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</si>
  <si>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</si>
  <si>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</si>
  <si>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</si>
  <si>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</si>
  <si>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</si>
  <si>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</si>
  <si>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</si>
  <si>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</si>
  <si>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</si>
  <si>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</si>
  <si>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</si>
  <si>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</si>
  <si>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</si>
  <si>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</si>
  <si>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</si>
  <si>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</si>
  <si>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</si>
  <si>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</si>
  <si>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</si>
  <si>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</si>
  <si>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</si>
  <si>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</si>
  <si>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</si>
  <si>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</si>
  <si>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</si>
  <si>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</si>
  <si>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</si>
  <si>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</si>
  <si>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</si>
  <si>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</si>
  <si>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</si>
  <si>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</si>
  <si>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</si>
  <si>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</si>
  <si>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</si>
  <si>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</si>
  <si>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</si>
  <si>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</si>
  <si>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</si>
  <si>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</si>
  <si>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</si>
  <si>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</si>
  <si>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</si>
  <si>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</si>
  <si>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</si>
  <si>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</si>
  <si>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</si>
  <si>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</si>
  <si>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</si>
  <si>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</si>
  <si>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</si>
  <si>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</si>
  <si>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</si>
  <si>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</si>
  <si>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</si>
  <si>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</si>
  <si>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</si>
  <si>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</si>
  <si>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</si>
  <si>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</si>
  <si>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</si>
  <si>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</si>
  <si>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</si>
  <si>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</si>
  <si>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</si>
  <si>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</si>
  <si>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</si>
  <si>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</si>
  <si>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</si>
  <si>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</si>
  <si>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</si>
  <si>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</si>
  <si>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</si>
  <si>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</si>
  <si>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</si>
  <si>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</si>
  <si>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</si>
  <si>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</si>
  <si>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</si>
  <si>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</si>
  <si>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</si>
  <si>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</si>
  <si>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</si>
  <si>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</si>
  <si>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</si>
  <si>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</si>
  <si>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</si>
  <si>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</si>
  <si>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</si>
  <si>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</si>
  <si>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</si>
  <si>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</si>
  <si>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</si>
  <si>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</si>
  <si>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</si>
  <si>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</si>
  <si>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</si>
  <si>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</si>
  <si>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</si>
  <si>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</si>
  <si>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</si>
  <si>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</si>
  <si>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</si>
  <si>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</si>
  <si>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</si>
  <si>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</si>
  <si>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</si>
  <si>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</si>
  <si>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</si>
  <si>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</si>
  <si>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</si>
  <si>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</si>
  <si>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</si>
  <si>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</si>
  <si>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</si>
  <si>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</si>
  <si>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</si>
  <si>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</si>
  <si>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</si>
  <si>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</si>
  <si>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</si>
  <si>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</si>
  <si>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</si>
  <si>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</si>
  <si>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</si>
  <si>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</si>
  <si>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</si>
  <si>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</si>
  <si>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</si>
  <si>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</si>
  <si>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</si>
  <si>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</si>
  <si>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</si>
  <si>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</si>
  <si>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</si>
  <si>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</si>
  <si>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</si>
  <si>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</si>
  <si>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</si>
  <si>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</si>
  <si>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</si>
  <si>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</si>
  <si>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</si>
  <si>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</si>
  <si>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</si>
  <si>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</si>
  <si>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</si>
  <si>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</si>
  <si>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</si>
  <si>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</si>
  <si>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</si>
  <si>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</si>
  <si>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</si>
  <si>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</si>
  <si>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</si>
  <si>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</si>
  <si>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</si>
  <si>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</si>
  <si>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</si>
  <si>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</si>
  <si>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</si>
  <si>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</si>
  <si>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</si>
  <si>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</si>
  <si>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</si>
  <si>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</si>
  <si>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</si>
  <si>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</si>
  <si>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</si>
  <si>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</si>
  <si>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</si>
  <si>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</si>
  <si>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</si>
  <si>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</si>
  <si>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</si>
  <si>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</si>
  <si>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</si>
  <si>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</si>
  <si>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</si>
  <si>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</si>
  <si>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</si>
  <si>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</si>
  <si>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</si>
  <si>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</si>
  <si>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</si>
  <si>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</si>
  <si>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</si>
  <si>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</si>
  <si>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</si>
  <si>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</si>
  <si>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</si>
  <si>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</si>
  <si>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</si>
  <si>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</si>
  <si>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</si>
  <si>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</si>
  <si>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</si>
  <si>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</si>
  <si>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</si>
  <si>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</si>
  <si>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</si>
  <si>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</si>
  <si>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</si>
  <si>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</si>
  <si>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</si>
  <si>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</si>
  <si>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</si>
  <si>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</si>
  <si>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</si>
  <si>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</si>
  <si>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</si>
  <si>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</si>
  <si>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</si>
  <si>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</si>
  <si>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</si>
  <si>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</si>
  <si>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</si>
  <si>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</si>
  <si>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</si>
  <si>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</si>
  <si>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</si>
  <si>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</si>
  <si>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</si>
  <si>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</si>
  <si>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</si>
  <si>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</si>
  <si>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</si>
  <si>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</si>
  <si>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</si>
  <si>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</si>
  <si>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</si>
  <si>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</si>
  <si>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</si>
  <si>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</si>
  <si>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</si>
  <si>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</si>
  <si>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</si>
  <si>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</si>
  <si>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</si>
  <si>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</si>
  <si>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</si>
  <si>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</si>
  <si>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</si>
  <si>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</si>
  <si>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</si>
  <si>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</si>
  <si>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</si>
  <si>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</si>
  <si>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</si>
  <si>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</si>
  <si>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</si>
  <si>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</si>
  <si>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</si>
  <si>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</si>
  <si>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</si>
  <si>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</si>
  <si>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</si>
  <si>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</si>
  <si>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</si>
  <si>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</si>
  <si>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</si>
  <si>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</si>
  <si>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</si>
  <si>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</si>
  <si>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</si>
  <si>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</si>
  <si>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</si>
  <si>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</si>
  <si>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</si>
  <si>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</si>
  <si>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</si>
  <si>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</si>
  <si>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</si>
  <si>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</si>
  <si>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</si>
  <si>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</si>
  <si>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</si>
  <si>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</si>
  <si>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</si>
  <si>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</si>
  <si>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</si>
  <si>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</si>
  <si>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</si>
  <si>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</si>
  <si>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</si>
  <si>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</si>
  <si>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</si>
  <si>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</si>
  <si>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</si>
  <si>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</si>
  <si>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</si>
  <si>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</si>
  <si>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</si>
  <si>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</si>
  <si>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</si>
  <si>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</si>
  <si>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</si>
  <si>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</si>
  <si>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</si>
  <si>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</si>
  <si>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</si>
  <si>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</si>
  <si>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</si>
  <si>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</si>
  <si>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</si>
  <si>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</si>
  <si>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</si>
  <si>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</si>
  <si>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</si>
  <si>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</si>
  <si>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</si>
  <si>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</si>
  <si>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</si>
  <si>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</si>
  <si>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</si>
  <si>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</si>
  <si>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</si>
  <si>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</si>
  <si>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</si>
  <si>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</si>
  <si>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</si>
  <si>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</si>
  <si>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</si>
  <si>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</si>
  <si>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</si>
  <si>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</si>
  <si>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</si>
  <si>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</si>
  <si>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</si>
  <si>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</si>
  <si>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</si>
  <si>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</si>
  <si>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</si>
  <si>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</si>
  <si>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</si>
  <si>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</si>
  <si>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</si>
  <si>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</si>
  <si>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</si>
  <si>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</si>
  <si>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</si>
  <si>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</si>
  <si>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</si>
  <si>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</si>
  <si>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</si>
  <si>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</si>
  <si>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</si>
  <si>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</si>
  <si>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</si>
  <si>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</si>
  <si>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</si>
  <si>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</si>
  <si>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</si>
  <si>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</si>
  <si>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</si>
  <si>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</si>
  <si>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</si>
  <si>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</si>
  <si>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</si>
  <si>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</si>
  <si>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</si>
  <si>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</si>
  <si>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</si>
  <si>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</si>
  <si>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</si>
  <si>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</si>
  <si>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</si>
  <si>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</si>
  <si>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</si>
  <si>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</si>
  <si>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</si>
  <si>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</si>
  <si>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</si>
  <si>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</si>
  <si>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</si>
  <si>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</si>
  <si>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</si>
  <si>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</si>
  <si>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</si>
  <si>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</si>
  <si>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</si>
  <si>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</si>
  <si>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</si>
  <si>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</si>
  <si>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</si>
  <si>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</si>
  <si>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</si>
  <si>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</si>
  <si>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</si>
  <si>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</si>
  <si>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</si>
  <si>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</si>
  <si>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</si>
  <si>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</si>
  <si>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</si>
  <si>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</si>
  <si>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</si>
  <si>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</si>
  <si>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</si>
  <si>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</si>
  <si>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</si>
  <si>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</si>
  <si>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</si>
  <si>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</si>
  <si>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</si>
  <si>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</si>
  <si>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</si>
  <si>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</si>
  <si>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</si>
  <si>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</si>
  <si>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</si>
  <si>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</si>
  <si>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</si>
  <si>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</si>
  <si>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</si>
  <si>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</si>
  <si>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</si>
  <si>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</si>
  <si>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</si>
  <si>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</si>
  <si>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</si>
  <si>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</si>
  <si>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</si>
  <si>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</si>
  <si>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</si>
  <si>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</si>
  <si>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</si>
  <si>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</si>
  <si>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</si>
  <si>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</si>
  <si>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</si>
  <si>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</si>
  <si>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</si>
  <si>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</si>
  <si>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</si>
  <si>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</si>
  <si>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</si>
  <si>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</si>
  <si>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</si>
  <si>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</si>
  <si>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</si>
  <si>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</si>
  <si>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</si>
  <si>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</si>
  <si>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</si>
  <si>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</si>
  <si>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</si>
  <si>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</si>
  <si>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</si>
  <si>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</si>
  <si>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</si>
  <si>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</si>
  <si>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</si>
  <si>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</si>
  <si>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</si>
  <si>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</si>
  <si>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</si>
  <si>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</si>
  <si>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</si>
  <si>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</si>
  <si>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</si>
  <si>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</si>
  <si>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</si>
  <si>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</si>
  <si>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</si>
  <si>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</si>
  <si>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</si>
  <si>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</si>
  <si>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</si>
  <si>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</si>
  <si>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</si>
  <si>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</si>
  <si>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</si>
  <si>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</si>
  <si>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</si>
  <si>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</si>
  <si>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</si>
  <si>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</si>
  <si>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</si>
  <si>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</si>
  <si>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</si>
  <si>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</si>
  <si>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</si>
  <si>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</si>
  <si>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</si>
  <si>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</si>
  <si>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</si>
  <si>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</si>
  <si>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</si>
  <si>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</si>
  <si>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</si>
  <si>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</si>
  <si>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</si>
  <si>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</si>
  <si>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</si>
  <si>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</si>
  <si>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</si>
  <si>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</si>
  <si>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</si>
  <si>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</si>
  <si>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</si>
  <si>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</si>
  <si>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</si>
  <si>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</si>
  <si>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</si>
  <si>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</si>
  <si>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</si>
  <si>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</si>
  <si>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</si>
  <si>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</si>
  <si>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</si>
  <si>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</si>
  <si>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</si>
  <si>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</si>
  <si>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</si>
  <si>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</si>
  <si>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</si>
  <si>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</si>
  <si>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</si>
  <si>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</si>
  <si>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</si>
  <si>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</si>
  <si>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</si>
  <si>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</si>
  <si>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</si>
  <si>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</si>
  <si>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</si>
  <si>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</si>
  <si>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</si>
  <si>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</si>
  <si>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</si>
  <si>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</si>
  <si>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</si>
  <si>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</si>
  <si>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</si>
  <si>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</si>
  <si>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</si>
  <si>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</si>
  <si>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</si>
  <si>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</si>
  <si>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</si>
  <si>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</si>
  <si>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</si>
  <si>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</si>
  <si>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</si>
  <si>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</si>
  <si>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</si>
  <si>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</si>
  <si>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</si>
  <si>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</si>
  <si>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</si>
  <si>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</si>
  <si>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</si>
  <si>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</si>
  <si>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</si>
  <si>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</si>
  <si>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</si>
  <si>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</si>
  <si>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</si>
  <si>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</si>
  <si>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</si>
  <si>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</si>
  <si>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</si>
  <si>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</si>
  <si>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</si>
  <si>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</si>
  <si>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</si>
  <si>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</si>
  <si>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</si>
  <si>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</si>
  <si>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</si>
  <si>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</si>
  <si>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</si>
  <si>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</si>
  <si>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</si>
  <si>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</si>
  <si>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</si>
  <si>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</si>
  <si>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</si>
  <si>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</si>
  <si>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</si>
  <si>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</si>
  <si>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</si>
  <si>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</si>
  <si>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</si>
  <si>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</si>
  <si>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</si>
  <si>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</si>
  <si>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</si>
  <si>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</si>
  <si>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</si>
  <si>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</si>
  <si>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</si>
  <si>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</si>
  <si>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</si>
  <si>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</si>
  <si>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</si>
  <si>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</si>
  <si>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</si>
  <si>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</si>
  <si>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</si>
  <si>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</si>
  <si>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</si>
  <si>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</si>
  <si>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</si>
  <si>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</si>
  <si>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</si>
  <si>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</si>
  <si>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</si>
  <si>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</si>
  <si>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</si>
  <si>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</si>
  <si>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</si>
  <si>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</si>
  <si>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</si>
  <si>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</si>
  <si>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</si>
  <si>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</si>
  <si>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</si>
  <si>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</si>
  <si>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</si>
  <si>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</si>
  <si>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</si>
  <si>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</si>
  <si>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</si>
  <si>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</si>
  <si>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</si>
  <si>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</si>
  <si>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</si>
  <si>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</si>
  <si>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</si>
  <si>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</si>
  <si>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</si>
  <si>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</si>
  <si>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</si>
  <si>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</si>
  <si>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</si>
  <si>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</si>
  <si>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</si>
  <si>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</si>
  <si>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</si>
  <si>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</si>
  <si>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</si>
  <si>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</si>
  <si>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</si>
  <si>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</si>
  <si>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</si>
  <si>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</si>
  <si>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</si>
  <si>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</si>
  <si>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</si>
  <si>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</si>
  <si>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</si>
  <si>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</si>
  <si>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</si>
  <si>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</si>
  <si>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</si>
  <si>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</si>
  <si>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</si>
  <si>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</si>
  <si>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</si>
  <si>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</si>
  <si>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</si>
  <si>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</si>
  <si>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</si>
  <si>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</si>
  <si>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</si>
  <si>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</si>
  <si>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</si>
  <si>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</si>
  <si>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</si>
  <si>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</si>
  <si>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</si>
  <si>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</si>
  <si>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</si>
  <si>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</si>
  <si>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</si>
  <si>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</si>
  <si>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</si>
  <si>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</si>
  <si>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</si>
  <si>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</si>
  <si>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</si>
  <si>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</si>
  <si>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</si>
  <si>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</si>
  <si>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</si>
  <si>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</si>
  <si>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</si>
  <si>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</si>
  <si>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</si>
  <si>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</si>
  <si>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</si>
  <si>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</si>
  <si>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</si>
  <si>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</si>
  <si>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</si>
  <si>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</si>
  <si>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</si>
  <si>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</si>
  <si>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</si>
  <si>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</si>
  <si>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</si>
  <si>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</si>
  <si>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</si>
  <si>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</si>
  <si>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</si>
  <si>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</si>
  <si>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</si>
  <si>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</si>
  <si>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</si>
  <si>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</si>
  <si>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</si>
  <si>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</si>
  <si>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</si>
  <si>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</si>
  <si>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</si>
  <si>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</si>
  <si>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</si>
  <si>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</si>
  <si>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</si>
  <si>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</si>
  <si>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</si>
  <si>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</si>
  <si>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</si>
  <si>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</si>
  <si>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</si>
  <si>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</si>
  <si>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</si>
  <si>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</si>
  <si>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</si>
  <si>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</si>
  <si>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</si>
  <si>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</si>
  <si>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</si>
  <si>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</si>
  <si>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</si>
  <si>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</si>
  <si>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</si>
  <si>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</si>
  <si>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</si>
  <si>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</si>
  <si>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</si>
  <si>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</si>
  <si>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</si>
  <si>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</si>
  <si>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</si>
  <si>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</si>
  <si>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</si>
  <si>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</si>
  <si>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</si>
  <si>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</si>
  <si>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</si>
  <si>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</si>
  <si>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</si>
  <si>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</si>
  <si>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</si>
  <si>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</si>
  <si>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</si>
  <si>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</si>
  <si>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</si>
  <si>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</si>
  <si>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</si>
  <si>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</si>
  <si>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</si>
  <si>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</si>
  <si>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</si>
  <si>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</si>
  <si>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</si>
  <si>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</si>
  <si>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</si>
  <si>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</si>
  <si>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</si>
  <si>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</si>
  <si>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</si>
  <si>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</si>
  <si>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</si>
  <si>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</si>
  <si>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</si>
  <si>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</si>
  <si>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</si>
  <si>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</si>
  <si>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</si>
  <si>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</si>
  <si>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</si>
  <si>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</si>
  <si>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</si>
  <si>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</si>
  <si>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</si>
  <si>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</si>
  <si>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</si>
  <si>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</si>
  <si>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</si>
  <si>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</si>
  <si>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</si>
  <si>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</si>
  <si>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</si>
  <si>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</si>
  <si>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</si>
  <si>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</si>
  <si>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</si>
  <si>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</si>
  <si>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</si>
  <si>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</si>
  <si>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</si>
  <si>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</si>
  <si>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</si>
  <si>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</si>
  <si>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</si>
  <si>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</si>
  <si>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</si>
  <si>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</si>
  <si>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</si>
  <si>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</si>
  <si>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</si>
  <si>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</si>
  <si>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</si>
  <si>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</si>
  <si>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</si>
  <si>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</si>
  <si>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</si>
  <si>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</si>
  <si>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</si>
  <si>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</si>
  <si>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</si>
  <si>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</si>
  <si>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</si>
  <si>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</si>
  <si>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</si>
  <si>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</si>
  <si>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</si>
  <si>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</si>
  <si>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</si>
  <si>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</si>
  <si>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</si>
  <si>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</si>
  <si>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</si>
  <si>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</si>
  <si>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</si>
  <si>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</si>
  <si>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</si>
  <si>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</si>
  <si>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</si>
  <si>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</si>
  <si>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</si>
  <si>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</si>
  <si>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</si>
  <si>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</si>
  <si>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</si>
  <si>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</si>
  <si>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</si>
  <si>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</si>
  <si>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</si>
  <si>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</si>
  <si>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</si>
  <si>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</si>
  <si>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</si>
  <si>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</si>
  <si>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</si>
  <si>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</si>
  <si>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</si>
  <si>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</si>
  <si>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</si>
  <si>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</si>
  <si>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</si>
  <si>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</si>
  <si>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</si>
  <si>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</si>
  <si>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</si>
  <si>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</si>
  <si>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</si>
  <si>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</si>
  <si>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</si>
  <si>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</si>
  <si>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</si>
  <si>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</si>
  <si>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</si>
  <si>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</si>
  <si>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</si>
  <si>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</si>
  <si>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</si>
  <si>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</si>
  <si>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</si>
  <si>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</si>
  <si>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</si>
  <si>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</si>
  <si>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</si>
  <si>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</si>
  <si>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</si>
  <si>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</si>
  <si>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</si>
  <si>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</si>
  <si>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</si>
  <si>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</si>
  <si>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</si>
  <si>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</si>
  <si>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</si>
  <si>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</si>
  <si>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</si>
  <si>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</si>
  <si>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</si>
  <si>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</si>
  <si>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</si>
  <si>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</si>
  <si>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</si>
  <si>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</si>
  <si>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</si>
  <si>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</si>
  <si>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</si>
  <si>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</si>
  <si>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</si>
  <si>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</si>
  <si>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</si>
  <si>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</si>
  <si>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</si>
  <si>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</si>
  <si>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</si>
  <si>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</si>
  <si>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</si>
  <si>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</si>
  <si>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</si>
  <si>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</si>
  <si>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</si>
  <si>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</si>
  <si>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</si>
  <si>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</si>
  <si>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</si>
  <si>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</si>
  <si>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</si>
  <si>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</si>
  <si>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</si>
  <si>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</si>
  <si>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</si>
  <si>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</si>
  <si>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</si>
  <si>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</si>
  <si>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</si>
  <si>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</si>
  <si>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</si>
  <si>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</si>
  <si>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</si>
  <si>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</si>
  <si>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</si>
  <si>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</si>
  <si>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</si>
  <si>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</si>
  <si>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</si>
  <si>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</si>
  <si>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</si>
  <si>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</si>
  <si>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</si>
  <si>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</si>
  <si>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</si>
  <si>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</si>
  <si>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</si>
  <si>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</si>
  <si>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</si>
  <si>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</si>
  <si>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</si>
  <si>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</si>
  <si>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</si>
  <si>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</si>
  <si>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</si>
  <si>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</si>
  <si>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</si>
  <si>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</si>
  <si>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</si>
  <si>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</si>
  <si>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</si>
  <si>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</si>
  <si>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</si>
  <si>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</si>
  <si>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</si>
  <si>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</si>
  <si>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</si>
  <si>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</si>
  <si>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</si>
  <si>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</si>
  <si>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</si>
  <si>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</si>
  <si>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</si>
  <si>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</si>
  <si>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</si>
  <si>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</si>
  <si>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</si>
  <si>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</si>
  <si>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</si>
  <si>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</si>
  <si>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</si>
  <si>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</si>
  <si>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</si>
  <si>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</si>
  <si>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</si>
  <si>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</si>
  <si>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</si>
  <si>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</si>
  <si>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</si>
  <si>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</si>
  <si>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</si>
  <si>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</si>
  <si>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</si>
  <si>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</si>
  <si>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</si>
  <si>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</si>
  <si>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</si>
  <si>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</si>
  <si>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</si>
  <si>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</si>
  <si>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</si>
  <si>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</si>
  <si>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</si>
  <si>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</si>
  <si>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</si>
  <si>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</si>
  <si>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</si>
  <si>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</si>
  <si>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</si>
  <si>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</si>
  <si>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</si>
  <si>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</si>
  <si>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</si>
  <si>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</si>
  <si>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</si>
  <si>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</si>
  <si>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</si>
  <si>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</si>
  <si>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</si>
  <si>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</si>
  <si>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</si>
  <si>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</si>
  <si>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</si>
  <si>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</si>
  <si>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</si>
  <si>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</si>
  <si>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</si>
  <si>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</si>
  <si>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</si>
  <si>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</si>
  <si>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</si>
  <si>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</si>
  <si>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</si>
  <si>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</si>
  <si>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</si>
  <si>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</si>
  <si>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</si>
  <si>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</si>
  <si>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</si>
  <si>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</si>
  <si>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</si>
  <si>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</si>
  <si>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</si>
  <si>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</si>
  <si>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</si>
  <si>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</si>
  <si>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</si>
  <si>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</si>
  <si>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</si>
  <si>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</si>
  <si>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</si>
  <si>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</si>
  <si>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</si>
  <si>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</si>
  <si>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</si>
  <si>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</si>
  <si>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</si>
  <si>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</si>
  <si>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</si>
  <si>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</si>
  <si>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</si>
  <si>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</si>
  <si>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</si>
  <si>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</si>
  <si>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</si>
  <si>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</si>
  <si>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</si>
  <si>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</si>
  <si>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</si>
  <si>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</si>
  <si>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</si>
  <si>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</si>
  <si>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</si>
  <si>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</si>
  <si>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</si>
  <si>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</si>
  <si>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</si>
  <si>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</si>
  <si>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</si>
  <si>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</si>
  <si>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</si>
  <si>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</si>
  <si>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</si>
  <si>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</si>
  <si>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</si>
  <si>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</si>
  <si>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</si>
  <si>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</si>
  <si>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</si>
  <si>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</si>
  <si>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</si>
  <si>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</si>
  <si>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</si>
  <si>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</si>
  <si>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</si>
  <si>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</si>
  <si>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</si>
  <si>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</si>
  <si>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</si>
  <si>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</si>
  <si>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</si>
  <si>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</si>
  <si>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</si>
  <si>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</si>
  <si>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</si>
  <si>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</si>
  <si>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</si>
  <si>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</si>
  <si>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</si>
  <si>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</si>
  <si>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</si>
  <si>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</si>
  <si>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</si>
  <si>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</si>
  <si>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</si>
  <si>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</si>
  <si>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</si>
  <si>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</si>
  <si>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</si>
  <si>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</si>
  <si>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</si>
  <si>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</si>
  <si>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</si>
  <si>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</si>
  <si>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</si>
  <si>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</si>
  <si>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</si>
  <si>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</si>
  <si>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</si>
  <si>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</si>
  <si>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</si>
  <si>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</si>
  <si>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</si>
  <si>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</si>
  <si>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</si>
  <si>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</si>
  <si>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</si>
  <si>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</si>
  <si>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</si>
  <si>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</si>
  <si>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</si>
  <si>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</si>
  <si>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</si>
  <si>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</si>
  <si>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</si>
  <si>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</si>
  <si>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</si>
  <si>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</si>
  <si>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</si>
  <si>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</si>
  <si>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</si>
  <si>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</si>
  <si>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</si>
  <si>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</si>
  <si>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</si>
  <si>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</si>
  <si>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</si>
  <si>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</si>
  <si>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</si>
  <si>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</si>
  <si>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</si>
  <si>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</si>
  <si>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</si>
  <si>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</si>
  <si>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</si>
  <si>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</si>
  <si>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</si>
  <si>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</si>
  <si>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</si>
  <si>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</si>
  <si>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</si>
  <si>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</si>
  <si>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</si>
  <si>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</si>
  <si>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</si>
  <si>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</si>
  <si>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</si>
  <si>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</si>
  <si>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</si>
  <si>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</si>
  <si>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</si>
  <si>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</si>
  <si>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</si>
  <si>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</si>
  <si>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</si>
  <si>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</si>
  <si>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</si>
  <si>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</si>
  <si>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</si>
  <si>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</si>
  <si>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</si>
  <si>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</si>
  <si>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</si>
  <si>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</si>
  <si>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</si>
  <si>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</si>
  <si>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</si>
  <si>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</si>
  <si>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</si>
  <si>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</si>
  <si>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</si>
  <si>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</si>
  <si>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</si>
  <si>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</si>
  <si>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</si>
  <si>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</si>
  <si>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</si>
  <si>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</si>
  <si>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</si>
  <si>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</si>
  <si>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</si>
  <si>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</si>
  <si>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</si>
  <si>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</si>
  <si>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</si>
  <si>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</si>
  <si>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</si>
  <si>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</si>
  <si>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</si>
  <si>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</si>
  <si>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</si>
  <si>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</si>
  <si>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</si>
  <si>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</si>
  <si>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</si>
  <si>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</si>
  <si>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</si>
  <si>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</si>
  <si>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</si>
  <si>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</si>
  <si>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</si>
  <si>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</si>
  <si>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</si>
  <si>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</si>
  <si>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</si>
  <si>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</si>
  <si>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</si>
  <si>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</si>
  <si>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</si>
  <si>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</si>
  <si>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</si>
  <si>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</si>
  <si>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</si>
  <si>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</si>
  <si>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</si>
  <si>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</si>
  <si>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</si>
  <si>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</si>
  <si>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</si>
  <si>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</si>
  <si>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</si>
  <si>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</si>
  <si>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</si>
  <si>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</si>
  <si>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</si>
  <si>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</si>
  <si>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</si>
  <si>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</si>
  <si>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</si>
  <si>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</si>
  <si>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</si>
  <si>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</si>
  <si>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</si>
  <si>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</si>
  <si>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</si>
  <si>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</si>
  <si>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</si>
  <si>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</si>
  <si>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</si>
  <si>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</si>
  <si>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</si>
  <si>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</si>
  <si>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</si>
  <si>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</si>
  <si>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</si>
  <si>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</si>
  <si>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</si>
  <si>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</si>
  <si>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</si>
  <si>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</si>
  <si>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</si>
  <si>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</si>
  <si>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</si>
  <si>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</si>
  <si>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</si>
  <si>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</si>
  <si>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</si>
  <si>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</si>
  <si>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</si>
  <si>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</si>
  <si>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</si>
  <si>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</si>
  <si>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</si>
  <si>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</si>
  <si>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</si>
  <si>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</si>
  <si>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</si>
  <si>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</si>
  <si>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</si>
  <si>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</si>
  <si>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</si>
  <si>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</si>
  <si>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</si>
  <si>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</si>
  <si>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</si>
  <si>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</si>
  <si>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</si>
  <si>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</si>
  <si>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</si>
  <si>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</si>
  <si>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</si>
  <si>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</si>
  <si>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</si>
  <si>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</si>
  <si>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</si>
  <si>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</si>
  <si>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</si>
  <si>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</si>
  <si>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</si>
  <si>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</si>
  <si>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</si>
  <si>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</si>
  <si>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</si>
  <si>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</si>
  <si>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</si>
  <si>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</si>
  <si>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</si>
  <si>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</si>
  <si>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</si>
  <si>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</si>
  <si>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</si>
  <si>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</si>
  <si>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</si>
  <si>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</si>
  <si>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</si>
  <si>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</si>
  <si>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</si>
  <si>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</si>
  <si>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</si>
  <si>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</si>
  <si>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</si>
  <si>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</si>
  <si>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</si>
  <si>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</si>
  <si>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</si>
  <si>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</si>
  <si>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</si>
  <si>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</si>
  <si>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</si>
  <si>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</si>
  <si>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</si>
  <si>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</si>
  <si>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</si>
  <si>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</si>
  <si>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</si>
  <si>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</si>
  <si>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</si>
  <si>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</si>
  <si>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</si>
  <si>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</si>
  <si>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</si>
  <si>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</si>
  <si>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</si>
  <si>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</si>
  <si>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</si>
  <si>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</si>
  <si>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</si>
  <si>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</si>
  <si>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</si>
  <si>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</si>
  <si>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</si>
  <si>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</si>
  <si>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</si>
  <si>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</si>
  <si>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</si>
  <si>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</si>
  <si>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</si>
  <si>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</si>
  <si>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</si>
  <si>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</si>
  <si>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</si>
  <si>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</si>
  <si>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</si>
  <si>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</si>
  <si>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</si>
  <si>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</si>
  <si>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</si>
  <si>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</si>
  <si>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</si>
  <si>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</si>
  <si>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</si>
  <si>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</si>
  <si>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</si>
  <si>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</si>
  <si>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</si>
  <si>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</si>
  <si>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</si>
  <si>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</si>
  <si>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</si>
  <si>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</si>
  <si>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</si>
  <si>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</si>
  <si>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</si>
  <si>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</si>
  <si>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</si>
  <si>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</si>
  <si>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</si>
  <si>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</si>
  <si>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</si>
  <si>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</si>
  <si>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</si>
  <si>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</si>
  <si>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</si>
  <si>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</si>
  <si>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</si>
  <si>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</si>
  <si>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</si>
  <si>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</si>
  <si>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</si>
  <si>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</si>
  <si>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</si>
  <si>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</si>
  <si>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</si>
  <si>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</si>
  <si>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</si>
  <si>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</si>
  <si>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</si>
  <si>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</si>
  <si>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</si>
  <si>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</si>
  <si>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</si>
  <si>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</si>
  <si>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</si>
  <si>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</si>
  <si>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</si>
  <si>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</si>
  <si>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</si>
  <si>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</si>
  <si>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</si>
  <si>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</si>
  <si>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</si>
  <si>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</si>
  <si>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</si>
  <si>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</si>
  <si>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SUSAN J. LYONS, CPA, P.C.</t>
  </si>
  <si>
    <t>SUSAN J. LYONS</t>
  </si>
  <si>
    <t>5859 U.S. HIGHWAY 51</t>
  </si>
  <si>
    <t>ODIN</t>
  </si>
  <si>
    <t>IL</t>
  </si>
  <si>
    <t>618-267-3213</t>
  </si>
  <si>
    <t>618-247-3208</t>
  </si>
  <si>
    <t>060-006876</t>
  </si>
  <si>
    <t>slyons1007@gmail.com</t>
  </si>
  <si>
    <t>x</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</si>
  <si>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</si>
  <si>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</si>
  <si>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</si>
  <si>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</si>
  <si>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</si>
  <si>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</si>
  <si>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</si>
  <si>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RON DANIELS</t>
  </si>
  <si>
    <t>WASHINGTON</t>
  </si>
  <si>
    <t>PO BOX 27</t>
  </si>
  <si>
    <t>OKAWVILLE</t>
  </si>
  <si>
    <t>sfuhrhop@okawvillek12.org</t>
  </si>
  <si>
    <t>SCOTT FUHRHOP</t>
  </si>
  <si>
    <t>618-243-6454</t>
  </si>
  <si>
    <t>618-243-2400</t>
  </si>
  <si>
    <t>General Obligation Bonds</t>
  </si>
  <si>
    <t>General Obligation Bonds, Series 2011</t>
  </si>
  <si>
    <t>General Obligation Refunding Bonds, Series 2017</t>
  </si>
  <si>
    <t>Build America Bonds</t>
  </si>
  <si>
    <t>Regional Office of Education #13</t>
  </si>
  <si>
    <t>Egyptian Area Schools Employee Benefit Trust</t>
  </si>
  <si>
    <t>Vanguard Energy and Mid-American Energy</t>
  </si>
  <si>
    <t>WCSIT and Illinois School District Agency</t>
  </si>
  <si>
    <t>The Illinois Funds</t>
  </si>
  <si>
    <t>Kaskaskia Special Education District 801</t>
  </si>
  <si>
    <t>Regional Office of Education #13 &amp; Quality Network Solutions</t>
  </si>
  <si>
    <t>MCW Counties Career &amp; Technical Educational System</t>
  </si>
  <si>
    <t>Regional Office of Education #13 Safe School</t>
  </si>
  <si>
    <t>ED-Support Service Business- Food Service</t>
  </si>
  <si>
    <t>10-2560-400</t>
  </si>
  <si>
    <t>Aramark Corporation</t>
  </si>
  <si>
    <t>ED-Instructional-Supplies</t>
  </si>
  <si>
    <t>10-1000-400</t>
  </si>
  <si>
    <t>GFI Digital</t>
  </si>
  <si>
    <t>ED-Instructional-Purchased Service</t>
  </si>
  <si>
    <t>10-1000-300</t>
  </si>
  <si>
    <t>US Bank Corp</t>
  </si>
  <si>
    <t>TR-Support Service Business-Transportation</t>
  </si>
  <si>
    <t>40-2550-300</t>
  </si>
  <si>
    <t>Lehde Bus Service</t>
  </si>
  <si>
    <t>ED-Support Service Central-Information Services</t>
  </si>
  <si>
    <t>10-2630-300</t>
  </si>
  <si>
    <t>Quality Network Solutions</t>
  </si>
  <si>
    <t>Build America Bonds Tax Credit in account 30-4868</t>
  </si>
  <si>
    <t>are not considered federal funds for the SEFA</t>
  </si>
  <si>
    <t>Page 10, Line 81 - Student Sales</t>
  </si>
  <si>
    <t>Page 10, Line 107 - Education - Reimbursements from Clubs and Classes</t>
  </si>
  <si>
    <t xml:space="preserve">                                                Operations &amp; Maintenance - Reimbursement</t>
  </si>
  <si>
    <t xml:space="preserve">                                                Bond and Interest - Reimbursement from bond sale</t>
  </si>
  <si>
    <t>Page 12, Line 183 - REAP Grant</t>
  </si>
  <si>
    <t>Page 12, Line 171 - Education &amp; IMRF/Social Security -  Secondary Transition Experience Performance Third Party</t>
  </si>
  <si>
    <t>Page 15, Line 41 - Supplies sold to students</t>
  </si>
  <si>
    <t>Page 18, Line 171 - Bond Fees</t>
  </si>
  <si>
    <t>Page 25, Line 10 - Mobile Home Tax</t>
  </si>
  <si>
    <t>Audit Check - Item 8 - Principal retired on page 18 is $975,000 and the principal retired on page 24 is $10,475,000.</t>
  </si>
  <si>
    <t xml:space="preserve">                                                       The difference is $9,500,000 reflected as an other use on page Page 8, line 75 for the</t>
  </si>
  <si>
    <t xml:space="preserve">                                                       current bond refunding in October 2017.</t>
  </si>
  <si>
    <t>West Washington Co CUD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</si>
</sst>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11</xdr:row>
          <xdr:rowOff>0</xdr:rowOff>
        </xdr:from>
        <xdr:to>
          <xdr:col>3</xdr:col>
          <xdr:colOff>304800</xdr:colOff>
          <xdr:row>15</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13095010026</v>
      </c>
      <c r="B13" s="2004"/>
      <c r="C13" s="2004"/>
      <c r="D13" s="2004"/>
      <c r="E13" s="2004"/>
      <c r="F13" s="2004"/>
      <c r="G13" s="2004"/>
      <c r="H13" s="2005"/>
      <c r="I13" s="31"/>
      <c r="J13" s="30"/>
      <c r="K13" s="28"/>
      <c r="L13" s="30"/>
      <c r="M13" s="30"/>
      <c r="N13" s="30"/>
      <c r="O13" s="30"/>
      <c r="P13" s="30"/>
      <c r="Q13" s="30"/>
      <c r="R13" s="30"/>
      <c r="S13" s="30"/>
      <c r="T13" s="2008" t="s">
        <v>2078</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2096</v>
      </c>
      <c r="B15" s="2006"/>
      <c r="C15" s="2006"/>
      <c r="D15" s="2006"/>
      <c r="E15" s="2006"/>
      <c r="F15" s="2006"/>
      <c r="G15" s="2006"/>
      <c r="H15" s="2007"/>
      <c r="T15" s="1969" t="s">
        <v>2079</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2145</v>
      </c>
      <c r="B17" s="2031"/>
      <c r="C17" s="2031"/>
      <c r="D17" s="2031"/>
      <c r="E17" s="2031"/>
      <c r="F17" s="2031"/>
      <c r="G17" s="2031"/>
      <c r="H17" s="2032"/>
      <c r="T17" s="2018" t="s">
        <v>2080</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2097</v>
      </c>
      <c r="B19" s="2002"/>
      <c r="C19" s="2002"/>
      <c r="D19" s="2002"/>
      <c r="E19" s="2002"/>
      <c r="F19" s="2002"/>
      <c r="G19" s="2002"/>
      <c r="H19" s="2000"/>
      <c r="I19" s="30"/>
      <c r="J19" s="99"/>
      <c r="K19" s="40"/>
      <c r="L19" s="38"/>
      <c r="M19" s="112" t="s">
        <v>333</v>
      </c>
      <c r="P19" s="27"/>
      <c r="Q19" s="27"/>
      <c r="R19" s="27"/>
      <c r="S19" s="31"/>
      <c r="T19" s="2001" t="s">
        <v>2081</v>
      </c>
      <c r="U19" s="1999"/>
      <c r="V19" s="1999"/>
      <c r="W19" s="2000"/>
      <c r="X19" s="2016" t="s">
        <v>2082</v>
      </c>
      <c r="Y19" s="2017"/>
      <c r="Z19" s="2014">
        <v>62870</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2098</v>
      </c>
      <c r="B21" s="1999"/>
      <c r="C21" s="1999"/>
      <c r="D21" s="1999"/>
      <c r="E21" s="1999"/>
      <c r="F21" s="1999"/>
      <c r="G21" s="1999"/>
      <c r="H21" s="2000"/>
      <c r="I21" s="2024" t="s">
        <v>699</v>
      </c>
      <c r="J21" s="1987"/>
      <c r="K21" s="1987"/>
      <c r="L21" s="1987"/>
      <c r="M21" s="1987"/>
      <c r="N21" s="1987"/>
      <c r="O21" s="1987"/>
      <c r="P21" s="1987"/>
      <c r="Q21" s="1987"/>
      <c r="R21" s="1987"/>
      <c r="S21" s="1988"/>
      <c r="T21" s="1966" t="s">
        <v>2083</v>
      </c>
      <c r="U21" s="1967"/>
      <c r="V21" s="1967"/>
      <c r="W21" s="1967"/>
      <c r="X21" s="1980" t="s">
        <v>2084</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2099</v>
      </c>
      <c r="B23" s="2022"/>
      <c r="C23" s="2022"/>
      <c r="D23" s="2022"/>
      <c r="E23" s="2022"/>
      <c r="F23" s="2022"/>
      <c r="G23" s="2022"/>
      <c r="H23" s="2023"/>
      <c r="T23" s="1961" t="s">
        <v>2085</v>
      </c>
      <c r="U23" s="1962"/>
      <c r="V23" s="1962"/>
      <c r="W23" s="1962"/>
      <c r="X23" s="1977">
        <v>43466</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62271</v>
      </c>
      <c r="B25" s="1999"/>
      <c r="C25" s="1999"/>
      <c r="D25" s="1999"/>
      <c r="E25" s="1999"/>
      <c r="F25" s="1999"/>
      <c r="G25" s="1999"/>
      <c r="H25" s="2000"/>
      <c r="I25" s="113"/>
      <c r="J25" s="2065"/>
      <c r="K25" s="2065"/>
      <c r="L25" s="2065"/>
      <c r="M25" s="2065"/>
      <c r="N25" s="2065"/>
      <c r="O25" s="2065"/>
      <c r="P25" s="2065"/>
      <c r="Q25" s="2065"/>
      <c r="R25" s="2065"/>
      <c r="S25" s="2066"/>
      <c r="T25" s="1958" t="s">
        <v>2086</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48" t="s">
        <v>2077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2100</v>
      </c>
      <c r="B38" s="2031"/>
      <c r="C38" s="2031"/>
      <c r="D38" s="2031"/>
      <c r="E38" s="2031"/>
      <c r="F38" s="1999"/>
      <c r="G38" s="1999"/>
      <c r="H38" s="2000"/>
      <c r="I38" s="2050"/>
      <c r="J38" s="1970"/>
      <c r="K38" s="1970"/>
      <c r="L38" s="1970"/>
      <c r="M38" s="1970"/>
      <c r="N38" s="1970"/>
      <c r="O38" s="1970"/>
      <c r="P38" s="1971"/>
      <c r="Q38" s="1971"/>
      <c r="R38" s="1971"/>
      <c r="S38" s="1972"/>
      <c r="T38" s="1969" t="s">
        <v>2095</v>
      </c>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2099</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2101</v>
      </c>
      <c r="B42" s="2048"/>
      <c r="C42" s="2049"/>
      <c r="D42" s="2062" t="s">
        <v>2102</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43" sqref="D4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0">
        <f>'Revenues 9-14'!C5</f>
        <v>2066531</v>
      </c>
      <c r="C4" s="1546"/>
      <c r="D4" s="1773">
        <f>B4-C4</f>
        <v>2066531</v>
      </c>
      <c r="E4" s="1546">
        <v>2144559</v>
      </c>
      <c r="F4" s="1773">
        <f>E4-C4</f>
        <v>2144559</v>
      </c>
    </row>
    <row r="5" spans="1:6" ht="13.7" customHeight="1" x14ac:dyDescent="0.2">
      <c r="A5" s="716" t="s">
        <v>925</v>
      </c>
      <c r="B5" s="1771">
        <f>'Revenues 9-14'!D5</f>
        <v>281436</v>
      </c>
      <c r="C5" s="585"/>
      <c r="D5" s="1774">
        <f t="shared" ref="D5:D18" si="0">B5-C5</f>
        <v>281436</v>
      </c>
      <c r="E5" s="585">
        <v>293189</v>
      </c>
      <c r="F5" s="1774">
        <f>E5-C5</f>
        <v>293189</v>
      </c>
    </row>
    <row r="6" spans="1:6" ht="13.7" customHeight="1" x14ac:dyDescent="0.2">
      <c r="A6" s="716" t="s">
        <v>431</v>
      </c>
      <c r="B6" s="1771">
        <f>'Revenues 9-14'!E5</f>
        <v>502153</v>
      </c>
      <c r="C6" s="585"/>
      <c r="D6" s="1774">
        <f t="shared" si="0"/>
        <v>502153</v>
      </c>
      <c r="E6" s="585">
        <v>517819</v>
      </c>
      <c r="F6" s="1774">
        <f t="shared" ref="F6:F18" si="1">E6-C6</f>
        <v>517819</v>
      </c>
    </row>
    <row r="7" spans="1:6" ht="13.7" customHeight="1" x14ac:dyDescent="0.2">
      <c r="A7" s="716" t="s">
        <v>157</v>
      </c>
      <c r="B7" s="1771">
        <f>'Revenues 9-14'!F5</f>
        <v>186710</v>
      </c>
      <c r="C7" s="585"/>
      <c r="D7" s="1774">
        <f t="shared" si="0"/>
        <v>186710</v>
      </c>
      <c r="E7" s="585">
        <v>194510</v>
      </c>
      <c r="F7" s="1774">
        <f t="shared" si="1"/>
        <v>194510</v>
      </c>
    </row>
    <row r="8" spans="1:6" ht="13.7" customHeight="1" x14ac:dyDescent="0.2">
      <c r="A8" s="716" t="s">
        <v>1241</v>
      </c>
      <c r="B8" s="1771">
        <f>'Revenues 9-14'!G5</f>
        <v>56345</v>
      </c>
      <c r="C8" s="585"/>
      <c r="D8" s="1774">
        <f t="shared" si="0"/>
        <v>56345</v>
      </c>
      <c r="E8" s="585">
        <v>58705</v>
      </c>
      <c r="F8" s="1774">
        <f t="shared" si="1"/>
        <v>58705</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29405</v>
      </c>
      <c r="C10" s="585"/>
      <c r="D10" s="1774">
        <f t="shared" si="0"/>
        <v>29405</v>
      </c>
      <c r="E10" s="585">
        <v>30641</v>
      </c>
      <c r="F10" s="1774">
        <f t="shared" si="1"/>
        <v>30641</v>
      </c>
    </row>
    <row r="11" spans="1:6" x14ac:dyDescent="0.2">
      <c r="A11" s="716" t="s">
        <v>429</v>
      </c>
      <c r="B11" s="1771">
        <f>'Revenues 9-14'!J5</f>
        <v>57417</v>
      </c>
      <c r="C11" s="585"/>
      <c r="D11" s="1774">
        <f t="shared" si="0"/>
        <v>57417</v>
      </c>
      <c r="E11" s="585">
        <v>67998</v>
      </c>
      <c r="F11" s="1774">
        <f t="shared" si="1"/>
        <v>67998</v>
      </c>
    </row>
    <row r="12" spans="1:6" ht="13.7" customHeight="1" x14ac:dyDescent="0.2">
      <c r="A12" s="716" t="s">
        <v>159</v>
      </c>
      <c r="B12" s="1771">
        <f>'Revenues 9-14'!K5</f>
        <v>5385</v>
      </c>
      <c r="C12" s="585"/>
      <c r="D12" s="1774">
        <f t="shared" si="0"/>
        <v>5385</v>
      </c>
      <c r="E12" s="585">
        <v>5619</v>
      </c>
      <c r="F12" s="1774">
        <f t="shared" si="1"/>
        <v>5619</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23496</v>
      </c>
      <c r="C14" s="585"/>
      <c r="D14" s="1774">
        <f t="shared" si="0"/>
        <v>23496</v>
      </c>
      <c r="E14" s="585">
        <v>24486</v>
      </c>
      <c r="F14" s="1774">
        <f t="shared" si="1"/>
        <v>24486</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70423</v>
      </c>
      <c r="C16" s="585"/>
      <c r="D16" s="1774">
        <f t="shared" si="0"/>
        <v>70423</v>
      </c>
      <c r="E16" s="585">
        <v>73369</v>
      </c>
      <c r="F16" s="1774">
        <f t="shared" si="1"/>
        <v>73369</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3279301</v>
      </c>
      <c r="C19" s="1772">
        <f>SUM(C4:C18)</f>
        <v>0</v>
      </c>
      <c r="D19" s="1772">
        <f>SUM(D4:D18)</f>
        <v>3279301</v>
      </c>
      <c r="E19" s="1772">
        <f>SUM(E4:E18)</f>
        <v>3410895</v>
      </c>
      <c r="F19" s="1772">
        <f>SUM(F4:F18)</f>
        <v>3410895</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9" colorId="8" zoomScale="110" zoomScaleNormal="110" workbookViewId="0">
      <selection activeCell="D43" sqref="D4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7" t="s">
        <v>2038</v>
      </c>
      <c r="D2" s="724" t="s">
        <v>2045</v>
      </c>
      <c r="E2" s="724" t="s">
        <v>2046</v>
      </c>
      <c r="F2" s="1907" t="s">
        <v>2039</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6">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4" t="s">
        <v>652</v>
      </c>
      <c r="B15" s="2205"/>
      <c r="C15" s="1776">
        <f>SUM(C6:C14)</f>
        <v>0</v>
      </c>
      <c r="D15" s="1776">
        <f>SUM(D6:D14)</f>
        <v>0</v>
      </c>
      <c r="E15" s="1776">
        <f>SUM(E6:E14)</f>
        <v>0</v>
      </c>
      <c r="F15" s="1776">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6">
        <f>SUM(C17+D17)-E17</f>
        <v>0</v>
      </c>
    </row>
    <row r="18" spans="1:11" ht="12.75" customHeight="1" thickTop="1" thickBot="1" x14ac:dyDescent="0.25">
      <c r="A18" s="2227" t="s">
        <v>6</v>
      </c>
      <c r="B18" s="2228"/>
      <c r="C18" s="727"/>
      <c r="D18" s="585"/>
      <c r="E18" s="727"/>
      <c r="F18" s="1776">
        <f>SUM(C18+D18)-E18</f>
        <v>0</v>
      </c>
    </row>
    <row r="19" spans="1:11" ht="12.75" customHeight="1" thickTop="1" thickBot="1" x14ac:dyDescent="0.25">
      <c r="A19" s="2227" t="s">
        <v>406</v>
      </c>
      <c r="B19" s="2228"/>
      <c r="C19" s="727"/>
      <c r="D19" s="585"/>
      <c r="E19" s="727"/>
      <c r="F19" s="1776">
        <f>SUM(C19+D19)-E19</f>
        <v>0</v>
      </c>
    </row>
    <row r="20" spans="1:11" ht="12.75" customHeight="1" thickTop="1" thickBot="1" x14ac:dyDescent="0.25">
      <c r="A20" s="2227" t="s">
        <v>468</v>
      </c>
      <c r="B20" s="2228"/>
      <c r="C20" s="727"/>
      <c r="D20" s="585"/>
      <c r="E20" s="727"/>
      <c r="F20" s="1776">
        <f>SUM(C20+D20)-E20</f>
        <v>0</v>
      </c>
    </row>
    <row r="21" spans="1:11" ht="14.25" thickTop="1" thickBot="1" x14ac:dyDescent="0.25">
      <c r="A21" s="2204" t="s">
        <v>653</v>
      </c>
      <c r="B21" s="2205"/>
      <c r="C21" s="1776">
        <f>SUM(C17:C20)</f>
        <v>0</v>
      </c>
      <c r="D21" s="1776">
        <f>SUM(D17:D20)</f>
        <v>0</v>
      </c>
      <c r="E21" s="1776">
        <f>SUM(E17:E20)</f>
        <v>0</v>
      </c>
      <c r="F21" s="1776">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6">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6">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6">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t="s">
        <v>2103</v>
      </c>
      <c r="B32" s="734">
        <v>40491</v>
      </c>
      <c r="C32" s="735">
        <v>17555000</v>
      </c>
      <c r="D32" s="736">
        <v>7</v>
      </c>
      <c r="E32" s="735">
        <v>14675000</v>
      </c>
      <c r="F32" s="735"/>
      <c r="G32" s="735"/>
      <c r="H32" s="735">
        <v>975000</v>
      </c>
      <c r="I32" s="1777">
        <f>((E32+F32)-H32)+G32</f>
        <v>13700000</v>
      </c>
      <c r="J32" s="735">
        <v>10923663</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t="s">
        <v>2104</v>
      </c>
      <c r="B34" s="734">
        <v>40899</v>
      </c>
      <c r="C34" s="735">
        <v>9500000</v>
      </c>
      <c r="D34" s="736">
        <v>6</v>
      </c>
      <c r="E34" s="735">
        <v>9500000</v>
      </c>
      <c r="F34" s="735"/>
      <c r="G34" s="735"/>
      <c r="H34" s="735">
        <v>9500000</v>
      </c>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t="s">
        <v>2105</v>
      </c>
      <c r="B36" s="734">
        <v>43025</v>
      </c>
      <c r="C36" s="735">
        <v>7405000</v>
      </c>
      <c r="D36" s="736">
        <v>3</v>
      </c>
      <c r="E36" s="735"/>
      <c r="F36" s="735">
        <v>7405000</v>
      </c>
      <c r="G36" s="735"/>
      <c r="H36" s="735"/>
      <c r="I36" s="1777">
        <f t="shared" si="1"/>
        <v>7405000</v>
      </c>
      <c r="J36" s="735">
        <v>7405000</v>
      </c>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34460000</v>
      </c>
      <c r="D49" s="746"/>
      <c r="E49" s="1777">
        <f t="shared" ref="E49:J49" si="2">SUM(E31:E48)</f>
        <v>24175000</v>
      </c>
      <c r="F49" s="1777">
        <f t="shared" si="2"/>
        <v>7405000</v>
      </c>
      <c r="G49" s="1777">
        <f t="shared" si="2"/>
        <v>0</v>
      </c>
      <c r="H49" s="1777">
        <f t="shared" si="2"/>
        <v>10475000</v>
      </c>
      <c r="I49" s="1777">
        <f t="shared" si="2"/>
        <v>21105000</v>
      </c>
      <c r="J49" s="1777">
        <f t="shared" si="2"/>
        <v>18328663</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t="s">
        <v>2106</v>
      </c>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44" right="0.28000000000000003" top="0.35" bottom="0.32" header="0.17"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43" sqref="D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v>0</v>
      </c>
      <c r="I3" s="765">
        <v>0</v>
      </c>
      <c r="J3" s="766">
        <v>0</v>
      </c>
      <c r="K3" s="766">
        <v>0</v>
      </c>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23496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4675</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8355</v>
      </c>
    </row>
    <row r="10" spans="1:11" x14ac:dyDescent="0.2">
      <c r="A10" s="2258" t="s">
        <v>1920</v>
      </c>
      <c r="B10" s="2231"/>
      <c r="C10" s="2231"/>
      <c r="D10" s="2231"/>
      <c r="E10" s="2260"/>
      <c r="F10" s="784" t="s">
        <v>917</v>
      </c>
      <c r="G10" s="783"/>
      <c r="H10" s="785">
        <v>15</v>
      </c>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8"/>
      <c r="G12" s="1779">
        <f>SUM(G5:G11)</f>
        <v>0</v>
      </c>
      <c r="H12" s="1779">
        <f>SUM(H5:H11)</f>
        <v>23511</v>
      </c>
      <c r="I12" s="1779">
        <f>SUM(I5:I11)</f>
        <v>0</v>
      </c>
      <c r="J12" s="1779">
        <f>SUM(J5:J11)</f>
        <v>0</v>
      </c>
      <c r="K12" s="1779">
        <f>SUM(K5:K11)</f>
        <v>13030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23511</v>
      </c>
      <c r="I14" s="772"/>
      <c r="J14" s="774"/>
      <c r="K14" s="766">
        <v>13030</v>
      </c>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0"/>
      <c r="G21" s="793"/>
      <c r="H21" s="797"/>
      <c r="I21" s="797"/>
      <c r="J21" s="1781">
        <f>SUM(J18:J20)</f>
        <v>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2"/>
      <c r="G23" s="1779">
        <f>SUM(G14:G16,G21,G22)</f>
        <v>0</v>
      </c>
      <c r="H23" s="1779">
        <f>SUM(H14:H16,H21,H22)</f>
        <v>23511</v>
      </c>
      <c r="I23" s="1779">
        <f>SUM(I14:I16,I21,I22)</f>
        <v>0</v>
      </c>
      <c r="J23" s="1779">
        <f>SUM(J14:J16,J21,J22)</f>
        <v>0</v>
      </c>
      <c r="K23" s="1779">
        <f>SUM(K14:K16,K21,K22)</f>
        <v>13030</v>
      </c>
    </row>
    <row r="24" spans="1:11" ht="14.25" thickTop="1" thickBot="1" x14ac:dyDescent="0.25">
      <c r="A24" s="2252" t="s">
        <v>2026</v>
      </c>
      <c r="B24" s="2251"/>
      <c r="C24" s="2251"/>
      <c r="D24" s="2251"/>
      <c r="E24" s="2251"/>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42" right="0.2" top="0.66" bottom="0.35" header="0.21"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190587</v>
      </c>
      <c r="D5" s="842"/>
      <c r="E5" s="842"/>
      <c r="F5" s="1781">
        <f>(C5+D5)-E5</f>
        <v>190587</v>
      </c>
      <c r="G5" s="838"/>
      <c r="H5" s="843"/>
      <c r="I5" s="843"/>
      <c r="J5" s="843"/>
      <c r="K5" s="794"/>
      <c r="L5" s="1790">
        <f>F5-K5</f>
        <v>190587</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31571207</v>
      </c>
      <c r="D8" s="845"/>
      <c r="E8" s="845"/>
      <c r="F8" s="1781">
        <f>(C8+D8)-E8</f>
        <v>31571207</v>
      </c>
      <c r="G8" s="844">
        <v>50</v>
      </c>
      <c r="H8" s="766">
        <v>4844854</v>
      </c>
      <c r="I8" s="766">
        <v>608392</v>
      </c>
      <c r="J8" s="766"/>
      <c r="K8" s="1790">
        <f>(H8+I8)-J8</f>
        <v>5453246</v>
      </c>
      <c r="L8" s="1790">
        <f>F8-K8</f>
        <v>26117961</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236737</v>
      </c>
      <c r="D10" s="847"/>
      <c r="E10" s="847"/>
      <c r="F10" s="1785">
        <f>(C10+D10)-E10</f>
        <v>236737</v>
      </c>
      <c r="G10" s="844">
        <v>20</v>
      </c>
      <c r="H10" s="848">
        <v>141684</v>
      </c>
      <c r="I10" s="848">
        <v>8218</v>
      </c>
      <c r="J10" s="848"/>
      <c r="K10" s="1790">
        <f>(H10+I10)-J10</f>
        <v>149902</v>
      </c>
      <c r="L10" s="1790">
        <f>F10-K10</f>
        <v>86835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2584820</v>
      </c>
      <c r="D12" s="845">
        <v>48999</v>
      </c>
      <c r="E12" s="845"/>
      <c r="F12" s="1781">
        <f>(C12+D12)-E12</f>
        <v>2633819</v>
      </c>
      <c r="G12" s="844">
        <v>10</v>
      </c>
      <c r="H12" s="766">
        <v>1602902</v>
      </c>
      <c r="I12" s="766">
        <v>182277</v>
      </c>
      <c r="J12" s="766"/>
      <c r="K12" s="1790">
        <f>(H12+I12)-J12</f>
        <v>1785179</v>
      </c>
      <c r="L12" s="1790">
        <f>F12-K12</f>
        <v>848640</v>
      </c>
    </row>
    <row r="13" spans="1:14" ht="14.25" thickTop="1" thickBot="1" x14ac:dyDescent="0.25">
      <c r="A13" s="849" t="s">
        <v>1184</v>
      </c>
      <c r="B13" s="841">
        <v>252</v>
      </c>
      <c r="C13" s="845">
        <v>5345</v>
      </c>
      <c r="D13" s="845"/>
      <c r="E13" s="845"/>
      <c r="F13" s="1781">
        <f>(C13+D13)-E13</f>
        <v>5345</v>
      </c>
      <c r="G13" s="844">
        <v>5</v>
      </c>
      <c r="H13" s="766">
        <v>5345</v>
      </c>
      <c r="I13" s="766"/>
      <c r="J13" s="766"/>
      <c r="K13" s="1790">
        <f>(H13+I13)-J13</f>
        <v>5345</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34588696</v>
      </c>
      <c r="D16" s="1781">
        <f>SUM(D3,D5:D6,D8:D10,D12:D15)</f>
        <v>48999</v>
      </c>
      <c r="E16" s="1781">
        <f>SUM(E3,E5:E6,E8:E10,E12:E15)</f>
        <v>0</v>
      </c>
      <c r="F16" s="1781">
        <f>SUM(F3,F5:F6,F8:F10,F12:F15)</f>
        <v>34637695</v>
      </c>
      <c r="G16" s="844"/>
      <c r="H16" s="1781">
        <f>SUM(H3,H6,H8:H10,H12:H14,)</f>
        <v>6594785</v>
      </c>
      <c r="I16" s="1781">
        <f>SUM(I3,I6,I8:I10,I12:I14,)</f>
        <v>798887</v>
      </c>
      <c r="J16" s="1781">
        <f>SUM(J3,J6,J8:J10,J12:J14,)</f>
        <v>0</v>
      </c>
      <c r="K16" s="1781">
        <f>(H16+I16)-J16</f>
        <v>7393672</v>
      </c>
      <c r="L16" s="1781">
        <f>F16-K16</f>
        <v>27244023</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798887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36" right="0.17" top="1.1000000000000001" bottom="0.52" header="0.19"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D43" sqref="D43"/>
      <selection pane="bottomLeft" activeCell="D43" sqref="D4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4206300</v>
      </c>
      <c r="G8" s="866"/>
    </row>
    <row r="9" spans="1:7" x14ac:dyDescent="0.2">
      <c r="A9" s="870" t="s">
        <v>480</v>
      </c>
      <c r="B9" s="871" t="s">
        <v>1989</v>
      </c>
      <c r="C9" s="872"/>
      <c r="D9" s="870" t="s">
        <v>522</v>
      </c>
      <c r="E9" s="869"/>
      <c r="F9" s="1933">
        <f>'Expenditures 15-22'!K151</f>
        <v>280142</v>
      </c>
      <c r="G9" s="873"/>
    </row>
    <row r="10" spans="1:7" x14ac:dyDescent="0.2">
      <c r="A10" s="870" t="s">
        <v>520</v>
      </c>
      <c r="B10" s="871" t="s">
        <v>1990</v>
      </c>
      <c r="C10" s="872"/>
      <c r="D10" s="870" t="s">
        <v>522</v>
      </c>
      <c r="E10" s="869"/>
      <c r="F10" s="1933">
        <f>'Expenditures 15-22'!K174</f>
        <v>1909545</v>
      </c>
      <c r="G10" s="873"/>
    </row>
    <row r="11" spans="1:7" x14ac:dyDescent="0.2">
      <c r="A11" s="870" t="s">
        <v>481</v>
      </c>
      <c r="B11" s="871" t="s">
        <v>1991</v>
      </c>
      <c r="C11" s="872"/>
      <c r="D11" s="870" t="s">
        <v>522</v>
      </c>
      <c r="E11" s="869"/>
      <c r="F11" s="1933">
        <f>'Expenditures 15-22'!K210</f>
        <v>390683</v>
      </c>
      <c r="G11" s="873"/>
    </row>
    <row r="12" spans="1:7" x14ac:dyDescent="0.2">
      <c r="A12" s="870" t="s">
        <v>482</v>
      </c>
      <c r="B12" s="871" t="s">
        <v>1992</v>
      </c>
      <c r="C12" s="872"/>
      <c r="D12" s="870" t="s">
        <v>522</v>
      </c>
      <c r="E12" s="869"/>
      <c r="F12" s="1933">
        <f>'Expenditures 15-22'!K295</f>
        <v>139013</v>
      </c>
      <c r="G12" s="873"/>
    </row>
    <row r="13" spans="1:7" x14ac:dyDescent="0.2">
      <c r="A13" s="870" t="s">
        <v>108</v>
      </c>
      <c r="B13" s="871" t="s">
        <v>1993</v>
      </c>
      <c r="C13" s="872"/>
      <c r="D13" s="870" t="s">
        <v>522</v>
      </c>
      <c r="E13" s="869"/>
      <c r="F13" s="1933">
        <f>'Expenditures 15-22'!K342</f>
        <v>85531</v>
      </c>
      <c r="G13" s="874"/>
    </row>
    <row r="14" spans="1:7" ht="12" customHeight="1" thickBot="1" x14ac:dyDescent="0.25">
      <c r="A14" s="1791"/>
      <c r="B14" s="1792"/>
      <c r="C14" s="1793"/>
      <c r="D14" s="1794" t="s">
        <v>522</v>
      </c>
      <c r="E14" s="1795" t="s">
        <v>1015</v>
      </c>
      <c r="F14" s="1796">
        <f>SUM(F8:F13)</f>
        <v>7011214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190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123155</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66259</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7">
        <f>'Expenditures 15-22'!K102</f>
        <v>135915</v>
      </c>
      <c r="G53" s="866"/>
    </row>
    <row r="54" spans="1:7" x14ac:dyDescent="0.2">
      <c r="A54" s="870" t="s">
        <v>479</v>
      </c>
      <c r="B54" s="870" t="s">
        <v>1552</v>
      </c>
      <c r="C54" s="890" t="s">
        <v>1039</v>
      </c>
      <c r="D54" s="886" t="s">
        <v>1157</v>
      </c>
      <c r="E54" s="869"/>
      <c r="F54" s="1937">
        <f>'Expenditures 15-22'!G114</f>
        <v>48999</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0</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975000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0</v>
      </c>
      <c r="G64" s="866"/>
    </row>
    <row r="65" spans="1:8" x14ac:dyDescent="0.2">
      <c r="A65" s="870" t="s">
        <v>481</v>
      </c>
      <c r="B65" s="870" t="s">
        <v>2002</v>
      </c>
      <c r="C65" s="887" t="s">
        <v>1039</v>
      </c>
      <c r="D65" s="886" t="s">
        <v>1157</v>
      </c>
      <c r="E65" s="869"/>
      <c r="F65" s="1937">
        <f>'Expenditures 15-22'!G210</f>
        <v>0</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3852</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1353370</v>
      </c>
      <c r="G76" s="866"/>
    </row>
    <row r="77" spans="1:8" s="894" customFormat="1" ht="12" customHeight="1" thickTop="1" thickBot="1" x14ac:dyDescent="0.25">
      <c r="A77" s="1800"/>
      <c r="B77" s="1797"/>
      <c r="C77" s="1793"/>
      <c r="D77" s="1798" t="s">
        <v>2012</v>
      </c>
      <c r="E77" s="1795"/>
      <c r="F77" s="1801">
        <f>(F14-F76)</f>
        <v>5657844</v>
      </c>
      <c r="G77" s="870"/>
    </row>
    <row r="78" spans="1:8" s="894" customFormat="1" ht="12" customHeight="1" thickTop="1" x14ac:dyDescent="0.2">
      <c r="A78" s="1802"/>
      <c r="B78" s="1797"/>
      <c r="C78" s="1793"/>
      <c r="D78" s="1798" t="s">
        <v>2059</v>
      </c>
      <c r="E78" s="1795"/>
      <c r="F78" s="899">
        <v>521.29999999999995</v>
      </c>
      <c r="G78" s="900"/>
      <c r="H78" s="870"/>
    </row>
    <row r="79" spans="1:8" s="894" customFormat="1" ht="12" customHeight="1" thickBot="1" x14ac:dyDescent="0.25">
      <c r="A79" s="1803"/>
      <c r="B79" s="1797"/>
      <c r="C79" s="1793"/>
      <c r="D79" s="1798" t="s">
        <v>2013</v>
      </c>
      <c r="E79" s="1795" t="s">
        <v>1015</v>
      </c>
      <c r="F79" s="1804">
        <f>IF(F78&gt;0,F77/F78," Complete Line 78")</f>
        <v>10853.335891041628</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117</v>
      </c>
      <c r="G84" s="913"/>
    </row>
    <row r="85" spans="1:7" x14ac:dyDescent="0.2">
      <c r="A85" s="909" t="s">
        <v>481</v>
      </c>
      <c r="B85" s="909" t="s">
        <v>192</v>
      </c>
      <c r="C85" s="914">
        <f>'Revenues 9-14'!B44</f>
        <v>1413</v>
      </c>
      <c r="D85" s="912" t="str">
        <f>'Revenues 9-14'!A44</f>
        <v>Regular - Transp Fees from Other Sources (In State)</v>
      </c>
      <c r="E85" s="907"/>
      <c r="F85" s="1810">
        <f>'Revenues 9-14'!F44</f>
        <v>101</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3386</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136563</v>
      </c>
      <c r="G94" s="913"/>
    </row>
    <row r="95" spans="1:7" x14ac:dyDescent="0.2">
      <c r="A95" s="909" t="s">
        <v>142</v>
      </c>
      <c r="B95" s="909" t="s">
        <v>177</v>
      </c>
      <c r="C95" s="911">
        <v>1700</v>
      </c>
      <c r="D95" s="919" t="str">
        <f>'Revenues 9-14'!A82</f>
        <v>Total District/School Activity Income</v>
      </c>
      <c r="E95" s="907"/>
      <c r="F95" s="1810">
        <f>SUM('Revenues 9-14'!C82,'Revenues 9-14'!D82)</f>
        <v>57519</v>
      </c>
      <c r="G95" s="913"/>
    </row>
    <row r="96" spans="1:7" x14ac:dyDescent="0.2">
      <c r="A96" s="909" t="s">
        <v>479</v>
      </c>
      <c r="B96" s="909" t="s">
        <v>178</v>
      </c>
      <c r="C96" s="911">
        <f>'Revenues 9-14'!B84</f>
        <v>1811</v>
      </c>
      <c r="D96" s="912" t="str">
        <f>'Revenues 9-14'!A84</f>
        <v>Rentals - Regular Textbooks</v>
      </c>
      <c r="E96" s="907"/>
      <c r="F96" s="1810">
        <f>'Revenues 9-14'!C84</f>
        <v>27632</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3500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10000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308</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73381</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10976</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1101</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8355</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282175</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68543</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86492</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89061</v>
      </c>
      <c r="G129" s="931"/>
    </row>
    <row r="130" spans="1:7" x14ac:dyDescent="0.2">
      <c r="A130" s="928" t="s">
        <v>689</v>
      </c>
      <c r="B130" s="928" t="s">
        <v>804</v>
      </c>
      <c r="C130" s="933">
        <v>4300</v>
      </c>
      <c r="D130" s="934" t="str">
        <f>'Revenues 9-14'!A211</f>
        <v>Total Title I</v>
      </c>
      <c r="E130" s="907"/>
      <c r="F130" s="1810">
        <f>SUM('Revenues 9-14'!C211,'Revenues 9-14'!D211,'Revenues 9-14'!F211,'Revenues 9-14'!G211)</f>
        <v>66425</v>
      </c>
      <c r="G130" s="931"/>
    </row>
    <row r="131" spans="1:7" x14ac:dyDescent="0.2">
      <c r="A131" s="928" t="s">
        <v>689</v>
      </c>
      <c r="B131" s="928" t="s">
        <v>805</v>
      </c>
      <c r="C131" s="933">
        <v>4400</v>
      </c>
      <c r="D131" s="934" t="str">
        <f>'Revenues 9-14'!A216</f>
        <v>Total Title IV</v>
      </c>
      <c r="E131" s="907"/>
      <c r="F131" s="1810">
        <f>SUM('Revenues 9-14'!C216,'Revenues 9-14'!D216,'Revenues 9-14'!F216,'Revenues 9-14'!G216)</f>
        <v>3280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29413</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874</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123155</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123155</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16127</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7350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56659</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1162493</v>
      </c>
    </row>
    <row r="179" spans="1:7" ht="12" customHeight="1" x14ac:dyDescent="0.2">
      <c r="A179" s="1791"/>
      <c r="B179" s="1805"/>
      <c r="C179" s="1806"/>
      <c r="D179" s="1807" t="s">
        <v>2015</v>
      </c>
      <c r="E179" s="1808"/>
      <c r="F179" s="1810">
        <f>'PCTC-OEPP 27-28'!F77-F178</f>
        <v>4495351</v>
      </c>
    </row>
    <row r="180" spans="1:7" ht="12" customHeight="1" x14ac:dyDescent="0.2">
      <c r="A180" s="1791"/>
      <c r="B180" s="1805"/>
      <c r="C180" s="1806"/>
      <c r="D180" s="1807" t="s">
        <v>1924</v>
      </c>
      <c r="E180" s="1808"/>
      <c r="F180" s="1810">
        <f>'Cap Outlay Deprec 26'!I18</f>
        <v>798887</v>
      </c>
    </row>
    <row r="181" spans="1:7" ht="12" customHeight="1" x14ac:dyDescent="0.2">
      <c r="A181" s="1791"/>
      <c r="B181" s="1805"/>
      <c r="C181" s="1806"/>
      <c r="D181" s="1807" t="s">
        <v>2016</v>
      </c>
      <c r="E181" s="1808"/>
      <c r="F181" s="1810">
        <f>F179+F180</f>
        <v>5294238</v>
      </c>
    </row>
    <row r="182" spans="1:7" ht="12" customHeight="1" x14ac:dyDescent="0.2">
      <c r="A182" s="1791"/>
      <c r="B182" s="1811"/>
      <c r="C182" s="1806"/>
      <c r="D182" s="1807" t="str">
        <f>D78</f>
        <v>9 Month ADA from District Average Daily Attendance/Prior General State Aid Inquiry 2017-2018</v>
      </c>
      <c r="E182" s="1808"/>
      <c r="F182" s="1812">
        <f>'PCTC-OEPP 27-28'!F78</f>
        <v>521.29999999999995</v>
      </c>
      <c r="G182" s="931"/>
    </row>
    <row r="183" spans="1:7" ht="12" customHeight="1" thickBot="1" x14ac:dyDescent="0.25">
      <c r="A183" s="1791"/>
      <c r="B183" s="1811"/>
      <c r="C183" s="1806"/>
      <c r="D183" s="1807" t="s">
        <v>2017</v>
      </c>
      <c r="E183" s="1808" t="s">
        <v>1626</v>
      </c>
      <c r="F183" s="1813">
        <f>F181/F182</f>
        <v>10155.837329752543</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pane ySplit="16" topLeftCell="A17" activePane="bottomLeft" state="frozen"/>
      <selection activeCell="D43" sqref="D43"/>
      <selection pane="bottomLeft" activeCell="D43" sqref="D43"/>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2116</v>
      </c>
      <c r="B17" s="1956" t="s">
        <v>2117</v>
      </c>
      <c r="C17" s="1957" t="s">
        <v>2118</v>
      </c>
      <c r="D17" s="1865">
        <v>166513</v>
      </c>
      <c r="E17" s="1562">
        <f t="shared" ref="E17:E30" si="1">IF(D17&lt;=25000,D17,IF(D17&gt;25000,25000,0))</f>
        <v>25000</v>
      </c>
      <c r="F17" s="1814">
        <f t="shared" si="0"/>
        <v>25000</v>
      </c>
      <c r="G17" s="1815">
        <f>IF(F17=0,0,D17-F17)</f>
        <v>141513</v>
      </c>
      <c r="H17" s="1669"/>
    </row>
    <row r="18" spans="1:8" x14ac:dyDescent="0.25">
      <c r="A18" s="1955" t="s">
        <v>2119</v>
      </c>
      <c r="B18" s="1956" t="s">
        <v>2120</v>
      </c>
      <c r="C18" s="1957" t="s">
        <v>2121</v>
      </c>
      <c r="D18" s="1865">
        <v>631</v>
      </c>
      <c r="E18" s="1562">
        <f t="shared" ref="E18:E29" si="2">IF(D18&lt;=25000,D18,IF(D18&gt;25000,25000,0))</f>
        <v>631</v>
      </c>
      <c r="F18" s="1814">
        <f t="shared" ref="F18:F2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631</v>
      </c>
      <c r="G18" s="1815">
        <f t="shared" ref="G18:G29" si="4">IF(F18=0,0,D18-F18)</f>
        <v>0</v>
      </c>
    </row>
    <row r="19" spans="1:8" x14ac:dyDescent="0.25">
      <c r="A19" s="1955" t="s">
        <v>2122</v>
      </c>
      <c r="B19" s="1956" t="s">
        <v>2123</v>
      </c>
      <c r="C19" s="1957" t="s">
        <v>2124</v>
      </c>
      <c r="D19" s="1865">
        <v>10586</v>
      </c>
      <c r="E19" s="1562">
        <f t="shared" si="2"/>
        <v>10586</v>
      </c>
      <c r="F19" s="1814">
        <f t="shared" si="3"/>
        <v>10586</v>
      </c>
      <c r="G19" s="1815">
        <f t="shared" si="4"/>
        <v>0</v>
      </c>
    </row>
    <row r="20" spans="1:8" x14ac:dyDescent="0.25">
      <c r="A20" s="1955" t="s">
        <v>2125</v>
      </c>
      <c r="B20" s="1956" t="s">
        <v>2126</v>
      </c>
      <c r="C20" s="1957" t="s">
        <v>2127</v>
      </c>
      <c r="D20" s="1865">
        <v>383975</v>
      </c>
      <c r="E20" s="1562">
        <f t="shared" si="2"/>
        <v>25000</v>
      </c>
      <c r="F20" s="1814">
        <f t="shared" si="3"/>
        <v>25000</v>
      </c>
      <c r="G20" s="1815">
        <f t="shared" si="4"/>
        <v>358975</v>
      </c>
    </row>
    <row r="21" spans="1:8" x14ac:dyDescent="0.25">
      <c r="A21" s="1955" t="s">
        <v>2128</v>
      </c>
      <c r="B21" s="1956" t="s">
        <v>2129</v>
      </c>
      <c r="C21" s="1957" t="s">
        <v>2130</v>
      </c>
      <c r="D21" s="1865">
        <v>35833</v>
      </c>
      <c r="E21" s="1562">
        <f t="shared" si="2"/>
        <v>25000</v>
      </c>
      <c r="F21" s="1814">
        <f t="shared" si="3"/>
        <v>25000</v>
      </c>
      <c r="G21" s="1815">
        <f t="shared" si="4"/>
        <v>10833</v>
      </c>
    </row>
    <row r="22" spans="1:8" x14ac:dyDescent="0.25">
      <c r="A22" s="1675"/>
      <c r="B22" s="1866"/>
      <c r="C22" s="1677"/>
      <c r="D22" s="1865"/>
      <c r="E22" s="1562">
        <f t="shared" si="2"/>
        <v>0</v>
      </c>
      <c r="F22" s="1814">
        <f t="shared" si="3"/>
        <v>0</v>
      </c>
      <c r="G22" s="1815">
        <f t="shared" si="4"/>
        <v>0</v>
      </c>
    </row>
    <row r="23" spans="1:8" x14ac:dyDescent="0.25">
      <c r="A23" s="1675"/>
      <c r="B23" s="1866"/>
      <c r="C23" s="1677"/>
      <c r="D23" s="1865"/>
      <c r="E23" s="1562">
        <f t="shared" si="2"/>
        <v>0</v>
      </c>
      <c r="F23" s="1814">
        <f t="shared" si="3"/>
        <v>0</v>
      </c>
      <c r="G23" s="1815">
        <f t="shared" si="4"/>
        <v>0</v>
      </c>
    </row>
    <row r="24" spans="1:8" x14ac:dyDescent="0.25">
      <c r="A24" s="1675"/>
      <c r="B24" s="1867"/>
      <c r="C24" s="1677"/>
      <c r="D24" s="1865"/>
      <c r="E24" s="1562">
        <f t="shared" si="2"/>
        <v>0</v>
      </c>
      <c r="F24" s="1814">
        <f t="shared" si="3"/>
        <v>0</v>
      </c>
      <c r="G24" s="1815">
        <f t="shared" si="4"/>
        <v>0</v>
      </c>
    </row>
    <row r="25" spans="1:8" x14ac:dyDescent="0.25">
      <c r="A25" s="1675"/>
      <c r="B25" s="1866"/>
      <c r="C25" s="1677"/>
      <c r="D25" s="1865"/>
      <c r="E25" s="1562">
        <f t="shared" si="2"/>
        <v>0</v>
      </c>
      <c r="F25" s="1814">
        <f t="shared" si="3"/>
        <v>0</v>
      </c>
      <c r="G25" s="1815">
        <f t="shared" si="4"/>
        <v>0</v>
      </c>
    </row>
    <row r="26" spans="1:8" x14ac:dyDescent="0.25">
      <c r="A26" s="1675"/>
      <c r="B26" s="1867"/>
      <c r="C26" s="1676"/>
      <c r="D26" s="1865"/>
      <c r="E26" s="1562">
        <f t="shared" si="2"/>
        <v>0</v>
      </c>
      <c r="F26" s="1814">
        <f t="shared" si="3"/>
        <v>0</v>
      </c>
      <c r="G26" s="1815">
        <f t="shared" si="4"/>
        <v>0</v>
      </c>
    </row>
    <row r="27" spans="1:8" x14ac:dyDescent="0.25">
      <c r="A27" s="1675"/>
      <c r="B27" s="1688"/>
      <c r="C27" s="1676"/>
      <c r="D27" s="1865"/>
      <c r="E27" s="1562">
        <f t="shared" ref="E27:E28" si="5">IF(D27&lt;=25000,D27,IF(D27&gt;25000,25000,0))</f>
        <v>0</v>
      </c>
      <c r="F27" s="1814">
        <f t="shared" ref="F27:F28" si="6">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5">
        <f t="shared" ref="G27:G28" si="7">IF(F27=0,0,D27-F27)</f>
        <v>0</v>
      </c>
    </row>
    <row r="28" spans="1:8" x14ac:dyDescent="0.25">
      <c r="A28" s="1675"/>
      <c r="B28" s="1688"/>
      <c r="C28" s="1676"/>
      <c r="D28" s="1865"/>
      <c r="E28" s="1562">
        <f t="shared" si="5"/>
        <v>0</v>
      </c>
      <c r="F28" s="1814">
        <f t="shared" si="6"/>
        <v>0</v>
      </c>
      <c r="G28" s="1815">
        <f t="shared" si="7"/>
        <v>0</v>
      </c>
    </row>
    <row r="29" spans="1:8" x14ac:dyDescent="0.25">
      <c r="A29" s="1675"/>
      <c r="B29" s="1687"/>
      <c r="C29" s="1676"/>
      <c r="D29" s="1865"/>
      <c r="E29" s="1562">
        <f t="shared" si="2"/>
        <v>0</v>
      </c>
      <c r="F29" s="1814">
        <f t="shared" si="3"/>
        <v>0</v>
      </c>
      <c r="G29" s="1815">
        <f t="shared" si="4"/>
        <v>0</v>
      </c>
    </row>
    <row r="30" spans="1:8" x14ac:dyDescent="0.25">
      <c r="A30" s="1818" t="s">
        <v>158</v>
      </c>
      <c r="B30" s="1819"/>
      <c r="C30" s="1820"/>
      <c r="D30" s="1816">
        <f>SUM(D17:D29)</f>
        <v>597538</v>
      </c>
      <c r="E30" s="1563">
        <f t="shared" si="1"/>
        <v>25000</v>
      </c>
      <c r="F30" s="1816">
        <f>SUM(F17:F29)</f>
        <v>86217</v>
      </c>
      <c r="G30" s="1817">
        <f>SUM(G17:G29)</f>
        <v>511321</v>
      </c>
    </row>
  </sheetData>
  <sheetProtection selectLockedCells="1"/>
  <mergeCells count="6">
    <mergeCell ref="A13:G13"/>
    <mergeCell ref="A4:G5"/>
    <mergeCell ref="A11:G11"/>
    <mergeCell ref="A7:G7"/>
    <mergeCell ref="A8:G8"/>
    <mergeCell ref="A9:G9"/>
  </mergeCells>
  <pageMargins left="0.52" right="0.2" top="0.5" bottom="0.25" header="0.3" footer="0.3"/>
  <pageSetup scale="70" firstPageNumber="29" fitToHeight="0" orientation="landscape" useFirstPageNumber="1"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D43" sqref="D4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2700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v>167860</v>
      </c>
      <c r="F10" s="975"/>
      <c r="G10" s="976"/>
      <c r="H10" s="162"/>
      <c r="I10" s="162"/>
    </row>
    <row r="11" spans="1:9" s="669" customFormat="1" ht="22.5" customHeight="1" x14ac:dyDescent="0.2">
      <c r="A11" s="2304" t="s">
        <v>1945</v>
      </c>
      <c r="B11" s="2305"/>
      <c r="C11" s="2305"/>
      <c r="D11" s="2306"/>
      <c r="E11" s="978">
        <v>19006</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3020386</v>
      </c>
      <c r="F19" s="1821"/>
      <c r="G19" s="1823">
        <f>'Expenditures 15-22'!K33-SUM('Expenditures 15-22'!G33,'Expenditures 15-22'!I33)+'Expenditures 15-22'!D229</f>
        <v>3020386</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156623</v>
      </c>
      <c r="F21" s="1824"/>
      <c r="G21" s="1827">
        <f>'Expenditures 15-22'!K42-SUM('Expenditures 15-22'!G42,'Expenditures 15-22'!I42)+'Expenditures 15-22'!K120-SUM('Expenditures 15-22'!G120,'Expenditures 15-22'!I120)+'Expenditures 15-22'!K180-SUM('Expenditures 15-22'!G180,'Expenditures 15-22'!I180)+'Expenditures 15-22'!D238</f>
        <v>156623</v>
      </c>
      <c r="H21" s="988"/>
      <c r="I21" s="162"/>
    </row>
    <row r="22" spans="1:9" s="669" customFormat="1" ht="12" customHeight="1" x14ac:dyDescent="0.2">
      <c r="A22" s="995" t="s">
        <v>585</v>
      </c>
      <c r="B22" s="996"/>
      <c r="C22" s="994">
        <v>2200</v>
      </c>
      <c r="D22" s="1824"/>
      <c r="E22" s="1826">
        <f>'Expenditures 15-22'!K47-SUM('Expenditures 15-22'!G47,'Expenditures 15-22'!I47)+'Expenditures 15-22'!D243</f>
        <v>14699</v>
      </c>
      <c r="F22" s="1824"/>
      <c r="G22" s="1827">
        <f>'Expenditures 15-22'!K47-SUM('Expenditures 15-22'!G47,'Expenditures 15-22'!I47)+'Expenditures 15-22'!D243</f>
        <v>14699</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240952</v>
      </c>
      <c r="F23" s="1824"/>
      <c r="G23" s="1826">
        <f>'Expenditures 15-22'!K53-SUM('Expenditures 15-22'!G53,'Expenditures 15-22'!I53)+'Expenditures 15-22'!D257+'Expenditures 15-22'!K330-SUM('Expenditures 15-22'!G330,'Expenditures 15-22'!I330)</f>
        <v>240952</v>
      </c>
      <c r="H23" s="988"/>
      <c r="I23" s="162"/>
    </row>
    <row r="24" spans="1:9" s="669" customFormat="1" ht="12" customHeight="1" x14ac:dyDescent="0.2">
      <c r="A24" s="995" t="s">
        <v>587</v>
      </c>
      <c r="B24" s="996"/>
      <c r="C24" s="994">
        <v>2400</v>
      </c>
      <c r="D24" s="1824"/>
      <c r="E24" s="1826">
        <f>'Expenditures 15-22'!K57-SUM('Expenditures 15-22'!G57,'Expenditures 15-22'!I57)+'Expenditures 15-22'!D261</f>
        <v>274076</v>
      </c>
      <c r="F24" s="1824"/>
      <c r="G24" s="1827">
        <f>'Expenditures 15-22'!K57-SUM('Expenditures 15-22'!G57,'Expenditures 15-22'!I57)+'Expenditures 15-22'!D261</f>
        <v>274076</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72578</v>
      </c>
      <c r="E27" s="1826">
        <f>E8</f>
        <v>2700</v>
      </c>
      <c r="F27" s="1826">
        <f>'Expenditures 15-22'!K60-SUM('Expenditures 15-22'!G60,'Expenditures 15-22'!I60)+'Expenditures 15-22'!D264-E8</f>
        <v>72578</v>
      </c>
      <c r="G27" s="1827">
        <f>E8</f>
        <v>2700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476578</v>
      </c>
      <c r="F28" s="1828">
        <f>'Expenditures 15-22'!K61-SUM('Expenditures 15-22'!G61,'Expenditures 15-22'!I61)+'Expenditures 15-22'!K124-SUM('Expenditures 15-22'!G124,'Expenditures 15-22'!I124)+'Expenditures 15-22'!D266-E9</f>
        <v>476578</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390752</v>
      </c>
      <c r="F29" s="1824"/>
      <c r="G29" s="1827">
        <f>'Expenditures 15-22'!K62-SUM('Expenditures 15-22'!G62,'Expenditures 15-22'!I62)+'Expenditures 15-22'!K125-SUM('Expenditures 15-22'!G125,'Expenditures 15-22'!I125)+'Expenditures 15-22'!K182-SUM('Expenditures 15-22'!G182,'Expenditures 15-22'!I182)+'Expenditures 15-22'!D267</f>
        <v>390752</v>
      </c>
      <c r="H29" s="986"/>
    </row>
    <row r="30" spans="1:9" ht="12" customHeight="1" x14ac:dyDescent="0.2">
      <c r="A30" s="995" t="s">
        <v>102</v>
      </c>
      <c r="B30" s="998"/>
      <c r="C30" s="994">
        <v>2560</v>
      </c>
      <c r="D30" s="1824"/>
      <c r="E30" s="1826">
        <f>'Expenditures 15-22'!K63-SUM('Expenditures 15-22'!G63,'Expenditures 15-22'!I63)+'Expenditures 15-22'!D268-E10</f>
        <v>31040</v>
      </c>
      <c r="F30" s="1824"/>
      <c r="G30" s="1826">
        <f>'Expenditures 15-22'!K63-SUM('Expenditures 15-22'!G63,'Expenditures 15-22'!I63)+'Expenditures 15-22'!D268-E10</f>
        <v>31040</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68386</v>
      </c>
      <c r="F35" s="1824"/>
      <c r="G35" s="1826">
        <f>'Expenditures 15-22'!K69-SUM('Expenditures 15-22'!G69,'Expenditures 15-22'!I69)+'Expenditures 15-22'!D274</f>
        <v>68386</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125</v>
      </c>
      <c r="F38" s="1824"/>
      <c r="G38" s="1826">
        <f>'Expenditures 15-22'!K73-SUM('Expenditures 15-22'!G73,'Expenditures 15-22'!I73)+'Expenditures 15-22'!K128-SUM('Expenditures 15-22'!G128,'Expenditures 15-22'!I128)+'Expenditures 15-22'!K183-SUM('Expenditures 15-22'!G183,'Expenditures 15-22'!I183)+'Expenditures 15-22'!D278</f>
        <v>125</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29'!G30</f>
        <v>-511321</v>
      </c>
      <c r="F40" s="1824"/>
      <c r="G40" s="1828">
        <f>-'Contracts Paid in CY 29'!G30</f>
        <v>-511321</v>
      </c>
    </row>
    <row r="41" spans="1:7" ht="12" customHeight="1" x14ac:dyDescent="0.2">
      <c r="A41" s="999" t="s">
        <v>158</v>
      </c>
      <c r="B41" s="1000"/>
      <c r="C41" s="1001"/>
      <c r="D41" s="1828">
        <f>SUM(D19:D39)</f>
        <v>72578</v>
      </c>
      <c r="E41" s="1828">
        <f>SUM(E19:E40)</f>
        <v>4164996</v>
      </c>
      <c r="F41" s="1828">
        <f>SUM(F19:F39)</f>
        <v>549156</v>
      </c>
      <c r="G41" s="1828">
        <f>SUM(G19:G40)</f>
        <v>3688418</v>
      </c>
    </row>
    <row r="42" spans="1:7" x14ac:dyDescent="0.2">
      <c r="A42" s="988"/>
      <c r="B42" s="162"/>
      <c r="C42" s="1002"/>
      <c r="D42" s="2302" t="s">
        <v>543</v>
      </c>
      <c r="E42" s="2303"/>
      <c r="F42" s="1003" t="s">
        <v>544</v>
      </c>
      <c r="G42" s="1004"/>
    </row>
    <row r="43" spans="1:7" ht="12" customHeight="1" x14ac:dyDescent="0.2">
      <c r="A43" s="988"/>
      <c r="B43" s="162"/>
      <c r="C43" s="1002"/>
      <c r="D43" s="1829" t="s">
        <v>493</v>
      </c>
      <c r="E43" s="1830">
        <f>D41</f>
        <v>72578</v>
      </c>
      <c r="F43" s="1829" t="s">
        <v>495</v>
      </c>
      <c r="G43" s="1830">
        <f>F41</f>
        <v>549156</v>
      </c>
    </row>
    <row r="44" spans="1:7" ht="12" customHeight="1" x14ac:dyDescent="0.2">
      <c r="A44" s="988"/>
      <c r="B44" s="162"/>
      <c r="C44" s="1002"/>
      <c r="D44" s="1829" t="s">
        <v>494</v>
      </c>
      <c r="E44" s="1830">
        <f>E41</f>
        <v>4164996</v>
      </c>
      <c r="F44" s="1829" t="s">
        <v>494</v>
      </c>
      <c r="G44" s="1830">
        <f>G41</f>
        <v>3688418</v>
      </c>
    </row>
    <row r="45" spans="1:7" ht="12" customHeight="1" x14ac:dyDescent="0.2">
      <c r="A45" s="988"/>
      <c r="B45" s="162"/>
      <c r="C45" s="162"/>
      <c r="D45" s="1831" t="s">
        <v>1063</v>
      </c>
      <c r="E45" s="1832">
        <f>(E43/E44)</f>
        <v>1.7425707011483323E-2</v>
      </c>
      <c r="F45" s="1831" t="s">
        <v>1063</v>
      </c>
      <c r="G45" s="1832">
        <f>(G43/G44)</f>
        <v>0.14888659582509359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52"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D43" sqref="D43"/>
      <selection pane="bottomLeft" activeCell="A43" sqref="A43:F43"/>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0" t="s">
        <v>1446</v>
      </c>
      <c r="B1" s="2310"/>
      <c r="C1" s="2310"/>
      <c r="D1" s="2310"/>
      <c r="E1" s="2310"/>
      <c r="F1" s="2310"/>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1" t="s">
        <v>1627</v>
      </c>
      <c r="B5" s="2312"/>
      <c r="C5" s="2313"/>
      <c r="D5" s="2313"/>
      <c r="E5" s="2313"/>
      <c r="F5" s="2313"/>
    </row>
    <row r="6" spans="1:10" ht="12" customHeight="1" x14ac:dyDescent="0.25">
      <c r="A6" s="1873"/>
      <c r="B6" s="1874"/>
      <c r="C6" s="2314" t="str">
        <f>COVER!A17</f>
        <v>West Washington Co CUD 10</v>
      </c>
      <c r="D6" s="2314"/>
      <c r="E6" s="2314"/>
      <c r="F6" s="1875"/>
    </row>
    <row r="7" spans="1:10" ht="11.25" customHeight="1" thickBot="1" x14ac:dyDescent="0.3">
      <c r="A7" s="1873"/>
      <c r="B7" s="1874"/>
      <c r="C7" s="2315">
        <f>COVER!A13</f>
        <v>13095010026</v>
      </c>
      <c r="D7" s="2315"/>
      <c r="E7" s="2315"/>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t="s">
        <v>2087</v>
      </c>
      <c r="D11" s="1888" t="s">
        <v>2087</v>
      </c>
      <c r="E11" s="1889" t="s">
        <v>2087</v>
      </c>
      <c r="F11" s="1890" t="s">
        <v>2107</v>
      </c>
      <c r="H11" s="1901">
        <f>IF(C11="X",5,0)</f>
        <v>5</v>
      </c>
      <c r="I11" s="1901">
        <f>IF(D11="X",5,0)</f>
        <v>5</v>
      </c>
      <c r="J11" s="1901">
        <f>IF(E11="X",5,0)</f>
        <v>5</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2087</v>
      </c>
      <c r="D13" s="1888" t="s">
        <v>2087</v>
      </c>
      <c r="E13" s="1891" t="s">
        <v>2087</v>
      </c>
      <c r="F13" s="1890" t="s">
        <v>2108</v>
      </c>
      <c r="H13" s="1901">
        <f t="shared" si="0"/>
        <v>5</v>
      </c>
      <c r="I13" s="1901">
        <f t="shared" si="1"/>
        <v>5</v>
      </c>
      <c r="J13" s="1901">
        <f t="shared" si="2"/>
        <v>5</v>
      </c>
    </row>
    <row r="14" spans="1:10" ht="12" customHeight="1" x14ac:dyDescent="0.2">
      <c r="A14" s="1886" t="s">
        <v>1453</v>
      </c>
      <c r="B14" s="1887"/>
      <c r="C14" s="1888" t="s">
        <v>2087</v>
      </c>
      <c r="D14" s="1888" t="s">
        <v>2087</v>
      </c>
      <c r="E14" s="1891" t="s">
        <v>2087</v>
      </c>
      <c r="F14" s="1890" t="s">
        <v>2109</v>
      </c>
      <c r="H14" s="1901">
        <f t="shared" si="0"/>
        <v>5</v>
      </c>
      <c r="I14" s="1901">
        <f t="shared" si="1"/>
        <v>5</v>
      </c>
      <c r="J14" s="1901">
        <f t="shared" si="2"/>
        <v>5</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2087</v>
      </c>
      <c r="D19" s="1888" t="s">
        <v>2087</v>
      </c>
      <c r="E19" s="1891" t="s">
        <v>2087</v>
      </c>
      <c r="F19" s="1890" t="s">
        <v>2110</v>
      </c>
      <c r="H19" s="1901">
        <f t="shared" si="0"/>
        <v>5</v>
      </c>
      <c r="I19" s="1901">
        <f t="shared" si="1"/>
        <v>5</v>
      </c>
      <c r="J19" s="1901">
        <f t="shared" si="2"/>
        <v>5</v>
      </c>
    </row>
    <row r="20" spans="1:12" ht="12" customHeight="1" x14ac:dyDescent="0.2">
      <c r="A20" s="1886" t="s">
        <v>1609</v>
      </c>
      <c r="B20" s="1887"/>
      <c r="C20" s="1888" t="s">
        <v>2087</v>
      </c>
      <c r="D20" s="1888" t="s">
        <v>2087</v>
      </c>
      <c r="E20" s="1891" t="s">
        <v>2087</v>
      </c>
      <c r="F20" s="1890" t="s">
        <v>2111</v>
      </c>
      <c r="H20" s="1901">
        <f t="shared" si="0"/>
        <v>5</v>
      </c>
      <c r="I20" s="1901">
        <f t="shared" si="1"/>
        <v>5</v>
      </c>
      <c r="J20" s="1901">
        <f t="shared" si="2"/>
        <v>5</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t="s">
        <v>2087</v>
      </c>
      <c r="D23" s="1888" t="s">
        <v>2087</v>
      </c>
      <c r="E23" s="1891" t="s">
        <v>2087</v>
      </c>
      <c r="F23" s="1890" t="s">
        <v>2107</v>
      </c>
      <c r="H23" s="1901">
        <f t="shared" si="0"/>
        <v>5</v>
      </c>
      <c r="I23" s="1901">
        <f t="shared" si="1"/>
        <v>5</v>
      </c>
      <c r="J23" s="1901">
        <f t="shared" si="2"/>
        <v>5</v>
      </c>
    </row>
    <row r="24" spans="1:12" ht="12" customHeight="1" x14ac:dyDescent="0.2">
      <c r="A24" s="1886" t="s">
        <v>1613</v>
      </c>
      <c r="B24" s="1887"/>
      <c r="C24" s="1888" t="s">
        <v>2087</v>
      </c>
      <c r="D24" s="1888" t="s">
        <v>2087</v>
      </c>
      <c r="E24" s="1891" t="s">
        <v>2087</v>
      </c>
      <c r="F24" s="1890" t="s">
        <v>2107</v>
      </c>
      <c r="H24" s="1901">
        <f t="shared" si="0"/>
        <v>5</v>
      </c>
      <c r="I24" s="1901">
        <f t="shared" si="1"/>
        <v>5</v>
      </c>
      <c r="J24" s="1901">
        <f t="shared" si="2"/>
        <v>5</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2087</v>
      </c>
      <c r="D26" s="1888" t="s">
        <v>2087</v>
      </c>
      <c r="E26" s="1891" t="s">
        <v>2087</v>
      </c>
      <c r="F26" s="1890" t="s">
        <v>2112</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t="s">
        <v>2087</v>
      </c>
      <c r="D29" s="1888" t="s">
        <v>2087</v>
      </c>
      <c r="E29" s="1891" t="s">
        <v>2087</v>
      </c>
      <c r="F29" s="1890" t="s">
        <v>2113</v>
      </c>
      <c r="H29" s="1901">
        <f t="shared" si="0"/>
        <v>5</v>
      </c>
      <c r="I29" s="1901">
        <f t="shared" si="1"/>
        <v>5</v>
      </c>
      <c r="J29" s="1901">
        <f t="shared" si="2"/>
        <v>5</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2087</v>
      </c>
      <c r="D31" s="1888" t="s">
        <v>2087</v>
      </c>
      <c r="E31" s="1891" t="s">
        <v>2087</v>
      </c>
      <c r="F31" s="1890" t="s">
        <v>2114</v>
      </c>
      <c r="H31" s="1901">
        <f t="shared" si="0"/>
        <v>5</v>
      </c>
      <c r="I31" s="1901">
        <f t="shared" si="1"/>
        <v>5</v>
      </c>
      <c r="J31" s="1901">
        <f t="shared" si="2"/>
        <v>5</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t="s">
        <v>2087</v>
      </c>
      <c r="D33" s="1888" t="s">
        <v>2087</v>
      </c>
      <c r="E33" s="1891" t="s">
        <v>2087</v>
      </c>
      <c r="F33" s="1890" t="s">
        <v>2115</v>
      </c>
      <c r="H33" s="1901">
        <f t="shared" si="0"/>
        <v>5</v>
      </c>
      <c r="I33" s="1901">
        <f t="shared" si="1"/>
        <v>5</v>
      </c>
      <c r="J33" s="1901">
        <f t="shared" si="2"/>
        <v>5</v>
      </c>
    </row>
    <row r="34" spans="1:11" ht="12" customHeight="1" x14ac:dyDescent="0.25">
      <c r="A34" s="1893"/>
      <c r="B34" s="1893"/>
      <c r="C34" s="1893"/>
      <c r="D34" s="1893"/>
      <c r="E34" s="1893"/>
      <c r="F34" s="1893"/>
      <c r="H34" s="1901">
        <f>SUM(H11:H32)</f>
        <v>50</v>
      </c>
      <c r="I34" s="1901">
        <f>SUM(I11:I32)</f>
        <v>50</v>
      </c>
      <c r="J34" s="1901">
        <f>SUM(J11:J32)</f>
        <v>50</v>
      </c>
      <c r="K34" s="1901">
        <f>SUM(H34:J34)</f>
        <v>150</v>
      </c>
    </row>
    <row r="35" spans="1:11" ht="12" customHeight="1" x14ac:dyDescent="0.2">
      <c r="A35" s="1894" t="s">
        <v>1459</v>
      </c>
      <c r="B35" s="1895"/>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6"/>
      <c r="B39" s="1896"/>
      <c r="C39" s="1896"/>
      <c r="D39" s="1896"/>
      <c r="E39" s="1896"/>
      <c r="F39" s="1896"/>
    </row>
    <row r="40" spans="1:11" s="1893" customFormat="1" ht="12" customHeight="1" x14ac:dyDescent="0.25">
      <c r="A40" s="1897" t="s">
        <v>1458</v>
      </c>
      <c r="B40" s="1898"/>
      <c r="C40" s="2324"/>
      <c r="D40" s="2324"/>
      <c r="E40" s="2324"/>
      <c r="F40" s="2325"/>
      <c r="H40" s="1902"/>
      <c r="I40" s="1902"/>
      <c r="J40" s="1902"/>
      <c r="K40" s="1902"/>
    </row>
    <row r="41" spans="1:11" s="1893" customFormat="1" ht="12" customHeight="1" x14ac:dyDescent="0.25">
      <c r="A41" s="2326"/>
      <c r="B41" s="2327"/>
      <c r="C41" s="2327"/>
      <c r="D41" s="2327"/>
      <c r="E41" s="2327"/>
      <c r="F41" s="2328"/>
      <c r="H41" s="1902"/>
      <c r="I41" s="1902"/>
      <c r="J41" s="1902"/>
      <c r="K41" s="1902"/>
    </row>
    <row r="42" spans="1:11" s="1893" customFormat="1" ht="12" customHeight="1" x14ac:dyDescent="0.25">
      <c r="A42" s="2326"/>
      <c r="B42" s="2327"/>
      <c r="C42" s="2327"/>
      <c r="D42" s="2327"/>
      <c r="E42" s="2327"/>
      <c r="F42" s="2328"/>
      <c r="H42" s="1902"/>
      <c r="I42" s="1902"/>
      <c r="J42" s="1902"/>
      <c r="K42" s="1902"/>
    </row>
    <row r="43" spans="1:11" s="1893" customFormat="1" ht="15" x14ac:dyDescent="0.25">
      <c r="A43" s="2318"/>
      <c r="B43" s="2319"/>
      <c r="C43" s="2319"/>
      <c r="D43" s="2319"/>
      <c r="E43" s="2319"/>
      <c r="F43" s="2320"/>
      <c r="H43" s="1902"/>
      <c r="I43" s="1902"/>
      <c r="J43" s="1902"/>
      <c r="K43" s="1902"/>
    </row>
    <row r="44" spans="1:11" s="1893" customFormat="1" ht="12" hidden="1" customHeight="1" x14ac:dyDescent="0.25">
      <c r="A44" s="2318"/>
      <c r="B44" s="2319"/>
      <c r="C44" s="2319"/>
      <c r="D44" s="2319"/>
      <c r="E44" s="2319"/>
      <c r="F44" s="2320"/>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D43" sqref="D4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4" t="str">
        <f>COVER!A17</f>
        <v>West Washington Co CUD 10</v>
      </c>
      <c r="J6" s="2335"/>
      <c r="Q6" s="1685"/>
    </row>
    <row r="7" spans="1:17" x14ac:dyDescent="0.2">
      <c r="A7" s="2336" t="s">
        <v>924</v>
      </c>
      <c r="B7" s="2337"/>
      <c r="C7" s="2337"/>
      <c r="D7" s="2337"/>
      <c r="E7" s="2338"/>
      <c r="F7" s="1018"/>
      <c r="G7" s="1010"/>
      <c r="H7" s="1017" t="s">
        <v>390</v>
      </c>
      <c r="I7" s="2339">
        <f>COVER!A13</f>
        <v>13095010026</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137762</v>
      </c>
      <c r="F12" s="1040"/>
      <c r="G12" s="1833">
        <f t="shared" ref="G12:G18" si="0">SUM(E12:F12)</f>
        <v>137762</v>
      </c>
      <c r="H12" s="1041">
        <v>144466</v>
      </c>
      <c r="I12" s="1040"/>
      <c r="J12" s="1833">
        <f t="shared" ref="J12:J18" si="1">SUM(H12:I12)</f>
        <v>144466</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3" t="s">
        <v>7</v>
      </c>
      <c r="C18" s="2344"/>
      <c r="D18" s="2345"/>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137762</v>
      </c>
      <c r="F19" s="1835">
        <f t="shared" si="2"/>
        <v>0</v>
      </c>
      <c r="G19" s="1835">
        <f t="shared" si="2"/>
        <v>137762</v>
      </c>
      <c r="H19" s="1835">
        <f t="shared" si="2"/>
        <v>144466</v>
      </c>
      <c r="I19" s="1835">
        <f t="shared" si="2"/>
        <v>0</v>
      </c>
      <c r="J19" s="1835">
        <f t="shared" si="2"/>
        <v>144466</v>
      </c>
    </row>
    <row r="20" spans="1:10" ht="13.5" thickTop="1" x14ac:dyDescent="0.2">
      <c r="A20" s="1036">
        <v>9</v>
      </c>
      <c r="B20" s="2346" t="s">
        <v>1703</v>
      </c>
      <c r="C20" s="2346"/>
      <c r="D20" s="2347"/>
      <c r="E20" s="1047"/>
      <c r="F20" s="1047"/>
      <c r="G20" s="1047"/>
      <c r="H20" s="1047"/>
      <c r="I20" s="1047"/>
      <c r="J20" s="1836">
        <f>IF(AND(G19&gt;0,J19&gt;0),(((J19-G19)/G19)),"Enter Budget Data")</f>
        <v>4.8663637287495828E-2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4" sqref="A2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2133</v>
      </c>
    </row>
    <row r="6" spans="1:2" x14ac:dyDescent="0.2">
      <c r="A6" s="1069"/>
    </row>
    <row r="7" spans="1:2" x14ac:dyDescent="0.2">
      <c r="A7" s="1069">
        <v>2</v>
      </c>
      <c r="B7" s="329" t="s">
        <v>2134</v>
      </c>
    </row>
    <row r="8" spans="1:2" x14ac:dyDescent="0.2">
      <c r="A8" s="1069" t="s">
        <v>2135</v>
      </c>
    </row>
    <row r="9" spans="1:2" x14ac:dyDescent="0.2">
      <c r="A9" s="1070" t="s">
        <v>2136</v>
      </c>
    </row>
    <row r="10" spans="1:2" x14ac:dyDescent="0.2">
      <c r="A10" s="1070"/>
    </row>
    <row r="11" spans="1:2" x14ac:dyDescent="0.2">
      <c r="A11" s="1070">
        <v>3</v>
      </c>
      <c r="B11" s="329" t="s">
        <v>2137</v>
      </c>
    </row>
    <row r="12" spans="1:2" x14ac:dyDescent="0.2">
      <c r="A12" s="1070"/>
    </row>
    <row r="13" spans="1:2" x14ac:dyDescent="0.2">
      <c r="A13" s="1070">
        <v>4</v>
      </c>
      <c r="B13" s="329" t="s">
        <v>2138</v>
      </c>
    </row>
    <row r="14" spans="1:2" x14ac:dyDescent="0.2">
      <c r="A14" s="1070"/>
    </row>
    <row r="15" spans="1:2" x14ac:dyDescent="0.2">
      <c r="A15" s="1070">
        <v>5</v>
      </c>
      <c r="B15" s="329" t="s">
        <v>2139</v>
      </c>
    </row>
    <row r="16" spans="1:2" x14ac:dyDescent="0.2">
      <c r="A16" s="1070"/>
    </row>
    <row r="17" spans="1:2" x14ac:dyDescent="0.2">
      <c r="A17" s="1070">
        <v>6</v>
      </c>
      <c r="B17" s="329" t="s">
        <v>2140</v>
      </c>
    </row>
    <row r="18" spans="1:2" x14ac:dyDescent="0.2">
      <c r="A18" s="1070"/>
    </row>
    <row r="19" spans="1:2" x14ac:dyDescent="0.2">
      <c r="A19" s="1070">
        <v>7</v>
      </c>
      <c r="B19" s="329" t="s">
        <v>2141</v>
      </c>
    </row>
    <row r="20" spans="1:2" x14ac:dyDescent="0.2">
      <c r="A20" s="1070"/>
    </row>
    <row r="21" spans="1:2" x14ac:dyDescent="0.2">
      <c r="A21" s="1070">
        <v>8</v>
      </c>
      <c r="B21" s="329" t="s">
        <v>2142</v>
      </c>
    </row>
    <row r="22" spans="1:2" x14ac:dyDescent="0.2">
      <c r="A22" s="1070" t="s">
        <v>2143</v>
      </c>
    </row>
    <row r="23" spans="1:2" x14ac:dyDescent="0.2">
      <c r="A23" s="1070" t="s">
        <v>2144</v>
      </c>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West Washington Co CUD 10</v>
      </c>
    </row>
    <row r="65" spans="2:2" x14ac:dyDescent="0.2">
      <c r="B65" s="1071">
        <f>COVER!A13</f>
        <v>13095010026</v>
      </c>
    </row>
  </sheetData>
  <phoneticPr fontId="13" type="noConversion"/>
  <pageMargins left="0.2" right="0.2" top="1.1499999999999999" bottom="0.75" header="0.74" footer="0.16"/>
  <pageSetup scale="80" firstPageNumber="32" orientation="portrait" useFirstPageNumber="1" r:id="rId1"/>
  <headerFooter alignWithMargins="0">
    <oddHeader>&amp;L&amp;8Page 33&amp;C &amp;R&amp;8Page 33</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76" zoomScale="110" zoomScaleNormal="110" workbookViewId="0">
      <selection activeCell="D43" sqref="D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5" bottom="0.27" header="0.19" footer="0.17"/>
  <pageSetup scale="80"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D43" sqref="D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16" sqref="C1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2</xdr:col>
                <xdr:colOff>0</xdr:colOff>
                <xdr:row>11</xdr:row>
                <xdr:rowOff>0</xdr:rowOff>
              </from>
              <to>
                <xdr:col>3</xdr:col>
                <xdr:colOff>304800</xdr:colOff>
                <xdr:row>15</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43" sqref="D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4368220</v>
      </c>
      <c r="C8" s="1837">
        <f>'Acct Summary 7-8'!D8</f>
        <v>295859</v>
      </c>
      <c r="D8" s="1837">
        <f>'Acct Summary 7-8'!F8</f>
        <v>476306</v>
      </c>
      <c r="E8" s="1837">
        <f>'Acct Summary 7-8'!I8</f>
        <v>32015</v>
      </c>
      <c r="F8" s="1837">
        <f>SUM(B8:E8)</f>
        <v>5172400</v>
      </c>
    </row>
    <row r="9" spans="1:8" s="1080" customFormat="1" ht="14.25" customHeight="1" thickBot="1" x14ac:dyDescent="0.25">
      <c r="A9" s="1079" t="s">
        <v>1436</v>
      </c>
      <c r="B9" s="1838">
        <f>'Acct Summary 7-8'!C17</f>
        <v>4206300</v>
      </c>
      <c r="C9" s="1838">
        <f>'Acct Summary 7-8'!D17</f>
        <v>280142</v>
      </c>
      <c r="D9" s="1838">
        <f>'Acct Summary 7-8'!F17</f>
        <v>390683</v>
      </c>
      <c r="E9" s="1837"/>
      <c r="F9" s="1837">
        <f>SUM(B9:E9)</f>
        <v>4877125</v>
      </c>
    </row>
    <row r="10" spans="1:8" s="1080" customFormat="1" ht="14.25" thickTop="1" thickBot="1" x14ac:dyDescent="0.25">
      <c r="A10" s="1081" t="s">
        <v>1437</v>
      </c>
      <c r="B10" s="1839">
        <f>(B8-B9)</f>
        <v>161920</v>
      </c>
      <c r="C10" s="1839">
        <f>(C8-C9)</f>
        <v>15717</v>
      </c>
      <c r="D10" s="1839">
        <f>(D8-D9)</f>
        <v>85623</v>
      </c>
      <c r="E10" s="1838">
        <f>(E8-E9)</f>
        <v>32015</v>
      </c>
      <c r="F10" s="1840">
        <f>SUM(F8-F9)</f>
        <v>295275</v>
      </c>
    </row>
    <row r="11" spans="1:8" s="1080" customFormat="1" ht="14.25" thickTop="1" thickBot="1" x14ac:dyDescent="0.25">
      <c r="A11" s="1082" t="s">
        <v>1785</v>
      </c>
      <c r="B11" s="1841">
        <f>'Acct Summary 7-8'!C81</f>
        <v>1385995</v>
      </c>
      <c r="C11" s="1841">
        <f>'Acct Summary 7-8'!D81</f>
        <v>826323</v>
      </c>
      <c r="D11" s="1841">
        <f>'Acct Summary 7-8'!F81</f>
        <v>144853</v>
      </c>
      <c r="E11" s="1841">
        <f>'Acct Summary 7-8'!I81</f>
        <v>1196946</v>
      </c>
      <c r="F11" s="1842">
        <f>SUM(B11:E11)</f>
        <v>3554117</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9" colorId="8" zoomScale="110" zoomScaleNormal="110" workbookViewId="0">
      <selection activeCell="D69" sqref="D6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ERROR!</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29'!D30&gt;0,"OK","PLEASE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13095010026</v>
      </c>
    </row>
    <row r="3" spans="1:2" x14ac:dyDescent="0.2">
      <c r="A3" t="s">
        <v>1013</v>
      </c>
      <c r="B3" s="138" t="str">
        <f>COVER!A15</f>
        <v>WASHINGTON</v>
      </c>
    </row>
    <row r="4" spans="1:2" x14ac:dyDescent="0.2">
      <c r="A4" t="s">
        <v>1064</v>
      </c>
      <c r="B4" s="138" t="str">
        <f>COVER!A17</f>
        <v>West Washington Co CUD 10</v>
      </c>
    </row>
    <row r="5" spans="1:2" x14ac:dyDescent="0.2">
      <c r="A5" t="s">
        <v>728</v>
      </c>
      <c r="B5" s="138" t="str">
        <f>COVER!A38</f>
        <v>SCOTT FUHRHOP</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060-006876</v>
      </c>
    </row>
    <row r="16" spans="1:2" x14ac:dyDescent="0.2">
      <c r="A16" t="s">
        <v>442</v>
      </c>
      <c r="B16" s="138" t="str">
        <f>COVER!T13</f>
        <v>SUSAN J. LYONS, CPA, P.C.</v>
      </c>
    </row>
    <row r="17" spans="1:2" x14ac:dyDescent="0.2">
      <c r="A17" t="s">
        <v>939</v>
      </c>
      <c r="B17" s="138" t="str">
        <f>COVER!T15</f>
        <v>SUSAN J. LYONS</v>
      </c>
    </row>
    <row r="18" spans="1:2" x14ac:dyDescent="0.2">
      <c r="A18" t="s">
        <v>1212</v>
      </c>
      <c r="B18" s="138" t="str">
        <f>COVER!T17</f>
        <v>5859 U.S. HIGHWAY 51</v>
      </c>
    </row>
    <row r="19" spans="1:2" x14ac:dyDescent="0.2">
      <c r="A19" t="s">
        <v>941</v>
      </c>
      <c r="B19" s="138" t="str">
        <f>COVER!T25</f>
        <v>slyons1007@gmail.com</v>
      </c>
    </row>
    <row r="20" spans="1:2" x14ac:dyDescent="0.2">
      <c r="A20" t="s">
        <v>942</v>
      </c>
      <c r="B20" s="138" t="str">
        <f>COVER!T19</f>
        <v>ODIN</v>
      </c>
    </row>
    <row r="21" spans="1:2" x14ac:dyDescent="0.2">
      <c r="A21" t="s">
        <v>500</v>
      </c>
      <c r="B21" s="138" t="str">
        <f>COVER!X19</f>
        <v>IL</v>
      </c>
    </row>
    <row r="22" spans="1:2" x14ac:dyDescent="0.2">
      <c r="A22" t="s">
        <v>943</v>
      </c>
      <c r="B22" s="138">
        <f>COVER!Z19</f>
        <v>62870</v>
      </c>
    </row>
    <row r="23" spans="1:2" x14ac:dyDescent="0.2">
      <c r="A23" t="s">
        <v>1214</v>
      </c>
      <c r="B23" s="138" t="str">
        <f>COVER!T21</f>
        <v>618-267-3213</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1385995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1385995</v>
      </c>
      <c r="D92" s="2" t="str">
        <f t="shared" si="0"/>
        <v>Error?</v>
      </c>
    </row>
    <row r="93" spans="1:4" x14ac:dyDescent="0.2">
      <c r="A93" s="5">
        <v>32</v>
      </c>
      <c r="B93" s="138">
        <f>'Assets-Liab 5-6'!C41</f>
        <v>1385995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826323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826323</v>
      </c>
      <c r="D123" s="2" t="str">
        <f t="shared" si="0"/>
        <v>Error?</v>
      </c>
    </row>
    <row r="124" spans="1:4" x14ac:dyDescent="0.2">
      <c r="A124" s="5">
        <v>63</v>
      </c>
      <c r="B124" s="138">
        <f>'Assets-Liab 5-6'!D41</f>
        <v>826323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2776337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2776337</v>
      </c>
      <c r="D140" s="2" t="str">
        <f t="shared" si="1"/>
        <v>Error?</v>
      </c>
    </row>
    <row r="141" spans="1:4" x14ac:dyDescent="0.2">
      <c r="A141" s="5">
        <v>80</v>
      </c>
      <c r="B141" s="138">
        <f>'Assets-Liab 5-6'!E41</f>
        <v>2776337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144853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144853</v>
      </c>
      <c r="D170" s="2" t="str">
        <f t="shared" si="1"/>
        <v>Error?</v>
      </c>
    </row>
    <row r="171" spans="1:4" x14ac:dyDescent="0.2">
      <c r="A171" s="5">
        <v>110</v>
      </c>
      <c r="B171" s="138">
        <f>'Assets-Liab 5-6'!F41</f>
        <v>144853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138133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67617</v>
      </c>
      <c r="D189" s="2" t="str">
        <f t="shared" si="1"/>
        <v>Error?</v>
      </c>
    </row>
    <row r="190" spans="1:4" x14ac:dyDescent="0.2">
      <c r="A190" s="5">
        <v>129</v>
      </c>
      <c r="B190" s="138">
        <f>'Assets-Liab 5-6'!G41</f>
        <v>138133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94000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94000</v>
      </c>
      <c r="D212" s="2" t="str">
        <f t="shared" si="2"/>
        <v>Error?</v>
      </c>
    </row>
    <row r="213" spans="1:4" x14ac:dyDescent="0.2">
      <c r="A213" s="12">
        <v>152</v>
      </c>
      <c r="B213" s="138">
        <f>'Assets-Liab 5-6'!H41</f>
        <v>94000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190587</v>
      </c>
      <c r="D273" s="2" t="str">
        <f t="shared" si="3"/>
        <v>Error?</v>
      </c>
    </row>
    <row r="274" spans="1:4" x14ac:dyDescent="0.2">
      <c r="A274" s="5">
        <v>213</v>
      </c>
      <c r="B274" s="138">
        <f>'Assets-Liab 5-6'!M17</f>
        <v>31571207</v>
      </c>
      <c r="D274" s="2" t="str">
        <f t="shared" si="3"/>
        <v>Error?</v>
      </c>
    </row>
    <row r="275" spans="1:4" x14ac:dyDescent="0.2">
      <c r="A275" s="5">
        <v>214</v>
      </c>
      <c r="B275" s="138">
        <f>'Assets-Liab 5-6'!M18</f>
        <v>236737</v>
      </c>
      <c r="D275" s="2" t="str">
        <f t="shared" si="3"/>
        <v>Error?</v>
      </c>
    </row>
    <row r="276" spans="1:4" x14ac:dyDescent="0.2">
      <c r="A276" s="5">
        <v>215</v>
      </c>
      <c r="B276" s="138">
        <f>'Assets-Liab 5-6'!M19</f>
        <v>2639164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34637695</v>
      </c>
      <c r="C279" s="2" t="s">
        <v>594</v>
      </c>
      <c r="D279" s="2" t="str">
        <f t="shared" si="3"/>
        <v>Error?</v>
      </c>
    </row>
    <row r="280" spans="1:4" x14ac:dyDescent="0.2">
      <c r="A280" s="5">
        <v>219</v>
      </c>
      <c r="B280" s="138">
        <f>'Assets-Liab 5-6'!M40</f>
        <v>34637695</v>
      </c>
      <c r="D280" s="2" t="str">
        <f t="shared" si="3"/>
        <v>Error?</v>
      </c>
    </row>
    <row r="281" spans="1:4" x14ac:dyDescent="0.2">
      <c r="A281" s="5">
        <v>220</v>
      </c>
      <c r="B281" s="138">
        <f>'Assets-Liab 5-6'!M41</f>
        <v>34637695</v>
      </c>
      <c r="C281" s="2" t="s">
        <v>594</v>
      </c>
      <c r="D281" s="2" t="str">
        <f t="shared" si="3"/>
        <v>Error?</v>
      </c>
    </row>
    <row r="282" spans="1:4" x14ac:dyDescent="0.2">
      <c r="A282" s="5">
        <v>221</v>
      </c>
      <c r="B282" s="138">
        <f>'Assets-Liab 5-6'!N21</f>
        <v>2776337</v>
      </c>
      <c r="D282" s="2" t="str">
        <f t="shared" si="3"/>
        <v>Error?</v>
      </c>
    </row>
    <row r="283" spans="1:4" x14ac:dyDescent="0.2">
      <c r="A283" s="5">
        <v>222</v>
      </c>
      <c r="B283" s="138">
        <f>'Assets-Liab 5-6'!N22</f>
        <v>18328663</v>
      </c>
      <c r="D283" s="2" t="str">
        <f t="shared" si="3"/>
        <v>Error?</v>
      </c>
    </row>
    <row r="284" spans="1:4" x14ac:dyDescent="0.2">
      <c r="A284" s="5">
        <v>223</v>
      </c>
      <c r="B284" s="138">
        <f>'Assets-Liab 5-6'!N23</f>
        <v>21105000</v>
      </c>
      <c r="C284" s="2" t="s">
        <v>594</v>
      </c>
      <c r="D284" s="2" t="str">
        <f t="shared" si="3"/>
        <v>Error?</v>
      </c>
    </row>
    <row r="285" spans="1:4" x14ac:dyDescent="0.2">
      <c r="A285" s="5">
        <v>224</v>
      </c>
      <c r="B285" s="138">
        <f>'Assets-Liab 5-6'!N36</f>
        <v>21105000</v>
      </c>
      <c r="D285" s="2" t="str">
        <f t="shared" si="3"/>
        <v>Error?</v>
      </c>
    </row>
    <row r="286" spans="1:4" x14ac:dyDescent="0.2">
      <c r="A286" s="10">
        <v>225</v>
      </c>
      <c r="D286" s="2" t="str">
        <f t="shared" si="3"/>
        <v>OK</v>
      </c>
    </row>
    <row r="287" spans="1:4" x14ac:dyDescent="0.2">
      <c r="A287" s="5">
        <v>226</v>
      </c>
      <c r="B287" s="138">
        <f>'Assets-Liab 5-6'!N37</f>
        <v>21105000</v>
      </c>
      <c r="C287" s="2" t="s">
        <v>594</v>
      </c>
      <c r="D287" s="2" t="str">
        <f t="shared" si="3"/>
        <v>Error?</v>
      </c>
    </row>
    <row r="288" spans="1:4" x14ac:dyDescent="0.2">
      <c r="A288" s="5">
        <v>227</v>
      </c>
      <c r="B288" s="138">
        <f>'Assets-Liab 5-6'!N41</f>
        <v>21105000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672511</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1778226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27885</v>
      </c>
      <c r="D717" s="2" t="str">
        <f t="shared" si="10"/>
        <v>Error?</v>
      </c>
    </row>
    <row r="718" spans="1:4" x14ac:dyDescent="0.2">
      <c r="A718" s="5">
        <v>657</v>
      </c>
      <c r="B718" s="138">
        <f>'Expenditures 15-22'!C14</f>
        <v>129566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2437185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70679</v>
      </c>
      <c r="D722" s="2" t="str">
        <f t="shared" si="10"/>
        <v>Error?</v>
      </c>
    </row>
    <row r="723" spans="1:4" x14ac:dyDescent="0.2">
      <c r="A723" s="5">
        <v>662</v>
      </c>
      <c r="B723" s="138">
        <f>'Expenditures 15-22'!C38</f>
        <v>59960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130639</v>
      </c>
      <c r="C727" s="2" t="s">
        <v>594</v>
      </c>
      <c r="D727" s="2" t="str">
        <f t="shared" si="10"/>
        <v>Error?</v>
      </c>
    </row>
    <row r="728" spans="1:4" x14ac:dyDescent="0.2">
      <c r="A728" s="5">
        <v>667</v>
      </c>
      <c r="B728" s="138">
        <f>'Expenditures 15-22'!C44</f>
        <v>2416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2416</v>
      </c>
      <c r="C731" s="2" t="s">
        <v>594</v>
      </c>
      <c r="D731" s="2" t="str">
        <f t="shared" si="10"/>
        <v>Error?</v>
      </c>
    </row>
    <row r="732" spans="1:4" x14ac:dyDescent="0.2">
      <c r="A732" s="5">
        <v>671</v>
      </c>
      <c r="B732" s="138">
        <f>'Expenditures 15-22'!C49</f>
        <v>1400</v>
      </c>
      <c r="D732" s="2" t="str">
        <f t="shared" si="10"/>
        <v>Error?</v>
      </c>
    </row>
    <row r="733" spans="1:4" x14ac:dyDescent="0.2">
      <c r="A733" s="5">
        <v>672</v>
      </c>
      <c r="B733" s="138">
        <f>'Expenditures 15-22'!C50</f>
        <v>124155</v>
      </c>
      <c r="D733" s="2" t="str">
        <f t="shared" si="10"/>
        <v>Error?</v>
      </c>
    </row>
    <row r="734" spans="1:4" x14ac:dyDescent="0.2">
      <c r="A734" s="5">
        <v>673</v>
      </c>
      <c r="B734" s="138">
        <f>'Expenditures 15-22'!C53</f>
        <v>125555</v>
      </c>
      <c r="C734" s="2" t="s">
        <v>594</v>
      </c>
      <c r="D734" s="2" t="str">
        <f t="shared" si="10"/>
        <v>Error?</v>
      </c>
    </row>
    <row r="735" spans="1:4" x14ac:dyDescent="0.2">
      <c r="A735" s="5">
        <v>674</v>
      </c>
      <c r="B735" s="138">
        <f>'Expenditures 15-22'!C55</f>
        <v>242295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242295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52605</v>
      </c>
      <c r="D739" s="2" t="str">
        <f t="shared" si="10"/>
        <v>Error?</v>
      </c>
    </row>
    <row r="740" spans="1:4" x14ac:dyDescent="0.2">
      <c r="A740" s="5">
        <v>679</v>
      </c>
      <c r="B740" s="138">
        <f>'Expenditures 15-22'!C61</f>
        <v>156540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22145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231290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10365</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10365</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742560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3179745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220142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2243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276740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7196</v>
      </c>
      <c r="D780" s="2" t="str">
        <f t="shared" si="11"/>
        <v>Error?</v>
      </c>
    </row>
    <row r="781" spans="1:4" x14ac:dyDescent="0.2">
      <c r="A781" s="5">
        <v>720</v>
      </c>
      <c r="B781" s="138">
        <f>'Expenditures 15-22'!D38</f>
        <v>10148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17344</v>
      </c>
      <c r="C785" s="2" t="s">
        <v>594</v>
      </c>
      <c r="D785" s="2" t="str">
        <f t="shared" si="11"/>
        <v>Error?</v>
      </c>
    </row>
    <row r="786" spans="1:4" x14ac:dyDescent="0.2">
      <c r="A786" s="5">
        <v>725</v>
      </c>
      <c r="B786" s="138">
        <f>'Expenditures 15-22'!D44</f>
        <v>2239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2239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11873</v>
      </c>
      <c r="D791" s="2" t="str">
        <f t="shared" si="11"/>
        <v>Error?</v>
      </c>
    </row>
    <row r="792" spans="1:4" x14ac:dyDescent="0.2">
      <c r="A792" s="5">
        <v>731</v>
      </c>
      <c r="B792" s="138">
        <f>'Expenditures 15-22'!D53</f>
        <v>11873</v>
      </c>
      <c r="C792" s="2" t="s">
        <v>594</v>
      </c>
      <c r="D792" s="2" t="str">
        <f t="shared" si="11"/>
        <v>Error?</v>
      </c>
    </row>
    <row r="793" spans="1:4" x14ac:dyDescent="0.2">
      <c r="A793" s="5">
        <v>732</v>
      </c>
      <c r="B793" s="138">
        <f>'Expenditures 15-22'!D55</f>
        <v>14572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14572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8412</v>
      </c>
      <c r="D797" s="2" t="str">
        <f t="shared" si="11"/>
        <v>Error?</v>
      </c>
    </row>
    <row r="798" spans="1:4" x14ac:dyDescent="0.2">
      <c r="A798" s="5">
        <v>737</v>
      </c>
      <c r="B798" s="138">
        <f>'Expenditures 15-22'!D61</f>
        <v>9848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18272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64300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341040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12935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4059</v>
      </c>
      <c r="D833" s="2" t="str">
        <f t="shared" si="12"/>
        <v>Error?</v>
      </c>
    </row>
    <row r="834" spans="1:4" x14ac:dyDescent="0.2">
      <c r="A834" s="5">
        <v>773</v>
      </c>
      <c r="B834" s="138">
        <f>'Expenditures 15-22'!E14</f>
        <v>28721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52688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318</v>
      </c>
      <c r="D838" s="2" t="str">
        <f t="shared" si="12"/>
        <v>Error?</v>
      </c>
    </row>
    <row r="839" spans="1:4" x14ac:dyDescent="0.2">
      <c r="A839" s="5">
        <v>778</v>
      </c>
      <c r="B839" s="138">
        <f>'Expenditures 15-22'!E38</f>
        <v>493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811</v>
      </c>
      <c r="C843" s="2" t="s">
        <v>594</v>
      </c>
      <c r="D843" s="2" t="str">
        <f t="shared" si="12"/>
        <v>Error?</v>
      </c>
    </row>
    <row r="844" spans="1:4" x14ac:dyDescent="0.2">
      <c r="A844" s="5">
        <v>783</v>
      </c>
      <c r="B844" s="138">
        <f>'Expenditures 15-22'!E44</f>
        <v>2040</v>
      </c>
      <c r="D844" s="2" t="str">
        <f t="shared" si="12"/>
        <v>Error?</v>
      </c>
    </row>
    <row r="845" spans="1:4" x14ac:dyDescent="0.2">
      <c r="A845" s="5">
        <v>784</v>
      </c>
      <c r="B845" s="138">
        <f>'Expenditures 15-22'!E45</f>
        <v>439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2479</v>
      </c>
      <c r="C847" s="2" t="s">
        <v>594</v>
      </c>
      <c r="D847" s="2" t="str">
        <f t="shared" si="12"/>
        <v>Error?</v>
      </c>
    </row>
    <row r="848" spans="1:4" x14ac:dyDescent="0.2">
      <c r="A848" s="5">
        <v>787</v>
      </c>
      <c r="B848" s="138">
        <f>'Expenditures 15-22'!E49</f>
        <v>11453</v>
      </c>
      <c r="D848" s="2" t="str">
        <f t="shared" si="12"/>
        <v>Error?</v>
      </c>
    </row>
    <row r="849" spans="1:4" x14ac:dyDescent="0.2">
      <c r="A849" s="5">
        <v>788</v>
      </c>
      <c r="B849" s="138">
        <f>'Expenditures 15-22'!E50</f>
        <v>830</v>
      </c>
      <c r="D849" s="2" t="str">
        <f t="shared" si="12"/>
        <v>Error?</v>
      </c>
    </row>
    <row r="850" spans="1:4" x14ac:dyDescent="0.2">
      <c r="A850" s="5">
        <v>789</v>
      </c>
      <c r="B850" s="138">
        <f>'Expenditures 15-22'!E53</f>
        <v>12283</v>
      </c>
      <c r="C850" s="2" t="s">
        <v>594</v>
      </c>
      <c r="D850" s="2" t="str">
        <f t="shared" si="12"/>
        <v>Error?</v>
      </c>
    </row>
    <row r="851" spans="1:4" x14ac:dyDescent="0.2">
      <c r="A851" s="5">
        <v>790</v>
      </c>
      <c r="B851" s="138">
        <f>'Expenditures 15-22'!E55</f>
        <v>813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813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3150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4495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7645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48852</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48852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72883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157150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125693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23578</v>
      </c>
      <c r="D891" s="2" t="str">
        <f t="shared" si="12"/>
        <v>Error?</v>
      </c>
    </row>
    <row r="892" spans="1:4" x14ac:dyDescent="0.2">
      <c r="A892" s="5">
        <v>831</v>
      </c>
      <c r="B892" s="138">
        <f>'Expenditures 15-22'!F14</f>
        <v>17415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169757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34</v>
      </c>
      <c r="D896" s="2" t="str">
        <f t="shared" si="13"/>
        <v>Error?</v>
      </c>
    </row>
    <row r="897" spans="1:4" x14ac:dyDescent="0.2">
      <c r="A897" s="5">
        <v>836</v>
      </c>
      <c r="B897" s="138">
        <f>'Expenditures 15-22'!F38</f>
        <v>401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4996</v>
      </c>
      <c r="D900" s="2" t="str">
        <f t="shared" si="13"/>
        <v>Error?</v>
      </c>
    </row>
    <row r="901" spans="1:4" x14ac:dyDescent="0.2">
      <c r="A901" s="5">
        <v>840</v>
      </c>
      <c r="B901" s="138">
        <f>'Expenditures 15-22'!F42</f>
        <v>5431</v>
      </c>
      <c r="C901" s="2" t="s">
        <v>594</v>
      </c>
      <c r="D901" s="2" t="str">
        <f t="shared" si="13"/>
        <v>Error?</v>
      </c>
    </row>
    <row r="902" spans="1:4" x14ac:dyDescent="0.2">
      <c r="A902" s="5">
        <v>841</v>
      </c>
      <c r="B902" s="138">
        <f>'Expenditures 15-22'!F44</f>
        <v>89</v>
      </c>
      <c r="D902" s="2" t="str">
        <f t="shared" si="13"/>
        <v>Error?</v>
      </c>
    </row>
    <row r="903" spans="1:4" x14ac:dyDescent="0.2">
      <c r="A903" s="5">
        <v>842</v>
      </c>
      <c r="B903" s="138">
        <f>'Expenditures 15-22'!F45</f>
        <v>42</v>
      </c>
      <c r="D903" s="2" t="str">
        <f t="shared" si="13"/>
        <v>Error?</v>
      </c>
    </row>
    <row r="904" spans="1:4" x14ac:dyDescent="0.2">
      <c r="A904" s="5">
        <v>843</v>
      </c>
      <c r="B904" s="138">
        <f>'Expenditures 15-22'!F46</f>
        <v>7402</v>
      </c>
      <c r="D904" s="2" t="str">
        <f t="shared" si="13"/>
        <v>Error?</v>
      </c>
    </row>
    <row r="905" spans="1:4" x14ac:dyDescent="0.2">
      <c r="A905" s="5">
        <v>844</v>
      </c>
      <c r="B905" s="138">
        <f>'Expenditures 15-22'!F47</f>
        <v>7533</v>
      </c>
      <c r="C905" s="2" t="s">
        <v>594</v>
      </c>
      <c r="D905" s="2" t="str">
        <f t="shared" si="13"/>
        <v>Error?</v>
      </c>
    </row>
    <row r="906" spans="1:4" x14ac:dyDescent="0.2">
      <c r="A906" s="5">
        <v>845</v>
      </c>
      <c r="B906" s="138">
        <f>'Expenditures 15-22'!F49</f>
        <v>121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121</v>
      </c>
      <c r="C908" s="2" t="s">
        <v>594</v>
      </c>
      <c r="D908" s="2" t="str">
        <f t="shared" si="13"/>
        <v>Error?</v>
      </c>
    </row>
    <row r="909" spans="1:4" x14ac:dyDescent="0.2">
      <c r="A909" s="5">
        <v>848</v>
      </c>
      <c r="B909" s="138">
        <f>'Expenditures 15-22'!F55</f>
        <v>730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730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1364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167860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169224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8376</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8376</v>
      </c>
      <c r="C927" s="2" t="s">
        <v>594</v>
      </c>
      <c r="D927" s="2" t="str">
        <f t="shared" si="13"/>
        <v>Error?</v>
      </c>
    </row>
    <row r="928" spans="1:4" x14ac:dyDescent="0.2">
      <c r="A928" s="5">
        <v>867</v>
      </c>
      <c r="B928" s="138">
        <f>'Expenditures 15-22'!F73</f>
        <v>125</v>
      </c>
      <c r="D928" s="2" t="str">
        <f t="shared" si="13"/>
        <v>Error?</v>
      </c>
    </row>
    <row r="929" spans="1:4" x14ac:dyDescent="0.2">
      <c r="A929" s="5">
        <v>868</v>
      </c>
      <c r="B929" s="138">
        <f>'Expenditures 15-22'!F74</f>
        <v>191540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361297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29538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11521</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41059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822</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2414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3236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4704</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4704</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7940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48999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429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7571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8000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770</v>
      </c>
      <c r="D1012" s="2" t="str">
        <f t="shared" si="14"/>
        <v>Error?</v>
      </c>
    </row>
    <row r="1013" spans="1:4" x14ac:dyDescent="0.2">
      <c r="A1013" s="5">
        <v>952</v>
      </c>
      <c r="B1013" s="138">
        <f>'Expenditures 15-22'!H38</f>
        <v>50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820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3140</v>
      </c>
      <c r="D1022" s="2" t="str">
        <f t="shared" si="14"/>
        <v>Error?</v>
      </c>
    </row>
    <row r="1023" spans="1:4" x14ac:dyDescent="0.2">
      <c r="A1023" s="5">
        <v>962</v>
      </c>
      <c r="B1023" s="138">
        <f>'Expenditures 15-22'!H50</f>
        <v>904</v>
      </c>
      <c r="D1023" s="2" t="str">
        <f t="shared" ref="D1023:D1086" si="15">IF(ISBLANK(B1023),"OK",IF(A1023-B1023=0,"OK","Error?"))</f>
        <v>Error?</v>
      </c>
    </row>
    <row r="1024" spans="1:4" x14ac:dyDescent="0.2">
      <c r="A1024" s="5">
        <v>963</v>
      </c>
      <c r="B1024" s="138">
        <f>'Expenditures 15-22'!H53</f>
        <v>4044</v>
      </c>
      <c r="C1024" s="2" t="s">
        <v>594</v>
      </c>
      <c r="D1024" s="2" t="str">
        <f t="shared" si="15"/>
        <v>Error?</v>
      </c>
    </row>
    <row r="1025" spans="1:4" x14ac:dyDescent="0.2">
      <c r="A1025" s="5">
        <v>964</v>
      </c>
      <c r="B1025" s="138">
        <f>'Expenditures 15-22'!H55</f>
        <v>721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721</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148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148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5733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104336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118069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2166963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67043</v>
      </c>
      <c r="C1105" s="2" t="s">
        <v>594</v>
      </c>
      <c r="D1105" s="2" t="str">
        <f t="shared" si="16"/>
        <v>Error?</v>
      </c>
    </row>
    <row r="1106" spans="1:4" x14ac:dyDescent="0.2">
      <c r="A1106" s="5">
        <v>1045</v>
      </c>
      <c r="B1106" s="138">
        <f>'Expenditures 15-22'!K14</f>
        <v>185516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2985429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78997</v>
      </c>
      <c r="C1110" s="2" t="s">
        <v>594</v>
      </c>
      <c r="D1110" s="2" t="str">
        <f t="shared" si="16"/>
        <v>Error?</v>
      </c>
    </row>
    <row r="1111" spans="1:4" x14ac:dyDescent="0.2">
      <c r="A1111" s="5">
        <v>1050</v>
      </c>
      <c r="B1111" s="138">
        <f>'Expenditures 15-22'!K38</f>
        <v>71052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4996</v>
      </c>
      <c r="C1114" s="2" t="s">
        <v>594</v>
      </c>
      <c r="D1114" s="2" t="str">
        <f t="shared" si="16"/>
        <v>Error?</v>
      </c>
    </row>
    <row r="1115" spans="1:4" x14ac:dyDescent="0.2">
      <c r="A1115" s="5">
        <v>1054</v>
      </c>
      <c r="B1115" s="138">
        <f>'Expenditures 15-22'!K42</f>
        <v>155045</v>
      </c>
      <c r="C1115" s="2" t="s">
        <v>594</v>
      </c>
      <c r="D1115" s="2" t="str">
        <f t="shared" si="16"/>
        <v>Error?</v>
      </c>
    </row>
    <row r="1116" spans="1:4" x14ac:dyDescent="0.2">
      <c r="A1116" s="5">
        <v>1055</v>
      </c>
      <c r="B1116" s="138">
        <f>'Expenditures 15-22'!K44</f>
        <v>6784</v>
      </c>
      <c r="C1116" s="2" t="s">
        <v>594</v>
      </c>
      <c r="D1116" s="2" t="str">
        <f t="shared" si="16"/>
        <v>Error?</v>
      </c>
    </row>
    <row r="1117" spans="1:4" x14ac:dyDescent="0.2">
      <c r="A1117" s="5">
        <v>1056</v>
      </c>
      <c r="B1117" s="138">
        <f>'Expenditures 15-22'!K45</f>
        <v>481</v>
      </c>
      <c r="C1117" s="2" t="s">
        <v>594</v>
      </c>
      <c r="D1117" s="2" t="str">
        <f t="shared" si="16"/>
        <v>Error?</v>
      </c>
    </row>
    <row r="1118" spans="1:4" x14ac:dyDescent="0.2">
      <c r="A1118" s="5">
        <v>1057</v>
      </c>
      <c r="B1118" s="138">
        <f>'Expenditures 15-22'!K46</f>
        <v>7402</v>
      </c>
      <c r="C1118" s="2" t="s">
        <v>594</v>
      </c>
      <c r="D1118" s="2" t="str">
        <f t="shared" si="16"/>
        <v>Error?</v>
      </c>
    </row>
    <row r="1119" spans="1:4" x14ac:dyDescent="0.2">
      <c r="A1119" s="5">
        <v>1058</v>
      </c>
      <c r="B1119" s="138">
        <f>'Expenditures 15-22'!K47</f>
        <v>14667</v>
      </c>
      <c r="C1119" s="2" t="s">
        <v>594</v>
      </c>
      <c r="D1119" s="2" t="str">
        <f t="shared" si="16"/>
        <v>Error?</v>
      </c>
    </row>
    <row r="1120" spans="1:4" x14ac:dyDescent="0.2">
      <c r="A1120" s="5">
        <v>1059</v>
      </c>
      <c r="B1120" s="138">
        <f>'Expenditures 15-22'!K49</f>
        <v>16114</v>
      </c>
      <c r="C1120" s="2" t="s">
        <v>594</v>
      </c>
      <c r="D1120" s="2" t="str">
        <f t="shared" si="16"/>
        <v>Error?</v>
      </c>
    </row>
    <row r="1121" spans="1:4" x14ac:dyDescent="0.2">
      <c r="A1121" s="5">
        <v>1060</v>
      </c>
      <c r="B1121" s="138">
        <f>'Expenditures 15-22'!K50</f>
        <v>137762</v>
      </c>
      <c r="C1121" s="2" t="s">
        <v>594</v>
      </c>
      <c r="D1121" s="2" t="str">
        <f t="shared" si="16"/>
        <v>Error?</v>
      </c>
    </row>
    <row r="1122" spans="1:4" x14ac:dyDescent="0.2">
      <c r="A1122" s="5">
        <v>1061</v>
      </c>
      <c r="B1122" s="138">
        <f>'Expenditures 15-22'!K53</f>
        <v>153876</v>
      </c>
      <c r="C1122" s="2" t="s">
        <v>594</v>
      </c>
      <c r="D1122" s="2" t="str">
        <f t="shared" si="16"/>
        <v>Error?</v>
      </c>
    </row>
    <row r="1123" spans="1:4" x14ac:dyDescent="0.2">
      <c r="A1123" s="5">
        <v>1062</v>
      </c>
      <c r="B1123" s="138">
        <f>'Expenditures 15-22'!K55</f>
        <v>259131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259131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66501</v>
      </c>
      <c r="C1127" s="2" t="s">
        <v>594</v>
      </c>
      <c r="D1127" s="2" t="str">
        <f t="shared" si="16"/>
        <v>Error?</v>
      </c>
    </row>
    <row r="1128" spans="1:4" x14ac:dyDescent="0.2">
      <c r="A1128" s="5">
        <v>1067</v>
      </c>
      <c r="B1128" s="138">
        <f>'Expenditures 15-22'!K61</f>
        <v>166388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196926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429815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72297</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72297</v>
      </c>
      <c r="C1141" s="2" t="s">
        <v>594</v>
      </c>
      <c r="D1141" s="2" t="str">
        <f t="shared" si="16"/>
        <v>Error?</v>
      </c>
    </row>
    <row r="1142" spans="1:4" x14ac:dyDescent="0.2">
      <c r="A1142" s="5">
        <v>1081</v>
      </c>
      <c r="B1142" s="138">
        <f>'Expenditures 15-22'!K73</f>
        <v>125</v>
      </c>
      <c r="C1142" s="2" t="s">
        <v>594</v>
      </c>
      <c r="D1142" s="2" t="str">
        <f t="shared" si="16"/>
        <v>Error?</v>
      </c>
    </row>
    <row r="1143" spans="1:4" x14ac:dyDescent="0.2">
      <c r="A1143" s="5">
        <v>1082</v>
      </c>
      <c r="B1143" s="138">
        <f>'Expenditures 15-22'!K74</f>
        <v>1084956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135915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4206300</v>
      </c>
      <c r="C1152" s="2" t="s">
        <v>594</v>
      </c>
      <c r="D1152" s="2" t="str">
        <f t="shared" si="17"/>
        <v>Error?</v>
      </c>
    </row>
    <row r="1153" spans="1:4" x14ac:dyDescent="0.2">
      <c r="A1153" s="5">
        <v>1092</v>
      </c>
      <c r="B1153" s="138">
        <f>'Expenditures 15-22'!K115</f>
        <v>161920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62437</v>
      </c>
      <c r="D1237" s="2" t="str">
        <f t="shared" si="18"/>
        <v>Error?</v>
      </c>
    </row>
    <row r="1238" spans="1:4" x14ac:dyDescent="0.2">
      <c r="A1238" s="10">
        <v>1177</v>
      </c>
      <c r="D1238" s="2" t="str">
        <f t="shared" si="18"/>
        <v>OK</v>
      </c>
    </row>
    <row r="1239" spans="1:4" x14ac:dyDescent="0.2">
      <c r="A1239" s="5">
        <v>1178</v>
      </c>
      <c r="B1239" s="138">
        <f>'Expenditures 15-22'!E127</f>
        <v>62437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62437</v>
      </c>
      <c r="C1241" s="2" t="s">
        <v>594</v>
      </c>
      <c r="D1241" s="2" t="str">
        <f t="shared" si="18"/>
        <v>Error?</v>
      </c>
    </row>
    <row r="1242" spans="1:4" x14ac:dyDescent="0.2">
      <c r="A1242" s="5">
        <v>1181</v>
      </c>
      <c r="B1242" s="138">
        <f>'Expenditures 15-22'!E151</f>
        <v>62437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217705</v>
      </c>
      <c r="D1245" s="2" t="str">
        <f t="shared" si="18"/>
        <v>Error?</v>
      </c>
    </row>
    <row r="1246" spans="1:4" x14ac:dyDescent="0.2">
      <c r="A1246" s="10">
        <v>1185</v>
      </c>
      <c r="D1246" s="2" t="str">
        <f t="shared" si="18"/>
        <v>OK</v>
      </c>
    </row>
    <row r="1247" spans="1:4" x14ac:dyDescent="0.2">
      <c r="A1247" s="5">
        <v>1186</v>
      </c>
      <c r="B1247" s="138">
        <f>'Expenditures 15-22'!F127</f>
        <v>217705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217705</v>
      </c>
      <c r="C1249" s="2" t="s">
        <v>594</v>
      </c>
      <c r="D1249" s="2" t="str">
        <f t="shared" si="18"/>
        <v>Error?</v>
      </c>
    </row>
    <row r="1250" spans="1:4" x14ac:dyDescent="0.2">
      <c r="A1250" s="5">
        <v>1189</v>
      </c>
      <c r="B1250" s="138">
        <f>'Expenditures 15-22'!F151</f>
        <v>217705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280142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280142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280142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280142</v>
      </c>
      <c r="C1288" s="2" t="s">
        <v>594</v>
      </c>
      <c r="D1288" s="2" t="str">
        <f t="shared" si="19"/>
        <v>Error?</v>
      </c>
    </row>
    <row r="1289" spans="1:4" x14ac:dyDescent="0.2">
      <c r="A1289" s="5">
        <v>1228</v>
      </c>
      <c r="B1289" s="138">
        <f>'Expenditures 15-22'!K152</f>
        <v>15717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931990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975000</v>
      </c>
      <c r="D1315" s="2" t="str">
        <f t="shared" si="19"/>
        <v>Error?</v>
      </c>
    </row>
    <row r="1316" spans="1:4" x14ac:dyDescent="0.2">
      <c r="A1316" s="5">
        <v>1255</v>
      </c>
      <c r="B1316" s="138">
        <f>'Expenditures 15-22'!H171</f>
        <v>2555</v>
      </c>
      <c r="D1316" s="2" t="str">
        <f t="shared" si="19"/>
        <v>Error?</v>
      </c>
    </row>
    <row r="1317" spans="1:4" x14ac:dyDescent="0.2">
      <c r="A1317" s="5">
        <v>1256</v>
      </c>
      <c r="B1317" s="138">
        <f>'Expenditures 15-22'!H172</f>
        <v>1909545</v>
      </c>
      <c r="C1317" s="2" t="s">
        <v>594</v>
      </c>
      <c r="D1317" s="2" t="str">
        <f t="shared" si="19"/>
        <v>Error?</v>
      </c>
    </row>
    <row r="1318" spans="1:4" x14ac:dyDescent="0.2">
      <c r="A1318" s="5">
        <v>1257</v>
      </c>
      <c r="B1318" s="138">
        <f>'Expenditures 15-22'!H174</f>
        <v>1909545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931990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975000</v>
      </c>
      <c r="C1329" s="2" t="s">
        <v>594</v>
      </c>
      <c r="D1329" s="2" t="str">
        <f t="shared" si="19"/>
        <v>Error?</v>
      </c>
    </row>
    <row r="1330" spans="1:4" x14ac:dyDescent="0.2">
      <c r="A1330" s="5">
        <v>1269</v>
      </c>
      <c r="B1330" s="138">
        <f>'Expenditures 15-22'!K171</f>
        <v>2555</v>
      </c>
      <c r="C1330" s="2" t="s">
        <v>594</v>
      </c>
      <c r="D1330" s="2" t="str">
        <f t="shared" si="19"/>
        <v>Error?</v>
      </c>
    </row>
    <row r="1331" spans="1:4" x14ac:dyDescent="0.2">
      <c r="A1331" s="5">
        <v>1270</v>
      </c>
      <c r="B1331" s="138">
        <f>'Expenditures 15-22'!K172</f>
        <v>1909545</v>
      </c>
      <c r="C1331" s="2" t="s">
        <v>594</v>
      </c>
      <c r="D1331" s="2" t="str">
        <f t="shared" si="19"/>
        <v>Error?</v>
      </c>
    </row>
    <row r="1332" spans="1:4" x14ac:dyDescent="0.2">
      <c r="A1332" s="5">
        <v>1271</v>
      </c>
      <c r="B1332" s="138">
        <f>'Expenditures 15-22'!K174</f>
        <v>1909545</v>
      </c>
      <c r="C1332" s="2" t="s">
        <v>594</v>
      </c>
      <c r="D1332" s="2" t="str">
        <f t="shared" si="19"/>
        <v>Error?</v>
      </c>
    </row>
    <row r="1333" spans="1:4" x14ac:dyDescent="0.2">
      <c r="A1333" s="5">
        <v>1272</v>
      </c>
      <c r="B1333" s="138">
        <f>'Expenditures 15-22'!K175</f>
        <v>1147116</v>
      </c>
      <c r="C1333" s="2" t="s">
        <v>594</v>
      </c>
      <c r="D1333" s="2" t="str">
        <f t="shared" si="19"/>
        <v>Error?</v>
      </c>
    </row>
    <row r="1334" spans="1:4" x14ac:dyDescent="0.2">
      <c r="A1334" s="10">
        <v>1273</v>
      </c>
      <c r="D1334" s="2" t="str">
        <f t="shared" si="19"/>
        <v>OK</v>
      </c>
    </row>
    <row r="1335" spans="1:4" x14ac:dyDescent="0.2">
      <c r="A1335" s="5">
        <v>1274</v>
      </c>
      <c r="B1335" s="138">
        <f>'Expenditures 15-22'!C182</f>
        <v>6006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6006</v>
      </c>
      <c r="C1339" s="2" t="s">
        <v>594</v>
      </c>
      <c r="D1339" s="2" t="str">
        <f t="shared" si="19"/>
        <v>Error?</v>
      </c>
    </row>
    <row r="1340" spans="1:4" x14ac:dyDescent="0.2">
      <c r="A1340" s="5">
        <v>1279</v>
      </c>
      <c r="B1340" s="138">
        <f>'Expenditures 15-22'!C210</f>
        <v>6006</v>
      </c>
      <c r="C1340" s="2" t="s">
        <v>594</v>
      </c>
      <c r="D1340" s="2" t="str">
        <f t="shared" si="19"/>
        <v>Error?</v>
      </c>
    </row>
    <row r="1341" spans="1:4" x14ac:dyDescent="0.2">
      <c r="A1341" s="5">
        <v>1280</v>
      </c>
      <c r="B1341" s="138">
        <f>'Expenditures 15-22'!D182</f>
        <v>702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702</v>
      </c>
      <c r="C1345" s="2" t="s">
        <v>594</v>
      </c>
      <c r="D1345" s="2" t="str">
        <f t="shared" si="20"/>
        <v>Error?</v>
      </c>
    </row>
    <row r="1346" spans="1:4" x14ac:dyDescent="0.2">
      <c r="A1346" s="5">
        <v>1285</v>
      </c>
      <c r="B1346" s="138">
        <f>'Expenditures 15-22'!D210</f>
        <v>702</v>
      </c>
      <c r="C1346" s="2" t="s">
        <v>594</v>
      </c>
      <c r="D1346" s="2" t="str">
        <f t="shared" si="20"/>
        <v>Error?</v>
      </c>
    </row>
    <row r="1347" spans="1:4" x14ac:dyDescent="0.2">
      <c r="A1347" s="5">
        <v>1286</v>
      </c>
      <c r="B1347" s="138">
        <f>'Expenditures 15-22'!E182</f>
        <v>383975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383975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383975</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390683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390683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390683</v>
      </c>
      <c r="C1388" s="2" t="s">
        <v>594</v>
      </c>
      <c r="D1388" s="2" t="str">
        <f t="shared" si="20"/>
        <v>Error?</v>
      </c>
    </row>
    <row r="1389" spans="1:4" x14ac:dyDescent="0.2">
      <c r="A1389" s="5">
        <v>1328</v>
      </c>
      <c r="B1389" s="138">
        <f>'Expenditures 15-22'!K211</f>
        <v>85623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2133</v>
      </c>
      <c r="D1407" s="2" t="str">
        <f t="shared" ref="D1407:D1470" si="21">IF(ISBLANK(B1407),"OK",IF(A1407-B1407=0,"OK","Error?"))</f>
        <v>Error?</v>
      </c>
    </row>
    <row r="1408" spans="1:4" x14ac:dyDescent="0.2">
      <c r="A1408" s="5">
        <v>1347</v>
      </c>
      <c r="B1408" s="138">
        <f>'Expenditures 15-22'!D223</f>
        <v>5100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76016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830</v>
      </c>
      <c r="D1412" s="2" t="str">
        <f t="shared" si="21"/>
        <v>Error?</v>
      </c>
    </row>
    <row r="1413" spans="1:4" x14ac:dyDescent="0.2">
      <c r="A1413" s="5">
        <v>1352</v>
      </c>
      <c r="B1413" s="138">
        <f>'Expenditures 15-22'!D234</f>
        <v>748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1578</v>
      </c>
      <c r="C1417" s="2" t="s">
        <v>594</v>
      </c>
      <c r="D1417" s="2" t="str">
        <f t="shared" si="21"/>
        <v>Error?</v>
      </c>
    </row>
    <row r="1418" spans="1:4" x14ac:dyDescent="0.2">
      <c r="A1418" s="5">
        <v>1357</v>
      </c>
      <c r="B1418" s="138">
        <f>'Expenditures 15-22'!D240</f>
        <v>32</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32</v>
      </c>
      <c r="C1421" s="2" t="s">
        <v>594</v>
      </c>
      <c r="D1421" s="2" t="str">
        <f t="shared" si="21"/>
        <v>Error?</v>
      </c>
    </row>
    <row r="1422" spans="1:4" x14ac:dyDescent="0.2">
      <c r="A1422" s="5">
        <v>1361</v>
      </c>
      <c r="B1422" s="138">
        <f>'Expenditures 15-22'!D245</f>
        <v>107</v>
      </c>
      <c r="D1422" s="2" t="str">
        <f t="shared" si="21"/>
        <v>Error?</v>
      </c>
    </row>
    <row r="1423" spans="1:4" x14ac:dyDescent="0.2">
      <c r="A1423" s="5">
        <v>1362</v>
      </c>
      <c r="B1423" s="138">
        <f>'Expenditures 15-22'!D246</f>
        <v>1438</v>
      </c>
      <c r="D1423" s="2" t="str">
        <f t="shared" si="21"/>
        <v>Error?</v>
      </c>
    </row>
    <row r="1424" spans="1:4" x14ac:dyDescent="0.2">
      <c r="A1424" s="5">
        <v>1363</v>
      </c>
      <c r="B1424" s="138">
        <f>'Expenditures 15-22'!D257</f>
        <v>1545</v>
      </c>
      <c r="C1424" s="2" t="s">
        <v>594</v>
      </c>
      <c r="D1424" s="2" t="str">
        <f t="shared" si="21"/>
        <v>Error?</v>
      </c>
    </row>
    <row r="1425" spans="1:4" x14ac:dyDescent="0.2">
      <c r="A1425" s="5">
        <v>1364</v>
      </c>
      <c r="B1425" s="138">
        <f>'Expenditures 15-22'!D259</f>
        <v>14945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14945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9599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30048</v>
      </c>
      <c r="D1431" s="2" t="str">
        <f t="shared" si="21"/>
        <v>Error?</v>
      </c>
    </row>
    <row r="1432" spans="1:4" x14ac:dyDescent="0.2">
      <c r="A1432" s="5">
        <v>1371</v>
      </c>
      <c r="B1432" s="138">
        <f>'Expenditures 15-22'!D267</f>
        <v>69</v>
      </c>
      <c r="D1432" s="2" t="str">
        <f t="shared" si="21"/>
        <v>Error?</v>
      </c>
    </row>
    <row r="1433" spans="1:4" x14ac:dyDescent="0.2">
      <c r="A1433" s="5">
        <v>1372</v>
      </c>
      <c r="B1433" s="138">
        <f>'Expenditures 15-22'!D268</f>
        <v>4388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44104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793</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793</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62997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139013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2133</v>
      </c>
      <c r="C1471" s="2" t="s">
        <v>594</v>
      </c>
      <c r="D1471" s="2" t="str">
        <f t="shared" ref="D1471:D1534" si="22">IF(ISBLANK(B1471),"OK",IF(A1471-B1471=0,"OK","Error?"))</f>
        <v>Error?</v>
      </c>
    </row>
    <row r="1472" spans="1:4" x14ac:dyDescent="0.2">
      <c r="A1472" s="5">
        <v>1411</v>
      </c>
      <c r="B1472" s="138">
        <f>'Expenditures 15-22'!K223</f>
        <v>5100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76016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830</v>
      </c>
      <c r="C1476" s="2" t="s">
        <v>594</v>
      </c>
      <c r="D1476" s="2" t="str">
        <f t="shared" si="22"/>
        <v>Error?</v>
      </c>
    </row>
    <row r="1477" spans="1:4" x14ac:dyDescent="0.2">
      <c r="A1477" s="5">
        <v>1416</v>
      </c>
      <c r="B1477" s="138">
        <f>'Expenditures 15-22'!K234</f>
        <v>748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1578</v>
      </c>
      <c r="C1481" s="2" t="s">
        <v>594</v>
      </c>
      <c r="D1481" s="2" t="str">
        <f t="shared" si="22"/>
        <v>Error?</v>
      </c>
    </row>
    <row r="1482" spans="1:4" x14ac:dyDescent="0.2">
      <c r="A1482" s="5">
        <v>1421</v>
      </c>
      <c r="B1482" s="138">
        <f>'Expenditures 15-22'!K240</f>
        <v>32</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32</v>
      </c>
      <c r="C1485" s="2" t="s">
        <v>594</v>
      </c>
      <c r="D1485" s="2" t="str">
        <f t="shared" si="22"/>
        <v>Error?</v>
      </c>
    </row>
    <row r="1486" spans="1:4" x14ac:dyDescent="0.2">
      <c r="A1486" s="5">
        <v>1425</v>
      </c>
      <c r="B1486" s="138">
        <f>'Expenditures 15-22'!K245</f>
        <v>107</v>
      </c>
      <c r="C1486" s="2" t="s">
        <v>594</v>
      </c>
      <c r="D1486" s="2" t="str">
        <f t="shared" si="22"/>
        <v>Error?</v>
      </c>
    </row>
    <row r="1487" spans="1:4" x14ac:dyDescent="0.2">
      <c r="A1487" s="5">
        <v>1426</v>
      </c>
      <c r="B1487" s="138">
        <f>'Expenditures 15-22'!K246</f>
        <v>1438</v>
      </c>
      <c r="C1487" s="2" t="s">
        <v>594</v>
      </c>
      <c r="D1487" s="2" t="str">
        <f t="shared" si="22"/>
        <v>Error?</v>
      </c>
    </row>
    <row r="1488" spans="1:4" x14ac:dyDescent="0.2">
      <c r="A1488" s="5">
        <v>1427</v>
      </c>
      <c r="B1488" s="138">
        <f>'Expenditures 15-22'!K257</f>
        <v>1545</v>
      </c>
      <c r="C1488" s="2" t="s">
        <v>594</v>
      </c>
      <c r="D1488" s="2" t="str">
        <f t="shared" si="22"/>
        <v>Error?</v>
      </c>
    </row>
    <row r="1489" spans="1:4" x14ac:dyDescent="0.2">
      <c r="A1489" s="5">
        <v>1428</v>
      </c>
      <c r="B1489" s="138">
        <f>'Expenditures 15-22'!K259</f>
        <v>14945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14945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9599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30048</v>
      </c>
      <c r="C1495" s="2" t="s">
        <v>594</v>
      </c>
      <c r="D1495" s="2" t="str">
        <f t="shared" si="22"/>
        <v>Error?</v>
      </c>
    </row>
    <row r="1496" spans="1:4" x14ac:dyDescent="0.2">
      <c r="A1496" s="5">
        <v>1435</v>
      </c>
      <c r="B1496" s="138">
        <f>'Expenditures 15-22'!K267</f>
        <v>69</v>
      </c>
      <c r="C1496" s="2" t="s">
        <v>594</v>
      </c>
      <c r="D1496" s="2" t="str">
        <f t="shared" si="22"/>
        <v>Error?</v>
      </c>
    </row>
    <row r="1497" spans="1:4" x14ac:dyDescent="0.2">
      <c r="A1497" s="5">
        <v>1436</v>
      </c>
      <c r="B1497" s="138">
        <f>'Expenditures 15-22'!K268</f>
        <v>4388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44104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793</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793</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62997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139013</v>
      </c>
      <c r="C1517" s="2" t="s">
        <v>594</v>
      </c>
      <c r="D1517" s="2" t="str">
        <f t="shared" si="22"/>
        <v>Error?</v>
      </c>
    </row>
    <row r="1518" spans="1:4" x14ac:dyDescent="0.2">
      <c r="A1518" s="5">
        <v>1457</v>
      </c>
      <c r="B1518" s="138">
        <f>'Expenditures 15-22'!K296</f>
        <v>-5661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7838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7838</v>
      </c>
      <c r="C1535" s="2" t="s">
        <v>594</v>
      </c>
      <c r="D1535" s="2" t="str">
        <f t="shared" ref="D1535:D1598" si="23">IF(ISBLANK(B1535),"OK",IF(A1535-B1535=0,"OK","Error?"))</f>
        <v>Error?</v>
      </c>
    </row>
    <row r="1536" spans="1:4" x14ac:dyDescent="0.2">
      <c r="A1536" s="5">
        <v>1475</v>
      </c>
      <c r="B1536" s="138">
        <f>'Expenditures 15-22'!E312</f>
        <v>7838</v>
      </c>
      <c r="C1536" s="2" t="s">
        <v>594</v>
      </c>
      <c r="D1536" s="2" t="str">
        <f t="shared" si="23"/>
        <v>Error?</v>
      </c>
    </row>
    <row r="1537" spans="1:4" x14ac:dyDescent="0.2">
      <c r="A1537" s="5">
        <v>1476</v>
      </c>
      <c r="B1537" s="138">
        <f>'Expenditures 15-22'!F301</f>
        <v>9064</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9064</v>
      </c>
      <c r="C1541" s="2" t="s">
        <v>594</v>
      </c>
      <c r="D1541" s="2" t="str">
        <f t="shared" si="23"/>
        <v>Error?</v>
      </c>
    </row>
    <row r="1542" spans="1:4" x14ac:dyDescent="0.2">
      <c r="A1542" s="5">
        <v>1481</v>
      </c>
      <c r="B1542" s="138">
        <f>'Expenditures 15-22'!F312</f>
        <v>9064</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16902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16902</v>
      </c>
      <c r="C1559" s="2" t="s">
        <v>594</v>
      </c>
      <c r="D1559" s="2" t="str">
        <f t="shared" si="23"/>
        <v>Error?</v>
      </c>
    </row>
    <row r="1560" spans="1:4" x14ac:dyDescent="0.2">
      <c r="A1560" s="5">
        <v>1499</v>
      </c>
      <c r="B1560" s="138">
        <f>'Expenditures 15-22'!K312</f>
        <v>16902</v>
      </c>
      <c r="C1560" s="2" t="s">
        <v>594</v>
      </c>
      <c r="D1560" s="2" t="str">
        <f t="shared" si="23"/>
        <v>Error?</v>
      </c>
    </row>
    <row r="1561" spans="1:4" x14ac:dyDescent="0.2">
      <c r="A1561" s="5">
        <v>1500</v>
      </c>
      <c r="B1561" s="138">
        <f>'Expenditures 15-22'!K313</f>
        <v>-15627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1224075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1385995</v>
      </c>
      <c r="C1630" s="2" t="s">
        <v>594</v>
      </c>
      <c r="D1630" s="2" t="str">
        <f t="shared" si="24"/>
        <v>Error?</v>
      </c>
    </row>
    <row r="1631" spans="1:4" x14ac:dyDescent="0.2">
      <c r="A1631" s="5">
        <v>1570</v>
      </c>
      <c r="B1631" s="138">
        <f>'Acct Summary 7-8'!D79</f>
        <v>810606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826323</v>
      </c>
      <c r="C1644" s="2" t="s">
        <v>594</v>
      </c>
      <c r="D1644" s="2" t="str">
        <f t="shared" si="24"/>
        <v>Error?</v>
      </c>
    </row>
    <row r="1645" spans="1:4" x14ac:dyDescent="0.2">
      <c r="A1645" s="5">
        <v>1584</v>
      </c>
      <c r="B1645" s="138">
        <f>'Acct Summary 7-8'!E79</f>
        <v>3352522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2776337</v>
      </c>
      <c r="C1658" s="2" t="s">
        <v>594</v>
      </c>
      <c r="D1658" s="2" t="str">
        <f t="shared" si="24"/>
        <v>Error?</v>
      </c>
    </row>
    <row r="1659" spans="1:4" x14ac:dyDescent="0.2">
      <c r="A1659" s="5">
        <v>1598</v>
      </c>
      <c r="B1659" s="138">
        <f>'Acct Summary 7-8'!F79</f>
        <v>59230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144853</v>
      </c>
      <c r="C1672" s="2" t="s">
        <v>594</v>
      </c>
      <c r="D1672" s="2" t="str">
        <f t="shared" si="25"/>
        <v>Error?</v>
      </c>
    </row>
    <row r="1673" spans="1:4" x14ac:dyDescent="0.2">
      <c r="A1673" s="5">
        <v>1612</v>
      </c>
      <c r="B1673" s="138">
        <f>'Acct Summary 7-8'!G79</f>
        <v>143794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138133</v>
      </c>
      <c r="C1686" s="2" t="s">
        <v>594</v>
      </c>
      <c r="D1686" s="2" t="str">
        <f t="shared" si="25"/>
        <v>Error?</v>
      </c>
    </row>
    <row r="1687" spans="1:4" x14ac:dyDescent="0.2">
      <c r="A1687" s="5">
        <v>1626</v>
      </c>
      <c r="B1687" s="138">
        <f>'Acct Summary 7-8'!H79</f>
        <v>109627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94000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2066531</v>
      </c>
      <c r="C1744" s="2" t="s">
        <v>594</v>
      </c>
      <c r="D1744" s="2" t="str">
        <f t="shared" si="26"/>
        <v>Error?</v>
      </c>
    </row>
    <row r="1745" spans="1:5" x14ac:dyDescent="0.2">
      <c r="A1745" s="5">
        <v>1684</v>
      </c>
      <c r="B1745" s="138">
        <f>'Tax Sched 23'!B5</f>
        <v>281436</v>
      </c>
      <c r="C1745" s="2" t="s">
        <v>594</v>
      </c>
      <c r="D1745" s="2" t="str">
        <f t="shared" si="26"/>
        <v>Error?</v>
      </c>
    </row>
    <row r="1746" spans="1:5" x14ac:dyDescent="0.2">
      <c r="A1746" s="5">
        <v>1685</v>
      </c>
      <c r="B1746" s="138">
        <f>'Tax Sched 23'!B6</f>
        <v>502153</v>
      </c>
      <c r="C1746" s="2" t="s">
        <v>594</v>
      </c>
      <c r="D1746" s="2" t="str">
        <f t="shared" si="26"/>
        <v>Error?</v>
      </c>
    </row>
    <row r="1747" spans="1:5" x14ac:dyDescent="0.2">
      <c r="A1747" s="5">
        <v>1686</v>
      </c>
      <c r="B1747" s="138">
        <f>'Tax Sched 23'!B7</f>
        <v>186710</v>
      </c>
      <c r="C1747" s="2" t="s">
        <v>594</v>
      </c>
      <c r="D1747" s="2" t="str">
        <f t="shared" si="26"/>
        <v>Error?</v>
      </c>
    </row>
    <row r="1748" spans="1:5" x14ac:dyDescent="0.2">
      <c r="A1748" s="5">
        <v>1687</v>
      </c>
      <c r="B1748" s="138">
        <f>'Tax Sched 23'!B8</f>
        <v>56345</v>
      </c>
      <c r="C1748" s="2" t="s">
        <v>594</v>
      </c>
      <c r="D1748" s="2" t="str">
        <f t="shared" si="26"/>
        <v>Error?</v>
      </c>
    </row>
    <row r="1749" spans="1:5" x14ac:dyDescent="0.2">
      <c r="A1749" s="5">
        <v>1688</v>
      </c>
      <c r="B1749" s="138">
        <f>'Tax Sched 23'!B10</f>
        <v>29405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57417</v>
      </c>
      <c r="C1752" s="2" t="s">
        <v>594</v>
      </c>
      <c r="D1752" s="2" t="str">
        <f t="shared" si="26"/>
        <v>Error?</v>
      </c>
    </row>
    <row r="1753" spans="1:5" x14ac:dyDescent="0.2">
      <c r="A1753" s="5">
        <v>1692</v>
      </c>
      <c r="B1753" s="138">
        <f>'Tax Sched 23'!B12</f>
        <v>5385</v>
      </c>
      <c r="C1753" s="2" t="s">
        <v>594</v>
      </c>
      <c r="D1753" s="2" t="str">
        <f t="shared" si="26"/>
        <v>Error?</v>
      </c>
    </row>
    <row r="1754" spans="1:5" x14ac:dyDescent="0.2">
      <c r="A1754" s="5">
        <v>1693</v>
      </c>
      <c r="B1754" s="138">
        <f>'Tax Sched 23'!B14</f>
        <v>23496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3279301</v>
      </c>
      <c r="C1759" s="2" t="s">
        <v>594</v>
      </c>
      <c r="D1759" s="2" t="str">
        <f t="shared" si="26"/>
        <v>Error?</v>
      </c>
    </row>
    <row r="1760" spans="1:5" x14ac:dyDescent="0.2">
      <c r="A1760" s="5">
        <v>1699</v>
      </c>
      <c r="B1760" s="138">
        <f>'Tax Sched 23'!D4</f>
        <v>2066531</v>
      </c>
      <c r="C1760" s="2" t="s">
        <v>594</v>
      </c>
      <c r="D1760" s="2" t="str">
        <f t="shared" si="26"/>
        <v>Error?</v>
      </c>
    </row>
    <row r="1761" spans="1:5" x14ac:dyDescent="0.2">
      <c r="A1761" s="5">
        <v>1700</v>
      </c>
      <c r="B1761" s="138">
        <f>'Tax Sched 23'!D5</f>
        <v>281436</v>
      </c>
      <c r="C1761" s="2" t="s">
        <v>594</v>
      </c>
      <c r="D1761" s="2" t="str">
        <f t="shared" si="26"/>
        <v>Error?</v>
      </c>
    </row>
    <row r="1762" spans="1:5" s="8" customFormat="1" x14ac:dyDescent="0.2">
      <c r="A1762" s="5">
        <v>1701</v>
      </c>
      <c r="B1762" s="138">
        <f>'Tax Sched 23'!D6</f>
        <v>502153</v>
      </c>
      <c r="C1762" s="2" t="s">
        <v>594</v>
      </c>
      <c r="D1762" s="2" t="str">
        <f t="shared" si="26"/>
        <v>Error?</v>
      </c>
      <c r="E1762" s="9"/>
    </row>
    <row r="1763" spans="1:5" x14ac:dyDescent="0.2">
      <c r="A1763" s="5">
        <v>1702</v>
      </c>
      <c r="B1763" s="138">
        <f>'Tax Sched 23'!D7</f>
        <v>186710</v>
      </c>
      <c r="C1763" s="2" t="s">
        <v>594</v>
      </c>
      <c r="D1763" s="2" t="str">
        <f t="shared" si="26"/>
        <v>Error?</v>
      </c>
    </row>
    <row r="1764" spans="1:5" x14ac:dyDescent="0.2">
      <c r="A1764" s="5">
        <v>1703</v>
      </c>
      <c r="B1764" s="138">
        <f>'Tax Sched 23'!D8</f>
        <v>56345</v>
      </c>
      <c r="C1764" s="2" t="s">
        <v>594</v>
      </c>
      <c r="D1764" s="2" t="str">
        <f t="shared" si="26"/>
        <v>Error?</v>
      </c>
    </row>
    <row r="1765" spans="1:5" x14ac:dyDescent="0.2">
      <c r="A1765" s="5">
        <v>1704</v>
      </c>
      <c r="B1765" s="138">
        <f>'Tax Sched 23'!D10</f>
        <v>29405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57417</v>
      </c>
      <c r="C1768" s="2" t="s">
        <v>594</v>
      </c>
      <c r="D1768" s="2" t="str">
        <f t="shared" si="26"/>
        <v>Error?</v>
      </c>
    </row>
    <row r="1769" spans="1:5" x14ac:dyDescent="0.2">
      <c r="A1769" s="5">
        <v>1708</v>
      </c>
      <c r="B1769" s="138">
        <f>'Tax Sched 23'!D12</f>
        <v>5385</v>
      </c>
      <c r="C1769" s="2" t="s">
        <v>594</v>
      </c>
      <c r="D1769" s="2" t="str">
        <f t="shared" si="26"/>
        <v>Error?</v>
      </c>
    </row>
    <row r="1770" spans="1:5" x14ac:dyDescent="0.2">
      <c r="A1770" s="5">
        <v>1709</v>
      </c>
      <c r="B1770" s="138">
        <f>'Tax Sched 23'!D14</f>
        <v>23496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3279301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2144559</v>
      </c>
      <c r="C1792" s="2" t="s">
        <v>594</v>
      </c>
      <c r="D1792" s="2" t="str">
        <f t="shared" si="27"/>
        <v>Error?</v>
      </c>
    </row>
    <row r="1793" spans="1:4" x14ac:dyDescent="0.2">
      <c r="A1793" s="5">
        <v>1732</v>
      </c>
      <c r="B1793" s="138">
        <f>'Tax Sched 23'!F5</f>
        <v>293189</v>
      </c>
      <c r="C1793" s="2" t="s">
        <v>594</v>
      </c>
      <c r="D1793" s="2" t="str">
        <f t="shared" si="27"/>
        <v>Error?</v>
      </c>
    </row>
    <row r="1794" spans="1:4" x14ac:dyDescent="0.2">
      <c r="A1794" s="5">
        <v>1733</v>
      </c>
      <c r="B1794" s="138">
        <f>'Tax Sched 23'!F6</f>
        <v>517819</v>
      </c>
      <c r="C1794" s="2" t="s">
        <v>594</v>
      </c>
      <c r="D1794" s="2" t="str">
        <f t="shared" si="27"/>
        <v>Error?</v>
      </c>
    </row>
    <row r="1795" spans="1:4" x14ac:dyDescent="0.2">
      <c r="A1795" s="5">
        <v>1734</v>
      </c>
      <c r="B1795" s="138">
        <f>'Tax Sched 23'!F7</f>
        <v>194510</v>
      </c>
      <c r="C1795" s="2" t="s">
        <v>594</v>
      </c>
      <c r="D1795" s="2" t="str">
        <f t="shared" si="27"/>
        <v>Error?</v>
      </c>
    </row>
    <row r="1796" spans="1:4" x14ac:dyDescent="0.2">
      <c r="A1796" s="5">
        <v>1735</v>
      </c>
      <c r="B1796" s="138">
        <f>'Tax Sched 23'!F8</f>
        <v>58705</v>
      </c>
      <c r="C1796" s="2" t="s">
        <v>594</v>
      </c>
      <c r="D1796" s="2" t="str">
        <f t="shared" si="27"/>
        <v>Error?</v>
      </c>
    </row>
    <row r="1797" spans="1:4" x14ac:dyDescent="0.2">
      <c r="A1797" s="5">
        <v>1736</v>
      </c>
      <c r="B1797" s="138">
        <f>'Tax Sched 23'!F10</f>
        <v>30641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67998</v>
      </c>
      <c r="C1800" s="2" t="s">
        <v>594</v>
      </c>
      <c r="D1800" s="2" t="str">
        <f t="shared" si="27"/>
        <v>Error?</v>
      </c>
    </row>
    <row r="1801" spans="1:4" x14ac:dyDescent="0.2">
      <c r="A1801" s="5">
        <v>1740</v>
      </c>
      <c r="B1801" s="138">
        <f>'Tax Sched 23'!F12</f>
        <v>5619</v>
      </c>
      <c r="C1801" s="2" t="s">
        <v>594</v>
      </c>
      <c r="D1801" s="2" t="str">
        <f t="shared" si="27"/>
        <v>Error?</v>
      </c>
    </row>
    <row r="1802" spans="1:4" x14ac:dyDescent="0.2">
      <c r="A1802" s="5">
        <v>1741</v>
      </c>
      <c r="B1802" s="138">
        <f>'Tax Sched 23'!F14</f>
        <v>24486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3410895</v>
      </c>
      <c r="C1807" s="2" t="s">
        <v>594</v>
      </c>
      <c r="D1807" s="2" t="str">
        <f t="shared" si="27"/>
        <v>Error?</v>
      </c>
    </row>
    <row r="1808" spans="1:4" x14ac:dyDescent="0.2">
      <c r="A1808" s="5">
        <v>1747</v>
      </c>
      <c r="B1808" s="138">
        <f>'Tax Sched 23'!E4</f>
        <v>2144559</v>
      </c>
      <c r="D1808" s="2" t="str">
        <f t="shared" si="27"/>
        <v>Error?</v>
      </c>
    </row>
    <row r="1809" spans="1:4" x14ac:dyDescent="0.2">
      <c r="A1809" s="5">
        <v>1748</v>
      </c>
      <c r="B1809" s="138">
        <f>'Tax Sched 23'!E5</f>
        <v>293189</v>
      </c>
      <c r="D1809" s="2" t="str">
        <f t="shared" si="27"/>
        <v>Error?</v>
      </c>
    </row>
    <row r="1810" spans="1:4" x14ac:dyDescent="0.2">
      <c r="A1810" s="5">
        <v>1749</v>
      </c>
      <c r="B1810" s="138">
        <f>'Tax Sched 23'!E6</f>
        <v>517819</v>
      </c>
      <c r="D1810" s="2" t="str">
        <f t="shared" si="27"/>
        <v>Error?</v>
      </c>
    </row>
    <row r="1811" spans="1:4" x14ac:dyDescent="0.2">
      <c r="A1811" s="5">
        <v>1750</v>
      </c>
      <c r="B1811" s="138">
        <f>'Tax Sched 23'!E7</f>
        <v>194510</v>
      </c>
      <c r="D1811" s="2" t="str">
        <f t="shared" si="27"/>
        <v>Error?</v>
      </c>
    </row>
    <row r="1812" spans="1:4" x14ac:dyDescent="0.2">
      <c r="A1812" s="5">
        <v>1751</v>
      </c>
      <c r="B1812" s="138">
        <f>'Tax Sched 23'!E8</f>
        <v>58705</v>
      </c>
      <c r="D1812" s="2" t="str">
        <f t="shared" si="27"/>
        <v>Error?</v>
      </c>
    </row>
    <row r="1813" spans="1:4" x14ac:dyDescent="0.2">
      <c r="A1813" s="5">
        <v>1752</v>
      </c>
      <c r="B1813" s="138">
        <f>'Tax Sched 23'!E10</f>
        <v>30641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67998</v>
      </c>
      <c r="D1816" s="2" t="str">
        <f t="shared" si="27"/>
        <v>Error?</v>
      </c>
    </row>
    <row r="1817" spans="1:4" x14ac:dyDescent="0.2">
      <c r="A1817" s="5">
        <v>1756</v>
      </c>
      <c r="B1817" s="138">
        <f>'Tax Sched 23'!E12</f>
        <v>5619</v>
      </c>
      <c r="D1817" s="2" t="str">
        <f t="shared" si="27"/>
        <v>Error?</v>
      </c>
    </row>
    <row r="1818" spans="1:4" x14ac:dyDescent="0.2">
      <c r="A1818" s="5">
        <v>1757</v>
      </c>
      <c r="B1818" s="138">
        <f>'Tax Sched 23'!E14</f>
        <v>24486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3410895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24175000</v>
      </c>
      <c r="C1939" s="2" t="s">
        <v>594</v>
      </c>
      <c r="D1939" s="2" t="str">
        <f t="shared" si="29"/>
        <v>Error?</v>
      </c>
    </row>
    <row r="1940" spans="1:5" x14ac:dyDescent="0.2">
      <c r="A1940" s="5">
        <v>1879</v>
      </c>
      <c r="B1940" s="138">
        <f>'Short-Term Long-Term Debt 24'!F49</f>
        <v>7405000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23496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15</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23511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23511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190587</v>
      </c>
      <c r="D2008" s="2" t="str">
        <f t="shared" si="30"/>
        <v>Error?</v>
      </c>
    </row>
    <row r="2009" spans="1:4" x14ac:dyDescent="0.2">
      <c r="A2009" s="5">
        <v>1948</v>
      </c>
      <c r="B2009" s="138">
        <f>'Cap Outlay Deprec 26'!C8</f>
        <v>31571207</v>
      </c>
      <c r="D2009" s="2" t="str">
        <f t="shared" si="30"/>
        <v>Error?</v>
      </c>
    </row>
    <row r="2010" spans="1:4" x14ac:dyDescent="0.2">
      <c r="A2010" s="5">
        <v>1949</v>
      </c>
      <c r="B2010" s="138">
        <f>'Cap Outlay Deprec 26'!C10</f>
        <v>236737</v>
      </c>
      <c r="D2010" s="2" t="str">
        <f t="shared" si="30"/>
        <v>Error?</v>
      </c>
    </row>
    <row r="2011" spans="1:4" x14ac:dyDescent="0.2">
      <c r="A2011" s="5">
        <v>1950</v>
      </c>
      <c r="B2011" s="138">
        <f>'Cap Outlay Deprec 26'!C12</f>
        <v>2584820</v>
      </c>
      <c r="D2011" s="2" t="str">
        <f t="shared" si="30"/>
        <v>Error?</v>
      </c>
    </row>
    <row r="2012" spans="1:4" x14ac:dyDescent="0.2">
      <c r="A2012" s="5">
        <v>1951</v>
      </c>
      <c r="B2012" s="138">
        <f>'Cap Outlay Deprec 26'!C13</f>
        <v>5345</v>
      </c>
      <c r="D2012" s="2" t="str">
        <f t="shared" si="30"/>
        <v>Error?</v>
      </c>
    </row>
    <row r="2013" spans="1:4" x14ac:dyDescent="0.2">
      <c r="A2013" s="5">
        <v>1952</v>
      </c>
      <c r="B2013" s="138">
        <f>'Cap Outlay Deprec 26'!C16</f>
        <v>34588696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48999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48999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190587</v>
      </c>
      <c r="C2026" s="2" t="s">
        <v>594</v>
      </c>
      <c r="D2026" s="2" t="str">
        <f t="shared" si="30"/>
        <v>Error?</v>
      </c>
    </row>
    <row r="2027" spans="1:4" x14ac:dyDescent="0.2">
      <c r="A2027" s="5">
        <v>1966</v>
      </c>
      <c r="B2027" s="138">
        <f>'Cap Outlay Deprec 26'!F8</f>
        <v>31571207</v>
      </c>
      <c r="C2027" s="2" t="s">
        <v>594</v>
      </c>
      <c r="D2027" s="2" t="str">
        <f t="shared" si="30"/>
        <v>Error?</v>
      </c>
    </row>
    <row r="2028" spans="1:4" x14ac:dyDescent="0.2">
      <c r="A2028" s="5">
        <v>1967</v>
      </c>
      <c r="B2028" s="138">
        <f>'Cap Outlay Deprec 26'!F10</f>
        <v>236737</v>
      </c>
      <c r="C2028" s="2" t="s">
        <v>594</v>
      </c>
      <c r="D2028" s="2" t="str">
        <f t="shared" si="30"/>
        <v>Error?</v>
      </c>
    </row>
    <row r="2029" spans="1:4" x14ac:dyDescent="0.2">
      <c r="A2029" s="5">
        <v>1968</v>
      </c>
      <c r="B2029" s="138">
        <f>'Cap Outlay Deprec 26'!F12</f>
        <v>2633819</v>
      </c>
      <c r="C2029" s="2" t="s">
        <v>594</v>
      </c>
      <c r="D2029" s="2" t="str">
        <f t="shared" si="30"/>
        <v>Error?</v>
      </c>
    </row>
    <row r="2030" spans="1:4" x14ac:dyDescent="0.2">
      <c r="A2030" s="5">
        <v>1969</v>
      </c>
      <c r="B2030" s="138">
        <f>'Cap Outlay Deprec 26'!F13</f>
        <v>5345</v>
      </c>
      <c r="C2030" s="2" t="s">
        <v>594</v>
      </c>
      <c r="D2030" s="2" t="str">
        <f t="shared" si="30"/>
        <v>Error?</v>
      </c>
    </row>
    <row r="2031" spans="1:4" x14ac:dyDescent="0.2">
      <c r="A2031" s="5">
        <v>1970</v>
      </c>
      <c r="B2031" s="138">
        <f>'Cap Outlay Deprec 26'!F16</f>
        <v>34637695</v>
      </c>
      <c r="C2031" s="2" t="s">
        <v>594</v>
      </c>
      <c r="D2031" s="2" t="str">
        <f t="shared" si="30"/>
        <v>Error?</v>
      </c>
    </row>
    <row r="2032" spans="1:4" x14ac:dyDescent="0.2">
      <c r="A2032" s="10">
        <v>1971</v>
      </c>
      <c r="D2032" s="2" t="str">
        <f t="shared" si="30"/>
        <v>OK</v>
      </c>
    </row>
    <row r="2033" spans="1:4" x14ac:dyDescent="0.2">
      <c r="A2033" s="5">
        <v>1972</v>
      </c>
      <c r="B2033" s="138">
        <f>'Cap Outlay Deprec 26'!H8</f>
        <v>4844854</v>
      </c>
      <c r="D2033" s="2" t="str">
        <f t="shared" si="30"/>
        <v>Error?</v>
      </c>
    </row>
    <row r="2034" spans="1:4" x14ac:dyDescent="0.2">
      <c r="A2034" s="5">
        <v>1973</v>
      </c>
      <c r="B2034" s="138">
        <f>'Cap Outlay Deprec 26'!H10</f>
        <v>141684</v>
      </c>
      <c r="D2034" s="2" t="str">
        <f t="shared" si="30"/>
        <v>Error?</v>
      </c>
    </row>
    <row r="2035" spans="1:4" x14ac:dyDescent="0.2">
      <c r="A2035" s="5">
        <v>1974</v>
      </c>
      <c r="B2035" s="138">
        <f>'Cap Outlay Deprec 26'!H12</f>
        <v>1602902</v>
      </c>
      <c r="D2035" s="2" t="str">
        <f t="shared" si="30"/>
        <v>Error?</v>
      </c>
    </row>
    <row r="2036" spans="1:4" x14ac:dyDescent="0.2">
      <c r="A2036" s="5">
        <v>1975</v>
      </c>
      <c r="B2036" s="138">
        <f>'Cap Outlay Deprec 26'!H13</f>
        <v>5345</v>
      </c>
      <c r="D2036" s="2" t="str">
        <f t="shared" si="30"/>
        <v>Error?</v>
      </c>
    </row>
    <row r="2037" spans="1:4" x14ac:dyDescent="0.2">
      <c r="A2037" s="5">
        <v>1976</v>
      </c>
      <c r="B2037" s="138">
        <f>'Cap Outlay Deprec 26'!H16</f>
        <v>6594785</v>
      </c>
      <c r="C2037" s="2" t="s">
        <v>594</v>
      </c>
      <c r="D2037" s="2" t="str">
        <f t="shared" si="30"/>
        <v>Error?</v>
      </c>
    </row>
    <row r="2038" spans="1:4" x14ac:dyDescent="0.2">
      <c r="A2038" s="10">
        <v>1977</v>
      </c>
      <c r="D2038" s="2" t="str">
        <f t="shared" si="30"/>
        <v>OK</v>
      </c>
    </row>
    <row r="2039" spans="1:4" x14ac:dyDescent="0.2">
      <c r="A2039" s="5">
        <v>1978</v>
      </c>
      <c r="B2039" s="138">
        <f>'Cap Outlay Deprec 26'!I8</f>
        <v>608392</v>
      </c>
      <c r="D2039" s="2" t="str">
        <f t="shared" si="30"/>
        <v>Error?</v>
      </c>
    </row>
    <row r="2040" spans="1:4" x14ac:dyDescent="0.2">
      <c r="A2040" s="5">
        <v>1979</v>
      </c>
      <c r="B2040" s="138">
        <f>'Cap Outlay Deprec 26'!I10</f>
        <v>8218</v>
      </c>
      <c r="D2040" s="2" t="str">
        <f t="shared" si="30"/>
        <v>Error?</v>
      </c>
    </row>
    <row r="2041" spans="1:4" x14ac:dyDescent="0.2">
      <c r="A2041" s="5">
        <v>1980</v>
      </c>
      <c r="B2041" s="138">
        <f>'Cap Outlay Deprec 26'!I12</f>
        <v>182277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798887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5453246</v>
      </c>
      <c r="C2051" s="2" t="s">
        <v>594</v>
      </c>
      <c r="D2051" s="2" t="str">
        <f t="shared" si="31"/>
        <v>Error?</v>
      </c>
    </row>
    <row r="2052" spans="1:4" x14ac:dyDescent="0.2">
      <c r="A2052" s="5">
        <v>1991</v>
      </c>
      <c r="B2052" s="138">
        <f>'Cap Outlay Deprec 26'!K10</f>
        <v>149902</v>
      </c>
      <c r="C2052" s="2" t="s">
        <v>594</v>
      </c>
      <c r="D2052" s="2" t="str">
        <f t="shared" si="31"/>
        <v>Error?</v>
      </c>
    </row>
    <row r="2053" spans="1:4" x14ac:dyDescent="0.2">
      <c r="A2053" s="5">
        <v>1992</v>
      </c>
      <c r="B2053" s="138">
        <f>'Cap Outlay Deprec 26'!K12</f>
        <v>1785179</v>
      </c>
      <c r="C2053" s="2" t="s">
        <v>594</v>
      </c>
      <c r="D2053" s="2" t="str">
        <f t="shared" si="31"/>
        <v>Error?</v>
      </c>
    </row>
    <row r="2054" spans="1:4" x14ac:dyDescent="0.2">
      <c r="A2054" s="5">
        <v>1993</v>
      </c>
      <c r="B2054" s="138">
        <f>'Cap Outlay Deprec 26'!K13</f>
        <v>5345</v>
      </c>
      <c r="C2054" s="2" t="s">
        <v>594</v>
      </c>
      <c r="D2054" s="2" t="str">
        <f t="shared" si="31"/>
        <v>Error?</v>
      </c>
    </row>
    <row r="2055" spans="1:4" x14ac:dyDescent="0.2">
      <c r="A2055" s="5">
        <v>1994</v>
      </c>
      <c r="B2055" s="138">
        <f>'Cap Outlay Deprec 26'!K16</f>
        <v>7393672</v>
      </c>
      <c r="C2055" s="2" t="s">
        <v>594</v>
      </c>
      <c r="D2055" s="2" t="str">
        <f t="shared" si="31"/>
        <v>Error?</v>
      </c>
    </row>
    <row r="2056" spans="1:4" x14ac:dyDescent="0.2">
      <c r="A2056" s="5">
        <v>1995</v>
      </c>
      <c r="B2056" s="138">
        <f>'Cap Outlay Deprec 26'!L5</f>
        <v>190587</v>
      </c>
      <c r="C2056" s="2" t="s">
        <v>594</v>
      </c>
      <c r="D2056" s="2" t="str">
        <f t="shared" si="31"/>
        <v>Error?</v>
      </c>
    </row>
    <row r="2057" spans="1:4" x14ac:dyDescent="0.2">
      <c r="A2057" s="5">
        <v>1996</v>
      </c>
      <c r="B2057" s="138">
        <f>'Cap Outlay Deprec 26'!L8</f>
        <v>26117961</v>
      </c>
      <c r="C2057" s="2" t="s">
        <v>594</v>
      </c>
      <c r="D2057" s="2" t="str">
        <f t="shared" si="31"/>
        <v>Error?</v>
      </c>
    </row>
    <row r="2058" spans="1:4" x14ac:dyDescent="0.2">
      <c r="A2058" s="5">
        <v>1997</v>
      </c>
      <c r="B2058" s="138">
        <f>'Cap Outlay Deprec 26'!L10</f>
        <v>86835</v>
      </c>
      <c r="C2058" s="2" t="s">
        <v>594</v>
      </c>
      <c r="D2058" s="2" t="str">
        <f t="shared" si="31"/>
        <v>Error?</v>
      </c>
    </row>
    <row r="2059" spans="1:4" x14ac:dyDescent="0.2">
      <c r="A2059" s="5">
        <v>1998</v>
      </c>
      <c r="B2059" s="138">
        <f>'Cap Outlay Deprec 26'!L12</f>
        <v>848640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27244023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31579</v>
      </c>
      <c r="C2088" s="2" t="s">
        <v>594</v>
      </c>
      <c r="D2088" s="2" t="str">
        <f t="shared" si="31"/>
        <v>Error?</v>
      </c>
    </row>
    <row r="2089" spans="1:4" x14ac:dyDescent="0.2">
      <c r="A2089" s="5">
        <v>2028</v>
      </c>
      <c r="B2089" s="138">
        <f>'Expenditures 15-22'!K92</f>
        <v>104336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70516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2476505</v>
      </c>
      <c r="C2551" s="2" t="s">
        <v>594</v>
      </c>
      <c r="D2551" s="2" t="str">
        <f t="shared" si="38"/>
        <v>Error?</v>
      </c>
    </row>
    <row r="2552" spans="1:4" x14ac:dyDescent="0.2">
      <c r="A2552" s="10">
        <v>2491</v>
      </c>
      <c r="D2552" s="2" t="str">
        <f t="shared" si="38"/>
        <v>OK</v>
      </c>
    </row>
    <row r="2553" spans="1:4" x14ac:dyDescent="0.2">
      <c r="A2553" s="5">
        <v>2492</v>
      </c>
      <c r="B2553" s="138">
        <f>'Acct Summary 7-8'!C6</f>
        <v>1533485</v>
      </c>
      <c r="C2553" s="2" t="s">
        <v>594</v>
      </c>
      <c r="D2553" s="2" t="str">
        <f t="shared" si="38"/>
        <v>Error?</v>
      </c>
    </row>
    <row r="2554" spans="1:4" x14ac:dyDescent="0.2">
      <c r="A2554" s="5">
        <v>2493</v>
      </c>
      <c r="B2554" s="138">
        <f>'Acct Summary 7-8'!C7</f>
        <v>358230</v>
      </c>
      <c r="C2554" s="2" t="s">
        <v>594</v>
      </c>
      <c r="D2554" s="2" t="str">
        <f t="shared" si="38"/>
        <v>Error?</v>
      </c>
    </row>
    <row r="2555" spans="1:4" x14ac:dyDescent="0.2">
      <c r="A2555" s="5">
        <v>2494</v>
      </c>
      <c r="B2555" s="138">
        <f>'Acct Summary 7-8'!C8</f>
        <v>4368220</v>
      </c>
      <c r="C2555" s="2" t="s">
        <v>594</v>
      </c>
      <c r="D2555" s="2" t="str">
        <f t="shared" si="38"/>
        <v>Error?</v>
      </c>
    </row>
    <row r="2556" spans="1:4" x14ac:dyDescent="0.2">
      <c r="A2556" s="5">
        <v>2495</v>
      </c>
      <c r="B2556" s="138">
        <f>'Acct Summary 7-8'!C12</f>
        <v>2985429</v>
      </c>
      <c r="C2556" s="2" t="s">
        <v>594</v>
      </c>
      <c r="D2556" s="2" t="str">
        <f t="shared" si="38"/>
        <v>Error?</v>
      </c>
    </row>
    <row r="2557" spans="1:4" x14ac:dyDescent="0.2">
      <c r="A2557" s="5">
        <v>2496</v>
      </c>
      <c r="B2557" s="138">
        <f>'Acct Summary 7-8'!C13</f>
        <v>1084956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135915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4206300</v>
      </c>
      <c r="C2561" s="2" t="s">
        <v>594</v>
      </c>
      <c r="D2561" s="2" t="str">
        <f t="shared" si="39"/>
        <v>Error?</v>
      </c>
    </row>
    <row r="2562" spans="1:4" x14ac:dyDescent="0.2">
      <c r="A2562" s="5">
        <v>2501</v>
      </c>
      <c r="B2562" s="138">
        <f>'Acct Summary 7-8'!C20</f>
        <v>161920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295859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295859</v>
      </c>
      <c r="C2568" s="2" t="s">
        <v>594</v>
      </c>
      <c r="D2568" s="2" t="str">
        <f t="shared" si="39"/>
        <v>Error?</v>
      </c>
    </row>
    <row r="2569" spans="1:4" x14ac:dyDescent="0.2">
      <c r="A2569" s="5">
        <v>2508</v>
      </c>
      <c r="B2569" s="138">
        <f>'Acct Summary 7-8'!D13</f>
        <v>280142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280142</v>
      </c>
      <c r="C2573" s="2" t="s">
        <v>594</v>
      </c>
      <c r="D2573" s="2" t="str">
        <f t="shared" si="39"/>
        <v>Error?</v>
      </c>
    </row>
    <row r="2574" spans="1:4" x14ac:dyDescent="0.2">
      <c r="A2574" s="5">
        <v>2513</v>
      </c>
      <c r="B2574" s="138">
        <f>'Acct Summary 7-8'!D20</f>
        <v>15717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194131</v>
      </c>
      <c r="C2591" s="2" t="s">
        <v>594</v>
      </c>
      <c r="D2591" s="2" t="str">
        <f t="shared" si="39"/>
        <v>Error?</v>
      </c>
    </row>
    <row r="2592" spans="1:4" x14ac:dyDescent="0.2">
      <c r="A2592" s="10">
        <v>2531</v>
      </c>
      <c r="D2592" s="2" t="str">
        <f t="shared" si="39"/>
        <v>OK</v>
      </c>
    </row>
    <row r="2593" spans="1:4" x14ac:dyDescent="0.2">
      <c r="A2593" s="5">
        <v>2532</v>
      </c>
      <c r="B2593" s="138">
        <f>'Acct Summary 7-8'!F6</f>
        <v>282175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476306</v>
      </c>
      <c r="C2595" s="2" t="s">
        <v>594</v>
      </c>
      <c r="D2595" s="2" t="str">
        <f t="shared" si="39"/>
        <v>Error?</v>
      </c>
    </row>
    <row r="2596" spans="1:4" x14ac:dyDescent="0.2">
      <c r="A2596" s="5">
        <v>2535</v>
      </c>
      <c r="B2596" s="138">
        <f>'Acct Summary 7-8'!F13</f>
        <v>390683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390683</v>
      </c>
      <c r="C2600" s="2" t="s">
        <v>594</v>
      </c>
      <c r="D2600" s="2" t="str">
        <f t="shared" si="39"/>
        <v>Error?</v>
      </c>
    </row>
    <row r="2601" spans="1:4" x14ac:dyDescent="0.2">
      <c r="A2601" s="5">
        <v>2540</v>
      </c>
      <c r="B2601" s="138">
        <f>'Acct Summary 7-8'!F20</f>
        <v>85623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131219</v>
      </c>
      <c r="C2603" s="2" t="s">
        <v>594</v>
      </c>
      <c r="D2603" s="2" t="str">
        <f t="shared" si="39"/>
        <v>Error?</v>
      </c>
    </row>
    <row r="2604" spans="1:4" x14ac:dyDescent="0.2">
      <c r="A2604" s="5">
        <v>2543</v>
      </c>
      <c r="B2604" s="138">
        <f>'Acct Summary 7-8'!G6</f>
        <v>2133</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133352</v>
      </c>
      <c r="C2606" s="2" t="s">
        <v>594</v>
      </c>
      <c r="D2606" s="2" t="str">
        <f t="shared" si="39"/>
        <v>Error?</v>
      </c>
    </row>
    <row r="2607" spans="1:4" x14ac:dyDescent="0.2">
      <c r="A2607" s="5">
        <v>2546</v>
      </c>
      <c r="B2607" s="138">
        <f>'Acct Summary 7-8'!G12</f>
        <v>76016</v>
      </c>
      <c r="C2607" s="2" t="s">
        <v>594</v>
      </c>
      <c r="D2607" s="2" t="str">
        <f t="shared" si="39"/>
        <v>Error?</v>
      </c>
    </row>
    <row r="2608" spans="1:4" x14ac:dyDescent="0.2">
      <c r="A2608" s="5">
        <v>2547</v>
      </c>
      <c r="B2608" s="138">
        <f>'Acct Summary 7-8'!G13</f>
        <v>62997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139013</v>
      </c>
      <c r="C2612" s="2" t="s">
        <v>594</v>
      </c>
      <c r="D2612" s="2" t="str">
        <f t="shared" si="39"/>
        <v>Error?</v>
      </c>
    </row>
    <row r="2613" spans="1:4" x14ac:dyDescent="0.2">
      <c r="A2613" s="5">
        <v>2552</v>
      </c>
      <c r="B2613" s="138">
        <f>'Acct Summary 7-8'!G20</f>
        <v>-5661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2027732</v>
      </c>
      <c r="C2630" s="2" t="s">
        <v>594</v>
      </c>
      <c r="D2630" s="2" t="str">
        <f t="shared" si="40"/>
        <v>Error?</v>
      </c>
    </row>
    <row r="2631" spans="1:4" x14ac:dyDescent="0.2">
      <c r="A2631" s="5">
        <v>2570</v>
      </c>
      <c r="B2631" s="138">
        <f>'Acct Summary 7-8'!E6</f>
        <v>905774</v>
      </c>
      <c r="C2631" s="2" t="s">
        <v>594</v>
      </c>
      <c r="D2631" s="2" t="str">
        <f t="shared" si="40"/>
        <v>Error?</v>
      </c>
    </row>
    <row r="2632" spans="1:4" x14ac:dyDescent="0.2">
      <c r="A2632" s="5">
        <v>2571</v>
      </c>
      <c r="B2632" s="138">
        <f>'Acct Summary 7-8'!E8</f>
        <v>3056661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1909545</v>
      </c>
      <c r="C2634" s="2" t="s">
        <v>594</v>
      </c>
      <c r="D2634" s="2" t="str">
        <f t="shared" si="40"/>
        <v>Error?</v>
      </c>
    </row>
    <row r="2635" spans="1:4" x14ac:dyDescent="0.2">
      <c r="A2635" s="5">
        <v>2574</v>
      </c>
      <c r="B2635" s="138">
        <f>'Acct Summary 7-8'!E17</f>
        <v>1909545</v>
      </c>
      <c r="C2635" s="2" t="s">
        <v>594</v>
      </c>
      <c r="D2635" s="2" t="str">
        <f t="shared" si="40"/>
        <v>Error?</v>
      </c>
    </row>
    <row r="2636" spans="1:4" x14ac:dyDescent="0.2">
      <c r="A2636" s="5">
        <v>2575</v>
      </c>
      <c r="B2636" s="138">
        <f>'Acct Summary 7-8'!E20</f>
        <v>1147116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1275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1275</v>
      </c>
      <c r="C2658" s="2" t="s">
        <v>594</v>
      </c>
      <c r="D2658" s="2" t="str">
        <f t="shared" si="40"/>
        <v>Error?</v>
      </c>
    </row>
    <row r="2659" spans="1:4" x14ac:dyDescent="0.2">
      <c r="A2659" s="5">
        <v>2598</v>
      </c>
      <c r="B2659" s="138">
        <f>'Acct Summary 7-8'!H13</f>
        <v>16902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16902</v>
      </c>
      <c r="C2661" s="2" t="s">
        <v>594</v>
      </c>
      <c r="D2661" s="2" t="str">
        <f t="shared" si="40"/>
        <v>Error?</v>
      </c>
    </row>
    <row r="2662" spans="1:4" x14ac:dyDescent="0.2">
      <c r="A2662" s="5">
        <v>2601</v>
      </c>
      <c r="B2662" s="138">
        <f>'Acct Summary 7-8'!H20</f>
        <v>-15627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31579</v>
      </c>
      <c r="C2789" s="2" t="s">
        <v>594</v>
      </c>
      <c r="D2789" s="2" t="str">
        <f t="shared" si="42"/>
        <v>Error?</v>
      </c>
    </row>
    <row r="2790" spans="1:4" x14ac:dyDescent="0.2">
      <c r="A2790" s="5">
        <v>2729</v>
      </c>
      <c r="B2790" s="138">
        <f>'Expenditures 15-22'!E102</f>
        <v>31579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2700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1196946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182178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1196946</v>
      </c>
      <c r="D2912" s="2" t="str">
        <f t="shared" si="44"/>
        <v>Error?</v>
      </c>
    </row>
    <row r="2913" spans="1:4" x14ac:dyDescent="0.2">
      <c r="A2913" s="5">
        <v>2852</v>
      </c>
      <c r="B2913" s="138">
        <f>'Assets-Liab 5-6'!I41</f>
        <v>1196946</v>
      </c>
      <c r="C2913" s="2" t="s">
        <v>594</v>
      </c>
      <c r="D2913" s="2" t="str">
        <f t="shared" si="44"/>
        <v>Error?</v>
      </c>
    </row>
    <row r="2914" spans="1:4" x14ac:dyDescent="0.2">
      <c r="A2914" s="5">
        <v>2853</v>
      </c>
      <c r="B2914" s="138">
        <f>'Assets-Liab 5-6'!L33</f>
        <v>182178</v>
      </c>
      <c r="D2914" s="2" t="str">
        <f t="shared" si="44"/>
        <v>Error?</v>
      </c>
    </row>
    <row r="2915" spans="1:4" x14ac:dyDescent="0.2">
      <c r="A2915" s="10">
        <v>2854</v>
      </c>
      <c r="D2915" s="2" t="str">
        <f t="shared" si="44"/>
        <v>OK</v>
      </c>
    </row>
    <row r="2916" spans="1:4" x14ac:dyDescent="0.2">
      <c r="A2916" s="5">
        <v>2855</v>
      </c>
      <c r="B2916" s="138">
        <f>'Assets-Liab 5-6'!L34</f>
        <v>182178</v>
      </c>
      <c r="C2916" s="2" t="s">
        <v>594</v>
      </c>
      <c r="D2916" s="2" t="str">
        <f t="shared" si="44"/>
        <v>Error?</v>
      </c>
    </row>
    <row r="2917" spans="1:4" x14ac:dyDescent="0.2">
      <c r="A2917" s="5">
        <v>2856</v>
      </c>
      <c r="B2917" s="138">
        <f>'Assets-Liab 5-6'!L41</f>
        <v>182178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28504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3075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28504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3075</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53480</v>
      </c>
      <c r="D3055" s="2" t="str">
        <f t="shared" si="46"/>
        <v>Error?</v>
      </c>
    </row>
    <row r="3056" spans="1:4" x14ac:dyDescent="0.2">
      <c r="A3056" s="5">
        <v>2995</v>
      </c>
      <c r="B3056" s="138">
        <f>'Expenditures 15-22'!D10</f>
        <v>3513</v>
      </c>
      <c r="D3056" s="2" t="str">
        <f t="shared" si="46"/>
        <v>Error?</v>
      </c>
    </row>
    <row r="3057" spans="1:4" x14ac:dyDescent="0.2">
      <c r="A3057" s="5">
        <v>2996</v>
      </c>
      <c r="B3057" s="138">
        <f>'Expenditures 15-22'!E10</f>
        <v>4576</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61569</v>
      </c>
      <c r="C3062" s="2" t="s">
        <v>594</v>
      </c>
      <c r="D3062" s="2" t="str">
        <f t="shared" si="46"/>
        <v>Error?</v>
      </c>
    </row>
    <row r="3063" spans="1:4" x14ac:dyDescent="0.2">
      <c r="A3063" s="10">
        <v>3002</v>
      </c>
      <c r="D3063" s="2" t="str">
        <f t="shared" si="46"/>
        <v>OK</v>
      </c>
    </row>
    <row r="3064" spans="1:4" x14ac:dyDescent="0.2">
      <c r="A3064" s="5">
        <v>3003</v>
      </c>
      <c r="B3064" s="138">
        <f>'Expenditures 15-22'!D219</f>
        <v>5571</v>
      </c>
      <c r="D3064" s="2" t="str">
        <f t="shared" si="46"/>
        <v>Error?</v>
      </c>
    </row>
    <row r="3065" spans="1:4" x14ac:dyDescent="0.2">
      <c r="A3065" s="5">
        <v>3004</v>
      </c>
      <c r="B3065" s="138">
        <f>'Expenditures 15-22'!K219</f>
        <v>5571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7405000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32015</v>
      </c>
      <c r="C3225" s="2" t="s">
        <v>594</v>
      </c>
      <c r="D3225" s="2" t="str">
        <f t="shared" si="49"/>
        <v>Error?</v>
      </c>
    </row>
    <row r="3226" spans="1:4" x14ac:dyDescent="0.2">
      <c r="A3226" s="5">
        <v>3165</v>
      </c>
      <c r="B3226" s="138">
        <f>'Acct Summary 7-8'!I8</f>
        <v>32015</v>
      </c>
      <c r="C3226" s="2" t="s">
        <v>594</v>
      </c>
      <c r="D3226" s="2" t="str">
        <f t="shared" si="49"/>
        <v>Error?</v>
      </c>
    </row>
    <row r="3227" spans="1:4" x14ac:dyDescent="0.2">
      <c r="A3227" s="5">
        <v>3166</v>
      </c>
      <c r="B3227" s="138">
        <f>'Acct Summary 7-8'!I20</f>
        <v>32015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161920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15717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85623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-5661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15138</v>
      </c>
      <c r="D3273" s="2" t="str">
        <f t="shared" si="50"/>
        <v>Error?</v>
      </c>
    </row>
    <row r="3274" spans="1:4" x14ac:dyDescent="0.2">
      <c r="A3274" s="5">
        <v>3213</v>
      </c>
      <c r="B3274" s="138">
        <f>'Acct Summary 7-8'!E44</f>
        <v>8092649</v>
      </c>
      <c r="C3274" s="2" t="s">
        <v>594</v>
      </c>
      <c r="D3274" s="2" t="str">
        <f t="shared" si="50"/>
        <v>Error?</v>
      </c>
    </row>
    <row r="3275" spans="1:4" x14ac:dyDescent="0.2">
      <c r="A3275" s="5">
        <v>3214</v>
      </c>
      <c r="B3275" s="138">
        <f>'Acct Summary 7-8'!E75</f>
        <v>9815950</v>
      </c>
      <c r="D3275" s="2" t="str">
        <f t="shared" si="50"/>
        <v>Error?</v>
      </c>
    </row>
    <row r="3276" spans="1:4" x14ac:dyDescent="0.2">
      <c r="A3276" s="5">
        <v>3215</v>
      </c>
      <c r="B3276" s="138">
        <f>'Acct Summary 7-8'!E76</f>
        <v>9815950</v>
      </c>
      <c r="C3276" s="2" t="s">
        <v>594</v>
      </c>
      <c r="D3276" s="2" t="str">
        <f t="shared" si="50"/>
        <v>Error?</v>
      </c>
    </row>
    <row r="3277" spans="1:4" x14ac:dyDescent="0.2">
      <c r="A3277" s="5">
        <v>3216</v>
      </c>
      <c r="B3277" s="138">
        <f>'Acct Summary 7-8'!E77</f>
        <v>-1723301</v>
      </c>
      <c r="C3277" s="2" t="s">
        <v>594</v>
      </c>
      <c r="D3277" s="2" t="str">
        <f t="shared" si="50"/>
        <v>Error?</v>
      </c>
    </row>
    <row r="3278" spans="1:4" x14ac:dyDescent="0.2">
      <c r="A3278" s="5">
        <v>3217</v>
      </c>
      <c r="B3278" s="138">
        <f>'Acct Summary 7-8'!E78</f>
        <v>-576185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-15627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32015</v>
      </c>
      <c r="C3320" s="2" t="s">
        <v>594</v>
      </c>
      <c r="D3320" s="2" t="str">
        <f t="shared" si="50"/>
        <v>Error?</v>
      </c>
    </row>
    <row r="3321" spans="1:4" x14ac:dyDescent="0.2">
      <c r="A3321" s="5">
        <v>3260</v>
      </c>
      <c r="B3321" s="138">
        <f>'Acct Summary 7-8'!I79</f>
        <v>1164931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1196946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357089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35669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235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392993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27989</v>
      </c>
      <c r="D3387" s="2" t="str">
        <f t="shared" si="51"/>
        <v>Error?</v>
      </c>
    </row>
    <row r="3388" spans="1:4" x14ac:dyDescent="0.2">
      <c r="A3388" s="5">
        <v>3327</v>
      </c>
      <c r="B3388" s="138">
        <f>'Expenditures 15-22'!D217</f>
        <v>30897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27989</v>
      </c>
      <c r="C3390" s="2" t="s">
        <v>594</v>
      </c>
      <c r="D3390" s="2" t="str">
        <f t="shared" si="51"/>
        <v>Error?</v>
      </c>
    </row>
    <row r="3391" spans="1:4" x14ac:dyDescent="0.2">
      <c r="A3391" s="5">
        <v>3330</v>
      </c>
      <c r="B3391" s="138">
        <f>'Expenditures 15-22'!K217</f>
        <v>30897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1385995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826323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2776337</v>
      </c>
      <c r="D3417" s="2" t="str">
        <f t="shared" si="52"/>
        <v>Error?</v>
      </c>
    </row>
    <row r="3418" spans="1:4" x14ac:dyDescent="0.2">
      <c r="A3418" s="10">
        <v>3357</v>
      </c>
      <c r="D3418" s="2" t="str">
        <f t="shared" si="52"/>
        <v>OK</v>
      </c>
    </row>
    <row r="3419" spans="1:4" x14ac:dyDescent="0.2">
      <c r="A3419" s="5">
        <v>3358</v>
      </c>
      <c r="B3419" s="138">
        <f>'Assets-Liab 5-6'!F4</f>
        <v>144853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138133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94000</v>
      </c>
      <c r="D3425" s="2" t="str">
        <f t="shared" si="52"/>
        <v>Error?</v>
      </c>
    </row>
    <row r="3426" spans="1:4" x14ac:dyDescent="0.2">
      <c r="A3426" s="10">
        <v>3365</v>
      </c>
      <c r="D3426" s="2" t="str">
        <f t="shared" si="52"/>
        <v>OK</v>
      </c>
    </row>
    <row r="3427" spans="1:4" x14ac:dyDescent="0.2">
      <c r="A3427" s="5">
        <v>3366</v>
      </c>
      <c r="B3427" s="138">
        <f>'Assets-Liab 5-6'!I4</f>
        <v>1196946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182178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70423</v>
      </c>
      <c r="C3446" s="2" t="s">
        <v>594</v>
      </c>
      <c r="D3446" s="2" t="str">
        <f t="shared" si="52"/>
        <v>Error?</v>
      </c>
    </row>
    <row r="3447" spans="1:4" x14ac:dyDescent="0.2">
      <c r="A3447" s="5">
        <v>3386</v>
      </c>
      <c r="B3447" s="138">
        <f>'Tax Sched 23'!D16</f>
        <v>70423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73369</v>
      </c>
      <c r="C3449" s="2" t="s">
        <v>594</v>
      </c>
      <c r="D3449" s="2" t="str">
        <f t="shared" si="52"/>
        <v>Error?</v>
      </c>
    </row>
    <row r="3450" spans="1:4" x14ac:dyDescent="0.2">
      <c r="A3450" s="5">
        <v>3389</v>
      </c>
      <c r="B3450" s="138">
        <f>'Tax Sched 23'!E16</f>
        <v>73369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93778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93778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93778</v>
      </c>
      <c r="D3567" s="2" t="str">
        <f t="shared" si="54"/>
        <v>Error?</v>
      </c>
    </row>
    <row r="3568" spans="1:4" x14ac:dyDescent="0.2">
      <c r="A3568" s="5">
        <v>3507</v>
      </c>
      <c r="B3568" s="138">
        <f>'Assets-Liab 5-6'!K41</f>
        <v>93778</v>
      </c>
      <c r="C3568" s="2" t="s">
        <v>594</v>
      </c>
      <c r="D3568" s="2" t="str">
        <f t="shared" si="54"/>
        <v>Error?</v>
      </c>
    </row>
    <row r="3569" spans="1:4" x14ac:dyDescent="0.2">
      <c r="A3569" s="5">
        <v>3508</v>
      </c>
      <c r="B3569" s="138">
        <f>'Acct Summary 7-8'!K4</f>
        <v>5604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5604</v>
      </c>
      <c r="C3571" s="2" t="s">
        <v>594</v>
      </c>
      <c r="D3571" s="2" t="str">
        <f t="shared" si="54"/>
        <v>Error?</v>
      </c>
    </row>
    <row r="3572" spans="1:4" x14ac:dyDescent="0.2">
      <c r="A3572" s="5">
        <v>3511</v>
      </c>
      <c r="B3572" s="138">
        <f>'Acct Summary 7-8'!K13</f>
        <v>7983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7983</v>
      </c>
      <c r="C3575" s="2" t="s">
        <v>594</v>
      </c>
      <c r="D3575" s="2" t="str">
        <f t="shared" si="54"/>
        <v>Error?</v>
      </c>
    </row>
    <row r="3576" spans="1:4" x14ac:dyDescent="0.2">
      <c r="A3576" s="5">
        <v>3515</v>
      </c>
      <c r="B3576" s="138">
        <f>'Acct Summary 7-8'!K20</f>
        <v>-2379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-2379</v>
      </c>
      <c r="C3588" s="2" t="s">
        <v>594</v>
      </c>
      <c r="D3588" s="2" t="str">
        <f t="shared" si="55"/>
        <v>Error?</v>
      </c>
    </row>
    <row r="3589" spans="1:4" x14ac:dyDescent="0.2">
      <c r="A3589" s="5">
        <v>3528</v>
      </c>
      <c r="B3589" s="138">
        <f>'Acct Summary 7-8'!K79</f>
        <v>96157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93778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7983</v>
      </c>
      <c r="D3632" s="2" t="str">
        <f t="shared" si="55"/>
        <v>Error?</v>
      </c>
    </row>
    <row r="3633" spans="1:4" x14ac:dyDescent="0.2">
      <c r="A3633" s="5">
        <v>3572</v>
      </c>
      <c r="B3633" s="138">
        <f>'Expenditures 15-22'!E350</f>
        <v>7983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7983</v>
      </c>
      <c r="C3635" s="2" t="s">
        <v>594</v>
      </c>
      <c r="D3635" s="2" t="str">
        <f t="shared" si="55"/>
        <v>Error?</v>
      </c>
    </row>
    <row r="3636" spans="1:4" x14ac:dyDescent="0.2">
      <c r="A3636" s="5">
        <v>3575</v>
      </c>
      <c r="B3636" s="138">
        <f>'Expenditures 15-22'!E367</f>
        <v>7983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7983</v>
      </c>
      <c r="C3669" s="2" t="s">
        <v>594</v>
      </c>
      <c r="D3669" s="2" t="str">
        <f t="shared" si="56"/>
        <v>Error?</v>
      </c>
    </row>
    <row r="3670" spans="1:4" x14ac:dyDescent="0.2">
      <c r="A3670" s="5">
        <v>3609</v>
      </c>
      <c r="B3670" s="138">
        <f>'Expenditures 15-22'!K350</f>
        <v>7983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7983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7983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-2379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167860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1964609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6332829</v>
      </c>
      <c r="C4122" s="2" t="s">
        <v>594</v>
      </c>
      <c r="D4122" s="2" t="str">
        <f t="shared" si="63"/>
        <v>Error?</v>
      </c>
    </row>
    <row r="4123" spans="1:4" x14ac:dyDescent="0.2">
      <c r="A4123" s="5">
        <v>4062</v>
      </c>
      <c r="B4123" s="138">
        <f>'Acct Summary 7-8'!D10</f>
        <v>295859</v>
      </c>
      <c r="C4123" s="2" t="s">
        <v>594</v>
      </c>
      <c r="D4123" s="2" t="str">
        <f t="shared" si="63"/>
        <v>Error?</v>
      </c>
    </row>
    <row r="4124" spans="1:4" x14ac:dyDescent="0.2">
      <c r="A4124" s="5">
        <v>4063</v>
      </c>
      <c r="B4124" s="138">
        <f>'Acct Summary 7-8'!E10</f>
        <v>3056661</v>
      </c>
      <c r="C4124" s="2" t="s">
        <v>594</v>
      </c>
      <c r="D4124" s="2" t="str">
        <f t="shared" si="63"/>
        <v>Error?</v>
      </c>
    </row>
    <row r="4125" spans="1:4" x14ac:dyDescent="0.2">
      <c r="A4125" s="5">
        <v>4064</v>
      </c>
      <c r="B4125" s="138">
        <f>'Acct Summary 7-8'!F10</f>
        <v>476306</v>
      </c>
      <c r="C4125" s="2" t="s">
        <v>594</v>
      </c>
      <c r="D4125" s="2" t="str">
        <f t="shared" si="63"/>
        <v>Error?</v>
      </c>
    </row>
    <row r="4126" spans="1:4" x14ac:dyDescent="0.2">
      <c r="A4126" s="5">
        <v>4065</v>
      </c>
      <c r="B4126" s="138">
        <f>'Acct Summary 7-8'!G10</f>
        <v>133352</v>
      </c>
      <c r="C4126" s="2" t="s">
        <v>594</v>
      </c>
      <c r="D4126" s="2" t="str">
        <f t="shared" si="63"/>
        <v>Error?</v>
      </c>
    </row>
    <row r="4127" spans="1:4" x14ac:dyDescent="0.2">
      <c r="A4127" s="5">
        <v>4066</v>
      </c>
      <c r="B4127" s="138">
        <f>'Acct Summary 7-8'!H10</f>
        <v>1275</v>
      </c>
      <c r="C4127" s="2" t="s">
        <v>594</v>
      </c>
      <c r="D4127" s="2" t="str">
        <f t="shared" si="63"/>
        <v>Error?</v>
      </c>
    </row>
    <row r="4128" spans="1:4" x14ac:dyDescent="0.2">
      <c r="A4128" s="5">
        <v>4067</v>
      </c>
      <c r="B4128" s="138">
        <f>'Acct Summary 7-8'!I10</f>
        <v>32015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5604</v>
      </c>
      <c r="C4130" s="2" t="s">
        <v>594</v>
      </c>
      <c r="D4130" s="2" t="str">
        <f t="shared" si="63"/>
        <v>Error?</v>
      </c>
    </row>
    <row r="4131" spans="1:4" x14ac:dyDescent="0.2">
      <c r="A4131" s="5">
        <v>4070</v>
      </c>
      <c r="B4131" s="138">
        <f>'Acct Summary 7-8'!C18</f>
        <v>1964609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6170909</v>
      </c>
      <c r="C4136" s="2" t="s">
        <v>594</v>
      </c>
      <c r="D4136" s="2" t="str">
        <f t="shared" si="63"/>
        <v>Error?</v>
      </c>
    </row>
    <row r="4137" spans="1:4" x14ac:dyDescent="0.2">
      <c r="A4137" s="5">
        <v>4076</v>
      </c>
      <c r="B4137" s="138">
        <f>'Acct Summary 7-8'!D19</f>
        <v>280142</v>
      </c>
      <c r="C4137" s="2" t="s">
        <v>594</v>
      </c>
      <c r="D4137" s="2" t="str">
        <f t="shared" si="63"/>
        <v>Error?</v>
      </c>
    </row>
    <row r="4138" spans="1:4" x14ac:dyDescent="0.2">
      <c r="A4138" s="5">
        <v>4077</v>
      </c>
      <c r="B4138" s="138">
        <f>'Acct Summary 7-8'!E19</f>
        <v>1909545</v>
      </c>
      <c r="C4138" s="2" t="s">
        <v>594</v>
      </c>
      <c r="D4138" s="2" t="str">
        <f t="shared" si="63"/>
        <v>Error?</v>
      </c>
    </row>
    <row r="4139" spans="1:4" x14ac:dyDescent="0.2">
      <c r="A4139" s="5">
        <v>4078</v>
      </c>
      <c r="B4139" s="138">
        <f>'Acct Summary 7-8'!F19</f>
        <v>390683</v>
      </c>
      <c r="C4139" s="2" t="s">
        <v>594</v>
      </c>
      <c r="D4139" s="2" t="str">
        <f t="shared" si="63"/>
        <v>Error?</v>
      </c>
    </row>
    <row r="4140" spans="1:4" x14ac:dyDescent="0.2">
      <c r="A4140" s="5">
        <v>4079</v>
      </c>
      <c r="B4140" s="138">
        <f>'Acct Summary 7-8'!G19</f>
        <v>139013</v>
      </c>
      <c r="C4140" s="2" t="s">
        <v>594</v>
      </c>
      <c r="D4140" s="2" t="str">
        <f t="shared" si="63"/>
        <v>Error?</v>
      </c>
    </row>
    <row r="4141" spans="1:4" x14ac:dyDescent="0.2">
      <c r="A4141" s="5">
        <v>4080</v>
      </c>
      <c r="B4141" s="138">
        <f>'Acct Summary 7-8'!H19</f>
        <v>16902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7983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21105000</v>
      </c>
      <c r="C4171" s="2" t="s">
        <v>594</v>
      </c>
      <c r="D4171" s="2" t="str">
        <f t="shared" si="64"/>
        <v>Error?</v>
      </c>
    </row>
    <row r="4172" spans="1:4" x14ac:dyDescent="0.2">
      <c r="A4172" s="5">
        <v>4111</v>
      </c>
      <c r="B4172" s="138">
        <f>'Short-Term Long-Term Debt 24'!J49</f>
        <v>18328663</v>
      </c>
      <c r="C4172" s="2" t="s">
        <v>594</v>
      </c>
      <c r="D4172" s="2" t="str">
        <f t="shared" si="64"/>
        <v>Error?</v>
      </c>
    </row>
    <row r="4173" spans="1:4" x14ac:dyDescent="0.2">
      <c r="A4173" s="5">
        <v>4112</v>
      </c>
      <c r="B4173" s="138">
        <f>'Short-Term Long-Term Debt 24'!H49</f>
        <v>10475000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1385</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2679.19</v>
      </c>
      <c r="C4265" s="2" t="s">
        <v>594</v>
      </c>
      <c r="D4265" s="2" t="str">
        <f t="shared" si="65"/>
        <v>Error?</v>
      </c>
      <c r="E4265" s="128"/>
    </row>
    <row r="4266" spans="1:5" x14ac:dyDescent="0.2">
      <c r="A4266" s="12">
        <v>4205</v>
      </c>
      <c r="B4266" s="138">
        <f>('FP Info 3'!F10)*100000</f>
        <v>366.28</v>
      </c>
      <c r="C4266" s="2" t="s">
        <v>594</v>
      </c>
      <c r="D4266" s="2" t="str">
        <f t="shared" si="65"/>
        <v>Error?</v>
      </c>
      <c r="E4266" s="128"/>
    </row>
    <row r="4267" spans="1:5" x14ac:dyDescent="0.2">
      <c r="A4267" s="12">
        <v>4206</v>
      </c>
      <c r="B4267" s="138">
        <f>('FP Info 3'!H10)*100000</f>
        <v>243</v>
      </c>
      <c r="C4267" s="2" t="s">
        <v>594</v>
      </c>
      <c r="D4267" s="2" t="str">
        <f t="shared" si="65"/>
        <v>Error?</v>
      </c>
      <c r="E4267" s="128"/>
    </row>
    <row r="4268" spans="1:5" x14ac:dyDescent="0.2">
      <c r="A4268" s="12">
        <v>4207</v>
      </c>
      <c r="B4268" s="138">
        <f>('FP Info 3'!J10)*100000</f>
        <v>3288</v>
      </c>
      <c r="C4268" s="2" t="s">
        <v>594</v>
      </c>
      <c r="D4268" s="2" t="str">
        <f t="shared" si="65"/>
        <v>Error?</v>
      </c>
    </row>
    <row r="4269" spans="1:5" x14ac:dyDescent="0.2">
      <c r="A4269" s="12">
        <v>4208</v>
      </c>
      <c r="B4269" s="138">
        <f>'FP Info 3'!J16</f>
        <v>3554117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7350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56659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3280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16127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123155</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38.28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123155</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308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66410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2133</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86492</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139649675</v>
      </c>
      <c r="D4995" s="2" t="str">
        <f t="shared" si="77"/>
        <v>Error?</v>
      </c>
    </row>
    <row r="4996" spans="1:4" x14ac:dyDescent="0.2">
      <c r="A4996" s="12">
        <v>4935</v>
      </c>
      <c r="B4996" s="138">
        <f>'FP Info 3'!H31</f>
        <v>19271655.150000002</v>
      </c>
      <c r="D4996" s="2" t="str">
        <f t="shared" si="77"/>
        <v>Error?</v>
      </c>
    </row>
    <row r="4997" spans="1:4" x14ac:dyDescent="0.2">
      <c r="A4997" s="12">
        <v>4936</v>
      </c>
      <c r="B4997" s="138">
        <f>'FP Info 3'!H37</f>
        <v>21105000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2066531</v>
      </c>
      <c r="D5061" s="2" t="str">
        <f t="shared" si="78"/>
        <v>Error?</v>
      </c>
    </row>
    <row r="5062" spans="1:4" x14ac:dyDescent="0.2">
      <c r="A5062" s="10">
        <v>5001</v>
      </c>
      <c r="D5062" s="2" t="str">
        <f t="shared" si="78"/>
        <v>OK</v>
      </c>
    </row>
    <row r="5063" spans="1:4" x14ac:dyDescent="0.2">
      <c r="A5063" s="5">
        <v>5002</v>
      </c>
      <c r="B5063" s="138">
        <f>'Revenues 9-14'!C7</f>
        <v>23496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2090027</v>
      </c>
      <c r="C5066" s="2" t="s">
        <v>594</v>
      </c>
      <c r="D5066" s="2" t="str">
        <f t="shared" si="78"/>
        <v>Error?</v>
      </c>
    </row>
    <row r="5067" spans="1:4" x14ac:dyDescent="0.2">
      <c r="A5067" s="5">
        <v>5006</v>
      </c>
      <c r="B5067" s="138">
        <f>'Revenues 9-14'!C14</f>
        <v>1351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78367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79718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29194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29194</v>
      </c>
      <c r="C5087" s="2" t="s">
        <v>594</v>
      </c>
      <c r="D5087" s="2" t="str">
        <f t="shared" si="78"/>
        <v>Error?</v>
      </c>
    </row>
    <row r="5088" spans="1:4" x14ac:dyDescent="0.2">
      <c r="A5088" s="5">
        <v>5027</v>
      </c>
      <c r="B5088" s="138">
        <f>'Revenues 9-14'!C65</f>
        <v>3515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3515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4820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136563</v>
      </c>
      <c r="C5096" s="2" t="s">
        <v>594</v>
      </c>
      <c r="D5096" s="2" t="str">
        <f t="shared" si="78"/>
        <v>Error?</v>
      </c>
    </row>
    <row r="5097" spans="1:4" x14ac:dyDescent="0.2">
      <c r="A5097" s="5">
        <v>5036</v>
      </c>
      <c r="B5097" s="138">
        <f>'Revenues 9-14'!C77</f>
        <v>40576</v>
      </c>
      <c r="D5097" s="2" t="str">
        <f t="shared" si="78"/>
        <v>Error?</v>
      </c>
    </row>
    <row r="5098" spans="1:4" x14ac:dyDescent="0.2">
      <c r="A5098" s="5">
        <v>5037</v>
      </c>
      <c r="B5098" s="138">
        <f>'Revenues 9-14'!C78</f>
        <v>2383</v>
      </c>
      <c r="D5098" s="2" t="str">
        <f t="shared" si="78"/>
        <v>Error?</v>
      </c>
    </row>
    <row r="5099" spans="1:4" x14ac:dyDescent="0.2">
      <c r="A5099" s="5">
        <v>5038</v>
      </c>
      <c r="B5099" s="138">
        <f>'Revenues 9-14'!C79</f>
        <v>10372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4188</v>
      </c>
      <c r="D5101" s="2" t="str">
        <f t="shared" si="78"/>
        <v>Error?</v>
      </c>
    </row>
    <row r="5102" spans="1:4" x14ac:dyDescent="0.2">
      <c r="A5102" s="5">
        <v>5041</v>
      </c>
      <c r="B5102" s="138">
        <f>'Revenues 9-14'!C82</f>
        <v>57519</v>
      </c>
      <c r="C5102" s="2" t="s">
        <v>594</v>
      </c>
      <c r="D5102" s="2" t="str">
        <f t="shared" si="78"/>
        <v>Error?</v>
      </c>
    </row>
    <row r="5103" spans="1:4" x14ac:dyDescent="0.2">
      <c r="A5103" s="5">
        <v>5042</v>
      </c>
      <c r="B5103" s="138">
        <f>'Revenues 9-14'!C84</f>
        <v>27632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27632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11050</v>
      </c>
      <c r="D5114" s="2" t="str">
        <f t="shared" si="78"/>
        <v>Error?</v>
      </c>
    </row>
    <row r="5115" spans="1:4" x14ac:dyDescent="0.2">
      <c r="A5115" s="5">
        <v>5054</v>
      </c>
      <c r="B5115" s="138">
        <f>'Revenues 9-14'!C98</f>
        <v>10000</v>
      </c>
      <c r="D5115" s="2" t="str">
        <f t="shared" si="78"/>
        <v>Error?</v>
      </c>
    </row>
    <row r="5116" spans="1:4" x14ac:dyDescent="0.2">
      <c r="A5116" s="5">
        <v>5055</v>
      </c>
      <c r="B5116" s="138">
        <f>'Revenues 9-14'!C99</f>
        <v>677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25627</v>
      </c>
      <c r="D5119" s="2" t="str">
        <f t="shared" ref="D5119:D5182" si="79">IF(ISBLANK(B5119),"OK",IF(A5119-B5119=0,"OK","Error?"))</f>
        <v>Error?</v>
      </c>
    </row>
    <row r="5120" spans="1:4" x14ac:dyDescent="0.2">
      <c r="A5120" s="5">
        <v>5059</v>
      </c>
      <c r="B5120" s="138">
        <f>'Revenues 9-14'!C108</f>
        <v>52337</v>
      </c>
      <c r="C5120" s="2" t="s">
        <v>594</v>
      </c>
      <c r="D5120" s="2" t="str">
        <f t="shared" si="79"/>
        <v>Error?</v>
      </c>
    </row>
    <row r="5121" spans="1:4" x14ac:dyDescent="0.2">
      <c r="A5121" s="5">
        <v>5060</v>
      </c>
      <c r="B5121" s="138">
        <f>'Revenues 9-14'!C109</f>
        <v>2476505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1373262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1373262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35526</v>
      </c>
      <c r="D5134" s="2" t="str">
        <f t="shared" si="79"/>
        <v>Error?</v>
      </c>
    </row>
    <row r="5135" spans="1:4" x14ac:dyDescent="0.2">
      <c r="A5135" s="5">
        <v>5074</v>
      </c>
      <c r="B5135" s="138">
        <f>'Revenues 9-14'!C126</f>
        <v>37855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73381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10976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1101</v>
      </c>
      <c r="D5167" s="2" t="str">
        <f t="shared" si="79"/>
        <v>Error?</v>
      </c>
    </row>
    <row r="5168" spans="1:4" x14ac:dyDescent="0.2">
      <c r="A5168" s="5">
        <v>5107</v>
      </c>
      <c r="B5168" s="138">
        <f>'Revenues 9-14'!C147</f>
        <v>8355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160223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1533485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86492</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89061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89061</v>
      </c>
      <c r="C5246" s="2" t="s">
        <v>594</v>
      </c>
      <c r="D5246" s="2" t="str">
        <f t="shared" si="80"/>
        <v>Error?</v>
      </c>
    </row>
    <row r="5247" spans="1:4" x14ac:dyDescent="0.2">
      <c r="A5247" s="5">
        <v>5186</v>
      </c>
      <c r="B5247" s="138">
        <f>'Revenues 9-14'!C203</f>
        <v>66425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3280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66425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2549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29413</v>
      </c>
      <c r="D5278" s="2" t="str">
        <f t="shared" si="81"/>
        <v>Error?</v>
      </c>
    </row>
    <row r="5279" spans="1:4" x14ac:dyDescent="0.2">
      <c r="A5279" s="5">
        <v>5218</v>
      </c>
      <c r="B5279" s="138">
        <f>'Revenues 9-14'!C221</f>
        <v>874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32836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271738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358230</v>
      </c>
      <c r="C5326" s="2" t="s">
        <v>594</v>
      </c>
      <c r="D5326" s="2" t="str">
        <f t="shared" si="82"/>
        <v>Error?</v>
      </c>
    </row>
    <row r="5327" spans="1:4" x14ac:dyDescent="0.2">
      <c r="A5327" s="5">
        <v>5266</v>
      </c>
      <c r="B5327" s="138">
        <f>'Revenues 9-14'!C275</f>
        <v>4368220</v>
      </c>
      <c r="C5327" s="2" t="s">
        <v>594</v>
      </c>
      <c r="D5327" s="2" t="str">
        <f t="shared" si="82"/>
        <v>Error?</v>
      </c>
    </row>
    <row r="5328" spans="1:4" x14ac:dyDescent="0.2">
      <c r="A5328" s="5">
        <v>5267</v>
      </c>
      <c r="B5328" s="138">
        <f>'Revenues 9-14'!D5</f>
        <v>281436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281436</v>
      </c>
      <c r="C5334" s="2" t="s">
        <v>594</v>
      </c>
      <c r="D5334" s="2" t="str">
        <f t="shared" si="82"/>
        <v>Error?</v>
      </c>
    </row>
    <row r="5335" spans="1:4" x14ac:dyDescent="0.2">
      <c r="A5335" s="5">
        <v>5274</v>
      </c>
      <c r="B5335" s="138">
        <f>'Revenues 9-14'!D14</f>
        <v>182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182</v>
      </c>
      <c r="C5339" s="2" t="s">
        <v>594</v>
      </c>
      <c r="D5339" s="2" t="str">
        <f t="shared" si="82"/>
        <v>Error?</v>
      </c>
    </row>
    <row r="5340" spans="1:4" x14ac:dyDescent="0.2">
      <c r="A5340" s="5">
        <v>5279</v>
      </c>
      <c r="B5340" s="138">
        <f>'Revenues 9-14'!D65</f>
        <v>1925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1925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3500</v>
      </c>
      <c r="D5349" s="2" t="str">
        <f t="shared" si="82"/>
        <v>Error?</v>
      </c>
    </row>
    <row r="5350" spans="1:4" x14ac:dyDescent="0.2">
      <c r="A5350" s="5">
        <v>5289</v>
      </c>
      <c r="B5350" s="138">
        <f>'Revenues 9-14'!D96</f>
        <v>1544</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4778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2494</v>
      </c>
      <c r="D5354" s="2" t="str">
        <f t="shared" si="82"/>
        <v>Error?</v>
      </c>
    </row>
    <row r="5355" spans="1:4" x14ac:dyDescent="0.2">
      <c r="A5355" s="5">
        <v>5294</v>
      </c>
      <c r="B5355" s="138">
        <f>'Revenues 9-14'!D108</f>
        <v>12316</v>
      </c>
      <c r="C5355" s="2" t="s">
        <v>594</v>
      </c>
      <c r="D5355" s="2" t="str">
        <f t="shared" si="82"/>
        <v>Error?</v>
      </c>
    </row>
    <row r="5356" spans="1:4" x14ac:dyDescent="0.2">
      <c r="A5356" s="5">
        <v>5295</v>
      </c>
      <c r="B5356" s="138">
        <f>'Revenues 9-14'!D109</f>
        <v>295859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295859</v>
      </c>
      <c r="C5508" s="2" t="s">
        <v>594</v>
      </c>
      <c r="D5508" s="2" t="str">
        <f t="shared" si="85"/>
        <v>Error?</v>
      </c>
    </row>
    <row r="5509" spans="1:4" x14ac:dyDescent="0.2">
      <c r="A5509" s="5">
        <v>5448</v>
      </c>
      <c r="B5509" s="138">
        <f>'Revenues 9-14'!E5</f>
        <v>502153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502153</v>
      </c>
      <c r="C5513" s="2" t="s">
        <v>594</v>
      </c>
      <c r="D5513" s="2" t="str">
        <f t="shared" si="85"/>
        <v>Error?</v>
      </c>
    </row>
    <row r="5514" spans="1:4" x14ac:dyDescent="0.2">
      <c r="A5514" s="5">
        <v>5453</v>
      </c>
      <c r="B5514" s="138">
        <f>'Revenues 9-14'!E14</f>
        <v>325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325</v>
      </c>
      <c r="C5518" s="2" t="s">
        <v>594</v>
      </c>
      <c r="D5518" s="2" t="str">
        <f t="shared" si="85"/>
        <v>Error?</v>
      </c>
    </row>
    <row r="5519" spans="1:4" x14ac:dyDescent="0.2">
      <c r="A5519" s="5">
        <v>5458</v>
      </c>
      <c r="B5519" s="138">
        <f>'Revenues 9-14'!E65</f>
        <v>23172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23172</v>
      </c>
      <c r="C5521" s="2" t="s">
        <v>594</v>
      </c>
      <c r="D5521" s="2" t="str">
        <f t="shared" si="85"/>
        <v>Error?</v>
      </c>
    </row>
    <row r="5522" spans="1:4" x14ac:dyDescent="0.2">
      <c r="A5522" s="5">
        <v>5461</v>
      </c>
      <c r="B5522" s="138">
        <f>'Revenues 9-14'!E96</f>
        <v>1500000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2082</v>
      </c>
      <c r="D5525" s="2" t="str">
        <f t="shared" si="85"/>
        <v>Error?</v>
      </c>
    </row>
    <row r="5526" spans="1:4" x14ac:dyDescent="0.2">
      <c r="A5526" s="5">
        <v>5465</v>
      </c>
      <c r="B5526" s="138">
        <f>'Revenues 9-14'!E108</f>
        <v>1502082</v>
      </c>
      <c r="C5526" s="2" t="s">
        <v>594</v>
      </c>
      <c r="D5526" s="2" t="str">
        <f t="shared" si="85"/>
        <v>Error?</v>
      </c>
    </row>
    <row r="5527" spans="1:4" x14ac:dyDescent="0.2">
      <c r="A5527" s="5">
        <v>5466</v>
      </c>
      <c r="B5527" s="138">
        <f>'Revenues 9-14'!E109</f>
        <v>2027732</v>
      </c>
      <c r="C5527" s="2" t="s">
        <v>594</v>
      </c>
      <c r="D5527" s="2" t="str">
        <f t="shared" si="85"/>
        <v>Error?</v>
      </c>
    </row>
    <row r="5528" spans="1:4" x14ac:dyDescent="0.2">
      <c r="A5528" s="5">
        <v>5467</v>
      </c>
      <c r="B5528" s="138">
        <f>'Revenues 9-14'!E117</f>
        <v>905774</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905774</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905774</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3056661</v>
      </c>
      <c r="C5552" s="2" t="s">
        <v>594</v>
      </c>
      <c r="D5552" s="2" t="str">
        <f t="shared" si="85"/>
        <v>Error?</v>
      </c>
    </row>
    <row r="5553" spans="1:4" x14ac:dyDescent="0.2">
      <c r="A5553" s="5">
        <v>5492</v>
      </c>
      <c r="B5553" s="138">
        <f>'Revenues 9-14'!F5</f>
        <v>186710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186710</v>
      </c>
      <c r="C5557" s="2" t="s">
        <v>594</v>
      </c>
      <c r="D5557" s="2" t="str">
        <f t="shared" si="85"/>
        <v>Error?</v>
      </c>
    </row>
    <row r="5558" spans="1:4" x14ac:dyDescent="0.2">
      <c r="A5558" s="5">
        <v>5497</v>
      </c>
      <c r="B5558" s="138">
        <f>'Revenues 9-14'!F14</f>
        <v>121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121</v>
      </c>
      <c r="C5562" s="2" t="s">
        <v>594</v>
      </c>
      <c r="D5562" s="2" t="str">
        <f t="shared" si="85"/>
        <v>Error?</v>
      </c>
    </row>
    <row r="5563" spans="1:4" x14ac:dyDescent="0.2">
      <c r="A5563" s="5">
        <v>5502</v>
      </c>
      <c r="B5563" s="138">
        <f>'Revenues 9-14'!F42</f>
        <v>117</v>
      </c>
      <c r="D5563" s="2" t="str">
        <f t="shared" si="85"/>
        <v>Error?</v>
      </c>
    </row>
    <row r="5564" spans="1:4" x14ac:dyDescent="0.2">
      <c r="A5564" s="5">
        <v>5503</v>
      </c>
      <c r="B5564" s="138">
        <f>'Revenues 9-14'!F43</f>
        <v>0</v>
      </c>
      <c r="D5564" s="2" t="str">
        <f t="shared" si="85"/>
        <v>Error?</v>
      </c>
    </row>
    <row r="5565" spans="1:4" x14ac:dyDescent="0.2">
      <c r="A5565" s="5">
        <v>5504</v>
      </c>
      <c r="B5565" s="138">
        <f>'Revenues 9-14'!F44</f>
        <v>101</v>
      </c>
      <c r="D5565" s="2" t="str">
        <f t="shared" si="85"/>
        <v>Error?</v>
      </c>
    </row>
    <row r="5566" spans="1:4" x14ac:dyDescent="0.2">
      <c r="A5566" s="5">
        <v>5505</v>
      </c>
      <c r="B5566" s="138">
        <f>'Revenues 9-14'!F45</f>
        <v>3386</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190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3794</v>
      </c>
      <c r="C5579" s="2" t="s">
        <v>594</v>
      </c>
      <c r="D5579" s="2" t="str">
        <f t="shared" si="86"/>
        <v>Error?</v>
      </c>
    </row>
    <row r="5580" spans="1:4" x14ac:dyDescent="0.2">
      <c r="A5580" s="5">
        <v>5519</v>
      </c>
      <c r="B5580" s="138">
        <f>'Revenues 9-14'!F65</f>
        <v>257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257</v>
      </c>
      <c r="C5582" s="2" t="s">
        <v>594</v>
      </c>
      <c r="D5582" s="2" t="str">
        <f t="shared" si="86"/>
        <v>Error?</v>
      </c>
    </row>
    <row r="5583" spans="1:4" x14ac:dyDescent="0.2">
      <c r="A5583" s="5">
        <v>5522</v>
      </c>
      <c r="B5583" s="138">
        <f>'Revenues 9-14'!F96</f>
        <v>3046</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203</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3249</v>
      </c>
      <c r="C5587" s="2" t="s">
        <v>594</v>
      </c>
      <c r="D5587" s="2" t="str">
        <f t="shared" si="86"/>
        <v>Error?</v>
      </c>
    </row>
    <row r="5588" spans="1:4" x14ac:dyDescent="0.2">
      <c r="A5588" s="5">
        <v>5527</v>
      </c>
      <c r="B5588" s="138">
        <f>'Revenues 9-14'!F109</f>
        <v>194131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178344</v>
      </c>
      <c r="D5615" s="2" t="str">
        <f t="shared" si="86"/>
        <v>Error?</v>
      </c>
    </row>
    <row r="5616" spans="1:4" x14ac:dyDescent="0.2">
      <c r="A5616" s="10">
        <v>5555</v>
      </c>
      <c r="D5616" s="2" t="str">
        <f t="shared" si="86"/>
        <v>OK</v>
      </c>
    </row>
    <row r="5617" spans="1:4" x14ac:dyDescent="0.2">
      <c r="A5617" s="5">
        <v>5556</v>
      </c>
      <c r="B5617" s="138">
        <f>'Revenues 9-14'!F152</f>
        <v>103831</v>
      </c>
      <c r="D5617" s="2" t="str">
        <f t="shared" si="86"/>
        <v>Error?</v>
      </c>
    </row>
    <row r="5618" spans="1:4" x14ac:dyDescent="0.2">
      <c r="A5618" s="5">
        <v>5557</v>
      </c>
      <c r="B5618" s="138">
        <f>'Revenues 9-14'!F154</f>
        <v>282175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282175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282175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476306</v>
      </c>
      <c r="C5720" s="2" t="s">
        <v>594</v>
      </c>
      <c r="D5720" s="2" t="str">
        <f t="shared" si="88"/>
        <v>Error?</v>
      </c>
    </row>
    <row r="5721" spans="1:4" x14ac:dyDescent="0.2">
      <c r="A5721" s="5">
        <v>5660</v>
      </c>
      <c r="B5721" s="138">
        <f>'Revenues 9-14'!G5</f>
        <v>56345</v>
      </c>
      <c r="D5721" s="2" t="str">
        <f t="shared" si="88"/>
        <v>Error?</v>
      </c>
    </row>
    <row r="5722" spans="1:4" x14ac:dyDescent="0.2">
      <c r="A5722" s="5">
        <v>5661</v>
      </c>
      <c r="B5722" s="138">
        <f>'Revenues 9-14'!G7</f>
        <v>0</v>
      </c>
      <c r="D5722" s="2" t="str">
        <f t="shared" si="88"/>
        <v>Error?</v>
      </c>
    </row>
    <row r="5723" spans="1:4" x14ac:dyDescent="0.2">
      <c r="A5723" s="5">
        <v>5662</v>
      </c>
      <c r="B5723" s="138">
        <f>'Revenues 9-14'!G8</f>
        <v>70423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126768</v>
      </c>
      <c r="C5725" s="2" t="s">
        <v>594</v>
      </c>
      <c r="D5725" s="2" t="str">
        <f t="shared" si="88"/>
        <v>Error?</v>
      </c>
    </row>
    <row r="5726" spans="1:4" x14ac:dyDescent="0.2">
      <c r="A5726" s="5">
        <v>5665</v>
      </c>
      <c r="B5726" s="138">
        <f>'Revenues 9-14'!G14</f>
        <v>82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4082</v>
      </c>
      <c r="C5730" s="2" t="s">
        <v>594</v>
      </c>
      <c r="D5730" s="2" t="str">
        <f t="shared" si="88"/>
        <v>Error?</v>
      </c>
    </row>
    <row r="5731" spans="1:4" x14ac:dyDescent="0.2">
      <c r="A5731" s="5">
        <v>5670</v>
      </c>
      <c r="B5731" s="138">
        <f>'Revenues 9-14'!G65</f>
        <v>369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369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2133</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2133</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133352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1275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1275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1275</v>
      </c>
      <c r="C5915" s="2" t="s">
        <v>594</v>
      </c>
      <c r="D5915" s="2" t="str">
        <f t="shared" si="91"/>
        <v>Error?</v>
      </c>
    </row>
    <row r="5916" spans="1:4" x14ac:dyDescent="0.2">
      <c r="A5916" s="5">
        <v>5855</v>
      </c>
      <c r="B5916" s="138">
        <f>'Revenues 9-14'!I5</f>
        <v>29405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29405</v>
      </c>
      <c r="C5918" s="2" t="s">
        <v>594</v>
      </c>
      <c r="D5918" s="2" t="str">
        <f t="shared" si="91"/>
        <v>Error?</v>
      </c>
    </row>
    <row r="5919" spans="1:4" x14ac:dyDescent="0.2">
      <c r="A5919" s="5">
        <v>5858</v>
      </c>
      <c r="B5919" s="138">
        <f>'Revenues 9-14'!I14</f>
        <v>19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19</v>
      </c>
      <c r="C5923" s="2" t="s">
        <v>594</v>
      </c>
      <c r="D5923" s="2" t="str">
        <f t="shared" si="91"/>
        <v>Error?</v>
      </c>
    </row>
    <row r="5924" spans="1:4" x14ac:dyDescent="0.2">
      <c r="A5924" s="5">
        <v>5863</v>
      </c>
      <c r="B5924" s="138">
        <f>'Revenues 9-14'!I65</f>
        <v>2591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2591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32015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5385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5385</v>
      </c>
      <c r="C5987" s="2" t="s">
        <v>594</v>
      </c>
      <c r="D5987" s="2" t="str">
        <f t="shared" si="92"/>
        <v>Error?</v>
      </c>
    </row>
    <row r="5988" spans="1:4" x14ac:dyDescent="0.2">
      <c r="A5988" s="5">
        <v>5927</v>
      </c>
      <c r="B5988" s="138">
        <f>'Revenues 9-14'!K14</f>
        <v>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4</v>
      </c>
      <c r="C5992" s="2" t="s">
        <v>594</v>
      </c>
      <c r="D5992" s="2" t="str">
        <f t="shared" si="92"/>
        <v>Error?</v>
      </c>
    </row>
    <row r="5993" spans="1:4" x14ac:dyDescent="0.2">
      <c r="A5993" s="5">
        <v>5932</v>
      </c>
      <c r="B5993" s="138">
        <f>'Revenues 9-14'!K65</f>
        <v>215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5604</v>
      </c>
      <c r="C6023" s="2" t="s">
        <v>594</v>
      </c>
      <c r="D6023" s="2" t="str">
        <f t="shared" si="93"/>
        <v>Error?</v>
      </c>
    </row>
    <row r="6024" spans="1:5" x14ac:dyDescent="0.2">
      <c r="A6024" s="5">
        <v>5963</v>
      </c>
      <c r="B6024" s="138">
        <f>'Revenues 9-14'!G109</f>
        <v>131219</v>
      </c>
      <c r="C6024" s="2" t="s">
        <v>594</v>
      </c>
      <c r="D6024" s="2" t="str">
        <f t="shared" si="93"/>
        <v>Error?</v>
      </c>
    </row>
    <row r="6025" spans="1:5" x14ac:dyDescent="0.2">
      <c r="A6025" s="5">
        <v>5964</v>
      </c>
      <c r="B6025" s="138">
        <f>'Revenues 9-14'!H109</f>
        <v>1275</v>
      </c>
      <c r="C6025" s="2" t="s">
        <v>594</v>
      </c>
      <c r="D6025" s="2" t="str">
        <f t="shared" si="93"/>
        <v>Error?</v>
      </c>
    </row>
    <row r="6026" spans="1:5" x14ac:dyDescent="0.2">
      <c r="A6026" s="5">
        <v>5965</v>
      </c>
      <c r="B6026" s="138">
        <f>'Revenues 9-14'!I109</f>
        <v>32015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5604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131743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19006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521.29999999999995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49514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49514</v>
      </c>
      <c r="D6215" s="2" t="str">
        <f t="shared" si="96"/>
        <v>Error?</v>
      </c>
      <c r="E6215" s="2" t="s">
        <v>199</v>
      </c>
    </row>
    <row r="6216" spans="1:5" x14ac:dyDescent="0.2">
      <c r="A6216">
        <v>6155</v>
      </c>
      <c r="B6216" s="138">
        <f>'Assets-Liab 5-6'!J41</f>
        <v>49514</v>
      </c>
      <c r="D6216" s="2" t="str">
        <f t="shared" si="96"/>
        <v>Error?</v>
      </c>
      <c r="E6216" s="2" t="s">
        <v>199</v>
      </c>
    </row>
    <row r="6217" spans="1:5" x14ac:dyDescent="0.2">
      <c r="A6217">
        <v>6156</v>
      </c>
      <c r="B6217" s="138">
        <f>'Assets-Liab 5-6'!J4</f>
        <v>49514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57541</v>
      </c>
      <c r="D6220" s="2" t="str">
        <f t="shared" si="96"/>
        <v>Error?</v>
      </c>
      <c r="E6220" s="2" t="s">
        <v>199</v>
      </c>
    </row>
    <row r="6221" spans="1:5" x14ac:dyDescent="0.2">
      <c r="A6221">
        <v>6160</v>
      </c>
      <c r="B6221" s="138">
        <f>'Acct Summary 7-8'!J6</f>
        <v>11161</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68702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68702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85531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85531</v>
      </c>
      <c r="D6229" s="2" t="str">
        <f t="shared" si="96"/>
        <v>Error?</v>
      </c>
      <c r="E6229" s="2" t="s">
        <v>199</v>
      </c>
    </row>
    <row r="6230" spans="1:5" x14ac:dyDescent="0.2">
      <c r="A6230">
        <v>6169</v>
      </c>
      <c r="B6230" s="138">
        <f>'Acct Summary 7-8'!J20</f>
        <v>-16829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-16829</v>
      </c>
      <c r="D6263" s="2" t="str">
        <f t="shared" si="96"/>
        <v>Error?</v>
      </c>
      <c r="E6263" s="2" t="s">
        <v>199</v>
      </c>
    </row>
    <row r="6264" spans="1:5" x14ac:dyDescent="0.2">
      <c r="A6264">
        <v>6203</v>
      </c>
      <c r="B6264" s="138">
        <f>'Acct Summary 7-8'!J79</f>
        <v>66343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49514</v>
      </c>
      <c r="D6266" s="2" t="str">
        <f t="shared" si="96"/>
        <v>Error?</v>
      </c>
      <c r="E6266" s="2" t="s">
        <v>199</v>
      </c>
    </row>
    <row r="6267" spans="1:5" x14ac:dyDescent="0.2">
      <c r="A6267">
        <v>6206</v>
      </c>
      <c r="B6267" s="138">
        <f>'Acct Summary 7-8'!C82</f>
        <v>161920</v>
      </c>
      <c r="D6267" s="2" t="str">
        <f t="shared" si="96"/>
        <v>Error?</v>
      </c>
      <c r="E6267" s="2" t="s">
        <v>199</v>
      </c>
    </row>
    <row r="6268" spans="1:5" x14ac:dyDescent="0.2">
      <c r="A6268">
        <v>6207</v>
      </c>
      <c r="B6268" s="138">
        <f>'Acct Summary 7-8'!D82</f>
        <v>15717</v>
      </c>
      <c r="D6268" s="2" t="str">
        <f t="shared" si="96"/>
        <v>Error?</v>
      </c>
      <c r="E6268" s="2" t="s">
        <v>199</v>
      </c>
    </row>
    <row r="6269" spans="1:5" x14ac:dyDescent="0.2">
      <c r="A6269">
        <v>6208</v>
      </c>
      <c r="B6269" s="138">
        <f>'Acct Summary 7-8'!E82</f>
        <v>-576185</v>
      </c>
      <c r="D6269" s="2" t="str">
        <f t="shared" si="96"/>
        <v>Error?</v>
      </c>
      <c r="E6269" s="2" t="s">
        <v>199</v>
      </c>
    </row>
    <row r="6270" spans="1:5" x14ac:dyDescent="0.2">
      <c r="A6270">
        <v>6209</v>
      </c>
      <c r="B6270" s="138">
        <f>'Acct Summary 7-8'!F82</f>
        <v>85623</v>
      </c>
      <c r="D6270" s="2" t="str">
        <f t="shared" si="96"/>
        <v>Error?</v>
      </c>
      <c r="E6270" s="2" t="s">
        <v>199</v>
      </c>
    </row>
    <row r="6271" spans="1:5" x14ac:dyDescent="0.2">
      <c r="A6271">
        <v>6210</v>
      </c>
      <c r="B6271" s="138">
        <f>'Acct Summary 7-8'!G82</f>
        <v>-5661</v>
      </c>
      <c r="D6271" s="2" t="str">
        <f t="shared" ref="D6271:D6334" si="97">IF(ISBLANK(B6271),"OK",IF(A6271-B6271=0,"OK","Error?"))</f>
        <v>Error?</v>
      </c>
      <c r="E6271" s="2" t="s">
        <v>199</v>
      </c>
    </row>
    <row r="6272" spans="1:5" x14ac:dyDescent="0.2">
      <c r="A6272">
        <v>6211</v>
      </c>
      <c r="B6272" s="138">
        <f>'Acct Summary 7-8'!H82</f>
        <v>-15627</v>
      </c>
      <c r="D6272" s="2" t="str">
        <f t="shared" si="97"/>
        <v>Error?</v>
      </c>
      <c r="E6272" s="2" t="s">
        <v>199</v>
      </c>
    </row>
    <row r="6273" spans="1:5" x14ac:dyDescent="0.2">
      <c r="A6273">
        <v>6212</v>
      </c>
      <c r="B6273" s="138">
        <f>'Acct Summary 7-8'!I82</f>
        <v>32015</v>
      </c>
      <c r="D6273" s="2" t="str">
        <f t="shared" si="97"/>
        <v>Error?</v>
      </c>
      <c r="E6273" s="2" t="s">
        <v>199</v>
      </c>
    </row>
    <row r="6274" spans="1:5" x14ac:dyDescent="0.2">
      <c r="A6274">
        <v>6213</v>
      </c>
      <c r="B6274" s="138">
        <f>'Acct Summary 7-8'!J82</f>
        <v>-16829</v>
      </c>
      <c r="D6274" s="2" t="str">
        <f t="shared" si="97"/>
        <v>Error?</v>
      </c>
      <c r="E6274" s="2" t="s">
        <v>199</v>
      </c>
    </row>
    <row r="6275" spans="1:5" x14ac:dyDescent="0.2">
      <c r="A6275">
        <v>6214</v>
      </c>
      <c r="B6275" s="138">
        <f>'Acct Summary 7-8'!K82</f>
        <v>-2379</v>
      </c>
      <c r="D6275" s="2" t="str">
        <f t="shared" si="97"/>
        <v>Error?</v>
      </c>
      <c r="E6275" s="2" t="s">
        <v>199</v>
      </c>
    </row>
    <row r="6276" spans="1:5" x14ac:dyDescent="0.2">
      <c r="A6276">
        <v>6215</v>
      </c>
      <c r="B6276" s="138">
        <f>'Acct Summary 7-8'!C83</f>
        <v>0.11682581827495771</v>
      </c>
      <c r="D6276" s="2" t="str">
        <f t="shared" si="97"/>
        <v>Error?</v>
      </c>
      <c r="E6276" s="2" t="s">
        <v>199</v>
      </c>
    </row>
    <row r="6277" spans="1:5" x14ac:dyDescent="0.2">
      <c r="A6277">
        <v>6216</v>
      </c>
      <c r="B6277" s="138">
        <f>'Acct Summary 7-8'!D83</f>
        <v>1.9020407274153085E-2</v>
      </c>
      <c r="D6277" s="2" t="str">
        <f t="shared" si="97"/>
        <v>Error?</v>
      </c>
      <c r="E6277" s="2" t="s">
        <v>199</v>
      </c>
    </row>
    <row r="6278" spans="1:5" x14ac:dyDescent="0.2">
      <c r="A6278">
        <v>6217</v>
      </c>
      <c r="B6278" s="138">
        <f>'Acct Summary 7-8'!E83</f>
        <v>-0.20753424386160613</v>
      </c>
      <c r="D6278" s="2" t="str">
        <f t="shared" si="97"/>
        <v>Error?</v>
      </c>
      <c r="E6278" s="2" t="s">
        <v>199</v>
      </c>
    </row>
    <row r="6279" spans="1:5" x14ac:dyDescent="0.2">
      <c r="A6279">
        <v>6218</v>
      </c>
      <c r="B6279" s="138">
        <f>'Acct Summary 7-8'!F83</f>
        <v>0.59110270412072929</v>
      </c>
      <c r="D6279" s="2" t="str">
        <f t="shared" si="97"/>
        <v>Error?</v>
      </c>
      <c r="E6279" s="2" t="s">
        <v>199</v>
      </c>
    </row>
    <row r="6280" spans="1:5" x14ac:dyDescent="0.2">
      <c r="A6280">
        <v>6219</v>
      </c>
      <c r="B6280" s="138">
        <f>'Acct Summary 7-8'!G83</f>
        <v>-4.098224175251388E-2</v>
      </c>
      <c r="D6280" s="2" t="str">
        <f t="shared" si="97"/>
        <v>Error?</v>
      </c>
      <c r="E6280" s="2" t="s">
        <v>199</v>
      </c>
    </row>
    <row r="6281" spans="1:5" x14ac:dyDescent="0.2">
      <c r="A6281">
        <v>6220</v>
      </c>
      <c r="B6281" s="138">
        <f>'Acct Summary 7-8'!H83</f>
        <v>-0.16624468085106384</v>
      </c>
      <c r="D6281" s="2" t="str">
        <f t="shared" si="97"/>
        <v>Error?</v>
      </c>
      <c r="E6281" s="2" t="s">
        <v>199</v>
      </c>
    </row>
    <row r="6282" spans="1:5" x14ac:dyDescent="0.2">
      <c r="A6282">
        <v>6221</v>
      </c>
      <c r="B6282" s="138">
        <f>'Acct Summary 7-8'!I83</f>
        <v>2.6747238388365055E-2</v>
      </c>
      <c r="D6282" s="2" t="str">
        <f t="shared" si="97"/>
        <v>Error?</v>
      </c>
      <c r="E6282" s="2" t="s">
        <v>199</v>
      </c>
    </row>
    <row r="6283" spans="1:5" x14ac:dyDescent="0.2">
      <c r="A6283">
        <v>6222</v>
      </c>
      <c r="B6283" s="138">
        <f>'Acct Summary 7-8'!J83</f>
        <v>-0.33988366926525831</v>
      </c>
      <c r="D6283" s="2" t="str">
        <f t="shared" si="97"/>
        <v>Error?</v>
      </c>
      <c r="E6283" s="2" t="s">
        <v>199</v>
      </c>
    </row>
    <row r="6284" spans="1:5" x14ac:dyDescent="0.2">
      <c r="A6284">
        <v>6223</v>
      </c>
      <c r="B6284" s="138">
        <f>'Acct Summary 7-8'!K83</f>
        <v>-2.5368423297575125E-2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57417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57417</v>
      </c>
      <c r="D6301" s="2" t="str">
        <f t="shared" si="97"/>
        <v>Error?</v>
      </c>
      <c r="E6301" s="2" t="s">
        <v>199</v>
      </c>
    </row>
    <row r="6302" spans="1:5" x14ac:dyDescent="0.2">
      <c r="A6302">
        <v>6241</v>
      </c>
      <c r="B6302" s="138">
        <f>'Revenues 9-14'!J14</f>
        <v>37</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37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87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87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4675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57541</v>
      </c>
      <c r="D6352" s="2" t="str">
        <f t="shared" si="98"/>
        <v>Error?</v>
      </c>
      <c r="E6352" s="2" t="s">
        <v>199</v>
      </c>
    </row>
    <row r="6353" spans="1:5" x14ac:dyDescent="0.2">
      <c r="A6353">
        <v>6292</v>
      </c>
      <c r="B6353" s="138">
        <f>'Revenues 9-14'!J117</f>
        <v>11161</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11161</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9591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11161</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123155</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123155</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66259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45086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97986</v>
      </c>
      <c r="D6983" s="2" t="str">
        <f t="shared" si="108"/>
        <v>Error?</v>
      </c>
    </row>
    <row r="6984" spans="1:4" x14ac:dyDescent="0.2">
      <c r="A6984">
        <v>6923</v>
      </c>
      <c r="B6984" s="138">
        <f>'Expenditures 15-22'!K86</f>
        <v>97986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6350</v>
      </c>
      <c r="D6993" s="2" t="str">
        <f t="shared" si="108"/>
        <v>Error?</v>
      </c>
    </row>
    <row r="6994" spans="1:4" x14ac:dyDescent="0.2">
      <c r="A6994">
        <v>6933</v>
      </c>
      <c r="B6994" s="138">
        <f>'Expenditures 15-22'!K91</f>
        <v>6350</v>
      </c>
      <c r="D6994" s="2" t="str">
        <f t="shared" si="108"/>
        <v>Error?</v>
      </c>
    </row>
    <row r="6995" spans="1:4" x14ac:dyDescent="0.2">
      <c r="A6995">
        <v>6934</v>
      </c>
      <c r="B6995" s="138">
        <f>'Expenditures 15-22'!H92</f>
        <v>104336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85531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68702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3852</v>
      </c>
      <c r="D7075" s="2" t="str">
        <f t="shared" si="109"/>
        <v>Error?</v>
      </c>
    </row>
    <row r="7076" spans="1:4" x14ac:dyDescent="0.2">
      <c r="A7076">
        <v>7015</v>
      </c>
      <c r="B7076" s="138">
        <f>'Expenditures 15-22'!K218</f>
        <v>3852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474</v>
      </c>
      <c r="D7079" s="2" t="str">
        <f t="shared" si="109"/>
        <v>Error?</v>
      </c>
    </row>
    <row r="7080" spans="1:4" x14ac:dyDescent="0.2">
      <c r="A7080">
        <v>7019</v>
      </c>
      <c r="B7080" s="138">
        <f>'Expenditures 15-22'!K226</f>
        <v>474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13927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13927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63728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63728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7876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7876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85531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85531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85531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85531</v>
      </c>
      <c r="D7224" s="2" t="str">
        <f t="shared" si="111"/>
        <v>Error?</v>
      </c>
    </row>
    <row r="7225" spans="1:4" x14ac:dyDescent="0.2">
      <c r="A7225">
        <v>7164</v>
      </c>
      <c r="B7225" s="138">
        <f>'Expenditures 15-22'!K343</f>
        <v>-16829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54778</v>
      </c>
      <c r="D7251" s="2" t="str">
        <f t="shared" si="112"/>
        <v>Error?</v>
      </c>
    </row>
    <row r="7252" spans="1:4" x14ac:dyDescent="0.2">
      <c r="A7252">
        <f t="shared" si="113"/>
        <v>7191</v>
      </c>
      <c r="B7252" s="138">
        <f>'Expenditures 15-22'!D9</f>
        <v>9512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1969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36161</v>
      </c>
      <c r="D7263" s="2" t="str">
        <f t="shared" si="112"/>
        <v>Error?</v>
      </c>
    </row>
    <row r="7264" spans="1:4" x14ac:dyDescent="0.2">
      <c r="A7264">
        <f t="shared" si="113"/>
        <v>7203</v>
      </c>
      <c r="B7264" s="138">
        <f>'Expenditures 15-22'!D17</f>
        <v>5661</v>
      </c>
      <c r="D7264" s="2" t="str">
        <f t="shared" si="112"/>
        <v>Error?</v>
      </c>
    </row>
    <row r="7265" spans="1:5" x14ac:dyDescent="0.2">
      <c r="A7265">
        <f t="shared" si="113"/>
        <v>7204</v>
      </c>
      <c r="B7265" s="138">
        <f>'Expenditures 15-22'!E17</f>
        <v>2397</v>
      </c>
      <c r="D7265" s="2" t="str">
        <f t="shared" si="112"/>
        <v>Error?</v>
      </c>
    </row>
    <row r="7266" spans="1:5" x14ac:dyDescent="0.2">
      <c r="A7266">
        <f t="shared" si="113"/>
        <v>7205</v>
      </c>
      <c r="B7266" s="138">
        <f>'Expenditures 15-22'!F17</f>
        <v>867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798887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4675</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8355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13030</v>
      </c>
      <c r="D7719" s="2" t="str">
        <f t="shared" si="126"/>
        <v>Error?</v>
      </c>
      <c r="E7719" s="2" t="s">
        <v>881</v>
      </c>
    </row>
    <row r="7720" spans="1:6" x14ac:dyDescent="0.2">
      <c r="A7720">
        <v>7659</v>
      </c>
      <c r="B7720" s="138">
        <f>'Rest Tax Levies-Tort Im 25'!H14</f>
        <v>23511</v>
      </c>
      <c r="D7720" s="2" t="str">
        <f t="shared" si="126"/>
        <v>Error?</v>
      </c>
      <c r="E7720" s="2" t="s">
        <v>881</v>
      </c>
    </row>
    <row r="7721" spans="1:6" x14ac:dyDescent="0.2">
      <c r="A7721">
        <v>7660</v>
      </c>
      <c r="B7721" s="138">
        <f>'Rest Tax Levies-Tort Im 25'!K14</f>
        <v>13030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123155</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29'!D30</f>
        <v>597538</v>
      </c>
      <c r="D7797" s="2" t="str">
        <f t="shared" si="127"/>
        <v>Error?</v>
      </c>
      <c r="E7797" s="4" t="s">
        <v>2020</v>
      </c>
    </row>
    <row r="7798" spans="1:5" x14ac:dyDescent="0.2">
      <c r="A7798">
        <v>7737</v>
      </c>
      <c r="B7798" s="138">
        <f>'Contracts Paid in CY 29'!F30</f>
        <v>86217</v>
      </c>
      <c r="D7798" s="2" t="str">
        <f t="shared" si="127"/>
        <v>Error?</v>
      </c>
      <c r="E7798" s="4" t="s">
        <v>2020</v>
      </c>
    </row>
    <row r="7799" spans="1:5" x14ac:dyDescent="0.2">
      <c r="A7799">
        <v>7738</v>
      </c>
      <c r="B7799" s="138">
        <f>'Contracts Paid in CY 29'!G30</f>
        <v>511321</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West Washington Co CUD 10</v>
      </c>
      <c r="B7" s="2421"/>
      <c r="C7" s="2421"/>
      <c r="D7" s="2422"/>
      <c r="E7" s="2423">
        <f>COVER!A13</f>
        <v>13095010026</v>
      </c>
      <c r="F7" s="2424"/>
      <c r="G7" s="2430" t="str">
        <f>COVER!T23</f>
        <v>060-006876</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SUSAN J. LYONS, CPA, P.C.</v>
      </c>
      <c r="H9" s="2436"/>
      <c r="I9" s="2436"/>
      <c r="J9" s="2436"/>
      <c r="K9" s="2436"/>
      <c r="L9" s="2437"/>
    </row>
    <row r="10" spans="1:29" ht="13.5" customHeight="1" x14ac:dyDescent="0.2">
      <c r="A10" s="2410" t="str">
        <f>COVER!A38</f>
        <v>SCOTT FUHRHOP</v>
      </c>
      <c r="B10" s="2411"/>
      <c r="C10" s="2411"/>
      <c r="D10" s="2411"/>
      <c r="E10" s="2411"/>
      <c r="F10" s="2412"/>
      <c r="G10" s="2404" t="str">
        <f>COVER!T17</f>
        <v>5859 U.S. HIGHWAY 51</v>
      </c>
      <c r="H10" s="2405"/>
      <c r="I10" s="2405"/>
      <c r="J10" s="2405"/>
      <c r="K10" s="2405"/>
      <c r="L10" s="2406"/>
    </row>
    <row r="11" spans="1:29" ht="13.5" customHeight="1" x14ac:dyDescent="0.2">
      <c r="A11" s="1185" t="s">
        <v>1599</v>
      </c>
      <c r="B11" s="1186"/>
      <c r="C11" s="1187"/>
      <c r="D11" s="1192"/>
      <c r="E11" s="1187"/>
      <c r="F11" s="1191"/>
      <c r="G11" s="2404" t="str">
        <f>COVER!T19</f>
        <v>ODIN</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slyons1007@gmail.com</v>
      </c>
      <c r="J13" s="2417"/>
      <c r="K13" s="2417"/>
      <c r="L13" s="2418"/>
    </row>
    <row r="14" spans="1:29" ht="13.5" customHeight="1" x14ac:dyDescent="0.2">
      <c r="A14" s="2404" t="str">
        <f>COVER!A19</f>
        <v>PO BOX 27</v>
      </c>
      <c r="B14" s="2405"/>
      <c r="C14" s="2405"/>
      <c r="D14" s="2405"/>
      <c r="E14" s="2405"/>
      <c r="F14" s="2406"/>
      <c r="G14" s="1196" t="s">
        <v>1247</v>
      </c>
      <c r="H14" s="1194"/>
      <c r="I14" s="1194"/>
      <c r="J14" s="1194"/>
      <c r="K14" s="1194"/>
      <c r="L14" s="1195"/>
    </row>
    <row r="15" spans="1:29" ht="13.5" customHeight="1" x14ac:dyDescent="0.2">
      <c r="A15" s="2404" t="str">
        <f>COVER!A21</f>
        <v>OKAWVILLE</v>
      </c>
      <c r="B15" s="2405"/>
      <c r="C15" s="2405"/>
      <c r="D15" s="2405"/>
      <c r="E15" s="2405"/>
      <c r="F15" s="2406"/>
      <c r="G15" s="2401" t="str">
        <f>COVER!T15</f>
        <v>SUSAN J. LYONS</v>
      </c>
      <c r="H15" s="2402"/>
      <c r="I15" s="2402"/>
      <c r="J15" s="2402"/>
      <c r="K15" s="2402"/>
      <c r="L15" s="2403"/>
    </row>
    <row r="16" spans="1:29" ht="12.2" customHeight="1" x14ac:dyDescent="0.2">
      <c r="A16" s="2426">
        <f>COVER!A25</f>
        <v>62271</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618-267-3213</v>
      </c>
      <c r="H18" s="2421"/>
      <c r="I18" s="2421"/>
      <c r="J18" s="2421"/>
      <c r="K18" s="2420" t="str">
        <f>COVER!X21</f>
        <v>618-247-3208</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West Washington Co CUD 10</v>
      </c>
      <c r="B1" s="2419"/>
      <c r="C1" s="2419"/>
      <c r="D1" s="2419"/>
    </row>
    <row r="2" spans="1:11" s="1215" customFormat="1" ht="12.75" x14ac:dyDescent="0.2">
      <c r="A2" s="2443">
        <f>'Single Audit Cover'!E7</f>
        <v>13095010026</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3" sqref="D43"/>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West Washington Co CUD 10</v>
      </c>
      <c r="B1" s="2446"/>
      <c r="C1" s="2446"/>
      <c r="D1" s="2446"/>
      <c r="E1" s="2446"/>
    </row>
    <row r="2" spans="1:5" x14ac:dyDescent="0.2">
      <c r="A2" s="2447">
        <f>'Single Audit Cover'!E7</f>
        <v>13095010026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481385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19006</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-56659</v>
      </c>
    </row>
    <row r="19" spans="1:4" ht="13.5" thickBot="1" x14ac:dyDescent="0.25">
      <c r="A19" s="1265" t="s">
        <v>1297</v>
      </c>
      <c r="D19" s="1266">
        <f>SUM(D10:D17)</f>
        <v>443732</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t="s">
        <v>2131</v>
      </c>
      <c r="B24" s="2448"/>
      <c r="D24" s="1268"/>
    </row>
    <row r="25" spans="1:4" x14ac:dyDescent="0.2">
      <c r="A25" s="2445" t="s">
        <v>2132</v>
      </c>
      <c r="B25" s="2445"/>
      <c r="D25" s="1268">
        <v>-123155</v>
      </c>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320577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320577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West Washington Co CUD 10</v>
      </c>
      <c r="B1" s="2459"/>
      <c r="C1" s="2459"/>
      <c r="D1" s="2459"/>
      <c r="E1" s="2459"/>
      <c r="F1" s="2459"/>
    </row>
    <row r="2" spans="1:7" ht="13.5" customHeight="1" x14ac:dyDescent="0.2">
      <c r="A2" s="2460">
        <f>'Single Audit Cover'!E7</f>
        <v>13095010026</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69" t="s">
        <v>1332</v>
      </c>
      <c r="D15" s="2456" t="s">
        <v>1331</v>
      </c>
      <c r="E15" s="2456"/>
      <c r="F15" s="2456"/>
    </row>
    <row r="16" spans="1:7" ht="13.5" customHeight="1" x14ac:dyDescent="0.2">
      <c r="A16" s="1282"/>
      <c r="B16" s="1276" t="s">
        <v>1330</v>
      </c>
      <c r="C16" s="1869"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53">
        <f>+C33+C34</f>
        <v>0</v>
      </c>
      <c r="F34" s="2454"/>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68"/>
      <c r="C50" s="1868"/>
      <c r="D50" s="1868"/>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West Washington Co CUD 10</v>
      </c>
      <c r="C1" s="2463"/>
      <c r="D1" s="2463"/>
      <c r="E1" s="2463"/>
      <c r="F1" s="2463"/>
      <c r="G1" s="2463"/>
      <c r="H1" s="2463"/>
      <c r="I1" s="2463"/>
      <c r="J1" s="2463"/>
      <c r="K1" s="2463"/>
      <c r="L1" s="2463"/>
      <c r="M1" s="2463"/>
    </row>
    <row r="2" spans="2:14" ht="15" x14ac:dyDescent="0.2">
      <c r="B2" s="2460">
        <f>'Single Audit Cover'!E7</f>
        <v>13095010026</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5" colorId="8" zoomScale="110" zoomScaleNormal="110" workbookViewId="0">
      <selection activeCell="D43" sqref="D4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36161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2078</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West Washington Co CUD 10</v>
      </c>
      <c r="C1" s="2478"/>
      <c r="D1" s="2478"/>
      <c r="E1" s="2478"/>
      <c r="F1" s="2478"/>
      <c r="G1" s="2478"/>
      <c r="H1" s="2478"/>
      <c r="I1" s="2478"/>
      <c r="J1" s="1422"/>
    </row>
    <row r="2" spans="2:10" s="317" customFormat="1" ht="12.75" customHeight="1" x14ac:dyDescent="0.2">
      <c r="B2" s="2479">
        <f>'Single Audit Cover'!E7</f>
        <v>13095010026</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1952</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32" right="0.27" top="0.68" bottom="0.47" header="0.5" footer="0.31"/>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D43" sqref="D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West Washington Co CUD 10</v>
      </c>
      <c r="C1" s="2477"/>
      <c r="D1" s="2477"/>
      <c r="E1" s="2477"/>
      <c r="F1" s="2477"/>
      <c r="G1" s="2477"/>
      <c r="H1" s="2477"/>
      <c r="I1" s="2477"/>
      <c r="J1" s="2477"/>
      <c r="K1" s="2477"/>
      <c r="L1" s="1374"/>
      <c r="M1" s="1374"/>
    </row>
    <row r="2" spans="1:13" ht="12" customHeight="1" x14ac:dyDescent="0.2">
      <c r="B2" s="2479">
        <f>'Single Audit Cover'!E7</f>
        <v>13095010026</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2087</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2088</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65.25" customHeight="1" x14ac:dyDescent="0.2">
      <c r="B17" s="2492" t="s">
        <v>2089</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t="s">
        <v>2090</v>
      </c>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t="s">
        <v>2091</v>
      </c>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t="s">
        <v>2092</v>
      </c>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30.75" customHeight="1" x14ac:dyDescent="0.2">
      <c r="B29" s="2491" t="s">
        <v>2093</v>
      </c>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5.5" customHeight="1" x14ac:dyDescent="0.2">
      <c r="B32" s="2491" t="s">
        <v>2094</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K11" sqref="K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West Washington Co CUD 10</v>
      </c>
      <c r="C1" s="2477"/>
      <c r="D1" s="2477"/>
      <c r="E1" s="2477"/>
      <c r="F1" s="2477"/>
      <c r="G1" s="2477"/>
      <c r="H1" s="2477"/>
      <c r="I1" s="2477"/>
      <c r="J1" s="2477"/>
      <c r="K1" s="2477"/>
      <c r="L1" s="1374"/>
      <c r="M1" s="1374"/>
    </row>
    <row r="2" spans="1:13" ht="12" customHeight="1" x14ac:dyDescent="0.2">
      <c r="B2" s="2479">
        <f>'Single Audit Cover'!E7</f>
        <v>13095010026</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954"/>
      <c r="M3" s="1954"/>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West Washington Co CUD 10</v>
      </c>
      <c r="C1" s="2500"/>
      <c r="D1" s="2500"/>
      <c r="E1" s="2500"/>
      <c r="F1" s="2500"/>
      <c r="G1" s="2500"/>
      <c r="H1" s="2500"/>
      <c r="I1" s="2500"/>
      <c r="J1" s="2500"/>
      <c r="K1" s="2500"/>
      <c r="L1" s="1465"/>
    </row>
    <row r="2" spans="1:12" ht="12.75" customHeight="1" x14ac:dyDescent="0.2">
      <c r="B2" s="2501">
        <f>'Single Audit Cover'!E7</f>
        <v>13095010026</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West Washington Co CUD 10</v>
      </c>
      <c r="C1" s="2477"/>
      <c r="D1" s="2477"/>
      <c r="E1" s="1491"/>
    </row>
    <row r="2" spans="2:5" s="1282" customFormat="1" ht="12.75" customHeight="1" x14ac:dyDescent="0.2">
      <c r="B2" s="2479">
        <f>'Single Audit Cover'!E7</f>
        <v>13095010026</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139649675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2.67919E-2</v>
      </c>
      <c r="E10" s="356" t="s">
        <v>1062</v>
      </c>
      <c r="F10" s="355">
        <v>3.6627999999999999E-3</v>
      </c>
      <c r="G10" s="356" t="s">
        <v>1062</v>
      </c>
      <c r="H10" s="355">
        <v>2.4299999999999999E-3</v>
      </c>
      <c r="I10" s="356" t="s">
        <v>1063</v>
      </c>
      <c r="J10" s="1753">
        <f>ROUND(D10+F10+H10,5)</f>
        <v>3.288E-2</v>
      </c>
      <c r="K10" s="222"/>
      <c r="L10" s="355">
        <v>3.8279999999999998E-4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5172400</v>
      </c>
      <c r="E16" s="356"/>
      <c r="F16" s="1754">
        <f>SUM('Acct Summary 7-8'!C17,'Acct Summary 7-8'!D17,'Acct Summary 7-8'!F17)</f>
        <v>4877125</v>
      </c>
      <c r="G16" s="356"/>
      <c r="H16" s="1754">
        <f>SUM(D16-F16)</f>
        <v>295275</v>
      </c>
      <c r="I16" s="222"/>
      <c r="J16" s="1754">
        <f>SUM('Acct Summary 7-8'!C81,'Acct Summary 7-8'!D81,'Acct Summary 7-8'!F81,'Acct Summary 7-8'!I81)</f>
        <v>3554117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19271655.150000002</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21105000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D43" sqref="D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West Washington Co CUD 10</v>
      </c>
      <c r="E7" s="391"/>
      <c r="G7" s="252"/>
      <c r="H7" s="387"/>
      <c r="I7" s="387"/>
      <c r="J7" s="387"/>
      <c r="K7" s="387"/>
      <c r="L7" s="329"/>
      <c r="M7" s="329"/>
      <c r="N7" s="329"/>
      <c r="O7" s="329"/>
      <c r="P7" s="329"/>
    </row>
    <row r="8" spans="1:18" ht="12.75" x14ac:dyDescent="0.2">
      <c r="A8" s="329"/>
      <c r="B8" s="329"/>
      <c r="C8" s="389" t="s">
        <v>1187</v>
      </c>
      <c r="D8" s="392">
        <f>COVER!A13</f>
        <v>13095010026</v>
      </c>
      <c r="E8" s="393"/>
      <c r="G8" s="329"/>
      <c r="H8" s="329"/>
      <c r="I8" s="329"/>
      <c r="J8" s="329"/>
      <c r="K8" s="329"/>
      <c r="L8" s="329"/>
      <c r="M8" s="329"/>
      <c r="N8" s="329"/>
      <c r="O8" s="329"/>
      <c r="P8" s="329"/>
    </row>
    <row r="9" spans="1:18" ht="12.75" x14ac:dyDescent="0.2">
      <c r="A9" s="329"/>
      <c r="B9" s="329"/>
      <c r="C9" s="389" t="s">
        <v>737</v>
      </c>
      <c r="D9" s="394" t="str">
        <f>COVER!A15</f>
        <v>WASHINGTON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3554117</v>
      </c>
      <c r="I12" s="404"/>
      <c r="J12" s="404"/>
      <c r="K12" s="405">
        <f>TRUNC((H12/H13*100000),5)/100000</f>
        <v>0.68713111900000001</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5172400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4877125</v>
      </c>
      <c r="I17" s="404"/>
      <c r="J17" s="416"/>
      <c r="K17" s="405">
        <f>TRUNC((H17/H18*100000),5)/100000</f>
        <v>0.94291334770000002</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5172400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3554117</v>
      </c>
      <c r="I24" s="422"/>
      <c r="J24" s="422"/>
      <c r="K24" s="423">
        <f>TRUNC(((H24/H25*100000)/100000),2)</f>
        <v>262.33999999999997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13547.569439999999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3902929.1168999998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21105000</v>
      </c>
      <c r="I32" s="420"/>
      <c r="J32" s="420"/>
      <c r="K32" s="423">
        <f>TRUNC(100-((((H32/H33*100))*100)/100),2)</f>
        <v>-9.51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19271655.150000002</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D43" sqref="D43"/>
      <selection pane="bottomLeft" activeCell="D43" sqref="D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1385995</v>
      </c>
      <c r="D4" s="466">
        <v>826323</v>
      </c>
      <c r="E4" s="466">
        <v>2776337</v>
      </c>
      <c r="F4" s="466">
        <v>144853</v>
      </c>
      <c r="G4" s="466">
        <v>138133</v>
      </c>
      <c r="H4" s="466">
        <v>94000</v>
      </c>
      <c r="I4" s="466">
        <v>1196946</v>
      </c>
      <c r="J4" s="467">
        <v>49514</v>
      </c>
      <c r="K4" s="466">
        <v>93778</v>
      </c>
      <c r="L4" s="466">
        <v>182178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1385995</v>
      </c>
      <c r="D13" s="1758">
        <f t="shared" ref="D13:L13" si="0">SUM(D4:D12)</f>
        <v>826323</v>
      </c>
      <c r="E13" s="1758">
        <f t="shared" si="0"/>
        <v>2776337</v>
      </c>
      <c r="F13" s="1758">
        <f t="shared" si="0"/>
        <v>144853</v>
      </c>
      <c r="G13" s="1758">
        <f t="shared" si="0"/>
        <v>138133</v>
      </c>
      <c r="H13" s="1758">
        <f t="shared" si="0"/>
        <v>94000</v>
      </c>
      <c r="I13" s="1758">
        <f t="shared" si="0"/>
        <v>1196946</v>
      </c>
      <c r="J13" s="1758">
        <f t="shared" si="0"/>
        <v>49514</v>
      </c>
      <c r="K13" s="1758">
        <f t="shared" si="0"/>
        <v>93778</v>
      </c>
      <c r="L13" s="1758">
        <f t="shared" si="0"/>
        <v>182178</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190587</v>
      </c>
      <c r="N16" s="484"/>
    </row>
    <row r="17" spans="1:14" s="485" customFormat="1" ht="12.75" customHeight="1" x14ac:dyDescent="0.2">
      <c r="A17" s="482" t="s">
        <v>1470</v>
      </c>
      <c r="B17" s="483">
        <v>230</v>
      </c>
      <c r="C17" s="477"/>
      <c r="D17" s="477"/>
      <c r="E17" s="477"/>
      <c r="F17" s="477"/>
      <c r="G17" s="477"/>
      <c r="H17" s="477"/>
      <c r="I17" s="477"/>
      <c r="J17" s="477"/>
      <c r="K17" s="477"/>
      <c r="L17" s="477"/>
      <c r="M17" s="467">
        <v>31571207</v>
      </c>
      <c r="N17" s="484"/>
    </row>
    <row r="18" spans="1:14" s="485" customFormat="1" ht="12.75" customHeight="1" x14ac:dyDescent="0.2">
      <c r="A18" s="482" t="s">
        <v>1471</v>
      </c>
      <c r="B18" s="483">
        <v>240</v>
      </c>
      <c r="C18" s="477"/>
      <c r="D18" s="477"/>
      <c r="E18" s="477"/>
      <c r="F18" s="477"/>
      <c r="G18" s="477"/>
      <c r="H18" s="477"/>
      <c r="I18" s="477"/>
      <c r="J18" s="477"/>
      <c r="K18" s="477"/>
      <c r="L18" s="477"/>
      <c r="M18" s="467">
        <v>236737</v>
      </c>
      <c r="N18" s="484"/>
    </row>
    <row r="19" spans="1:14" s="485" customFormat="1" ht="12.75" customHeight="1" x14ac:dyDescent="0.2">
      <c r="A19" s="482" t="s">
        <v>1472</v>
      </c>
      <c r="B19" s="483">
        <v>250</v>
      </c>
      <c r="C19" s="477"/>
      <c r="D19" s="477"/>
      <c r="E19" s="477"/>
      <c r="F19" s="477"/>
      <c r="G19" s="477"/>
      <c r="H19" s="477"/>
      <c r="I19" s="477"/>
      <c r="J19" s="477"/>
      <c r="K19" s="477"/>
      <c r="L19" s="477"/>
      <c r="M19" s="467">
        <v>2639164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2776337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18328663</v>
      </c>
    </row>
    <row r="23" spans="1:14" ht="13.5" customHeight="1" thickBot="1" x14ac:dyDescent="0.25">
      <c r="A23" s="1757" t="s">
        <v>664</v>
      </c>
      <c r="B23" s="1762"/>
      <c r="C23" s="468"/>
      <c r="D23" s="468"/>
      <c r="E23" s="468"/>
      <c r="F23" s="468"/>
      <c r="G23" s="468"/>
      <c r="H23" s="468"/>
      <c r="I23" s="468"/>
      <c r="J23" s="468"/>
      <c r="K23" s="468"/>
      <c r="L23" s="468"/>
      <c r="M23" s="1709">
        <f>SUM(M15:M22)</f>
        <v>34637695</v>
      </c>
      <c r="N23" s="1709">
        <f>SUM(N21:N22)</f>
        <v>21105000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182178</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182178</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21105000</v>
      </c>
    </row>
    <row r="37" spans="1:14" ht="13.5" thickBot="1" x14ac:dyDescent="0.25">
      <c r="A37" s="1757" t="s">
        <v>674</v>
      </c>
      <c r="B37" s="1762"/>
      <c r="C37" s="477"/>
      <c r="D37" s="477"/>
      <c r="E37" s="477"/>
      <c r="F37" s="477"/>
      <c r="G37" s="477"/>
      <c r="H37" s="477"/>
      <c r="I37" s="477"/>
      <c r="J37" s="477"/>
      <c r="K37" s="477"/>
      <c r="L37" s="480"/>
      <c r="M37" s="468"/>
      <c r="N37" s="1709">
        <f>SUM(N36:N36)</f>
        <v>21105000</v>
      </c>
    </row>
    <row r="38" spans="1:14" s="329" customFormat="1" ht="13.5" customHeight="1" thickTop="1" x14ac:dyDescent="0.2">
      <c r="A38" s="496" t="s">
        <v>440</v>
      </c>
      <c r="B38" s="483">
        <v>714</v>
      </c>
      <c r="C38" s="466"/>
      <c r="D38" s="466"/>
      <c r="E38" s="466"/>
      <c r="F38" s="466"/>
      <c r="G38" s="466">
        <v>70516</v>
      </c>
      <c r="H38" s="466"/>
      <c r="I38" s="466"/>
      <c r="J38" s="467"/>
      <c r="K38" s="466"/>
      <c r="L38" s="481"/>
      <c r="M38" s="497"/>
      <c r="N38" s="497"/>
    </row>
    <row r="39" spans="1:14" s="329" customFormat="1" ht="13.5" customHeight="1" x14ac:dyDescent="0.2">
      <c r="A39" s="496" t="s">
        <v>360</v>
      </c>
      <c r="B39" s="483">
        <v>730</v>
      </c>
      <c r="C39" s="466">
        <v>1385995</v>
      </c>
      <c r="D39" s="466">
        <v>826323</v>
      </c>
      <c r="E39" s="466">
        <v>2776337</v>
      </c>
      <c r="F39" s="466">
        <v>144853</v>
      </c>
      <c r="G39" s="466">
        <v>67617</v>
      </c>
      <c r="H39" s="466">
        <v>94000</v>
      </c>
      <c r="I39" s="466">
        <v>1196946</v>
      </c>
      <c r="J39" s="467">
        <v>49514</v>
      </c>
      <c r="K39" s="466">
        <v>93778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34637695</v>
      </c>
      <c r="N40" s="497"/>
    </row>
    <row r="41" spans="1:14" ht="13.5" customHeight="1" thickBot="1" x14ac:dyDescent="0.25">
      <c r="A41" s="1757" t="s">
        <v>676</v>
      </c>
      <c r="B41" s="1727"/>
      <c r="C41" s="1709">
        <f>(SUM(C34,C37,C38,C39))</f>
        <v>1385995</v>
      </c>
      <c r="D41" s="1709">
        <f t="shared" ref="D41:L41" si="2">SUM(D34,D37,D38:D39)</f>
        <v>826323</v>
      </c>
      <c r="E41" s="1709">
        <f t="shared" si="2"/>
        <v>2776337</v>
      </c>
      <c r="F41" s="1709">
        <f t="shared" si="2"/>
        <v>144853</v>
      </c>
      <c r="G41" s="1709">
        <f t="shared" si="2"/>
        <v>138133</v>
      </c>
      <c r="H41" s="1709">
        <f t="shared" si="2"/>
        <v>94000</v>
      </c>
      <c r="I41" s="1709">
        <f t="shared" si="2"/>
        <v>1196946</v>
      </c>
      <c r="J41" s="1709">
        <f t="shared" si="2"/>
        <v>49514</v>
      </c>
      <c r="K41" s="1709">
        <f t="shared" si="2"/>
        <v>93778</v>
      </c>
      <c r="L41" s="1709">
        <f t="shared" si="2"/>
        <v>182178</v>
      </c>
      <c r="M41" s="1709">
        <f>SUM(M40)</f>
        <v>34637695</v>
      </c>
      <c r="N41" s="1709">
        <f>SUM(N37)</f>
        <v>21105000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61" right="0.15" top="0.86" bottom="0" header="0.28000000000000003"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D43" sqref="D43"/>
      <selection pane="bottomLeft" activeCell="D43" sqref="D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2" t="s">
        <v>1579</v>
      </c>
      <c r="B4" s="1953">
        <v>1000</v>
      </c>
      <c r="C4" s="1763">
        <f>'Revenues 9-14'!C109</f>
        <v>2476505</v>
      </c>
      <c r="D4" s="1763">
        <f>'Revenues 9-14'!D109</f>
        <v>295859</v>
      </c>
      <c r="E4" s="1763">
        <f>'Revenues 9-14'!E109</f>
        <v>2027732</v>
      </c>
      <c r="F4" s="1763">
        <f>'Revenues 9-14'!F109</f>
        <v>194131</v>
      </c>
      <c r="G4" s="1763">
        <f>'Revenues 9-14'!G109</f>
        <v>131219</v>
      </c>
      <c r="H4" s="1763">
        <f>'Revenues 9-14'!H109</f>
        <v>1275</v>
      </c>
      <c r="I4" s="1763">
        <f>'Revenues 9-14'!I109</f>
        <v>32015</v>
      </c>
      <c r="J4" s="1763">
        <f>'Revenues 9-14'!J109</f>
        <v>57541</v>
      </c>
      <c r="K4" s="1763">
        <f>'Revenues 9-14'!K109</f>
        <v>5604</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1533485</v>
      </c>
      <c r="D6" s="1764">
        <f>'Revenues 9-14'!D173</f>
        <v>0</v>
      </c>
      <c r="E6" s="1764">
        <f>'Revenues 9-14'!E173</f>
        <v>905774</v>
      </c>
      <c r="F6" s="1764">
        <f>'Revenues 9-14'!F173</f>
        <v>282175</v>
      </c>
      <c r="G6" s="1764">
        <f>'Revenues 9-14'!G173</f>
        <v>2133</v>
      </c>
      <c r="H6" s="1764">
        <f>'Revenues 9-14'!H173</f>
        <v>0</v>
      </c>
      <c r="I6" s="1764">
        <f>'Revenues 9-14'!I173</f>
        <v>0</v>
      </c>
      <c r="J6" s="1764">
        <f>'Revenues 9-14'!J173</f>
        <v>11161</v>
      </c>
      <c r="K6" s="1764">
        <f>'Revenues 9-14'!K173</f>
        <v>0</v>
      </c>
      <c r="L6" s="347"/>
      <c r="M6" s="513"/>
    </row>
    <row r="7" spans="1:13" ht="15.75" customHeight="1" x14ac:dyDescent="0.2">
      <c r="A7" s="1598" t="s">
        <v>1582</v>
      </c>
      <c r="B7" s="1600">
        <v>4000</v>
      </c>
      <c r="C7" s="1764">
        <f>'Revenues 9-14'!C274</f>
        <v>358230</v>
      </c>
      <c r="D7" s="1764">
        <f>'Revenues 9-14'!D274</f>
        <v>0</v>
      </c>
      <c r="E7" s="1764">
        <f>'Revenues 9-14'!E274</f>
        <v>123155</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4368220</v>
      </c>
      <c r="D8" s="1709">
        <f t="shared" ref="D8:K8" si="0">SUM(D4:D7)</f>
        <v>295859</v>
      </c>
      <c r="E8" s="1709">
        <f t="shared" si="0"/>
        <v>3056661</v>
      </c>
      <c r="F8" s="1709">
        <f t="shared" si="0"/>
        <v>476306</v>
      </c>
      <c r="G8" s="1709">
        <f t="shared" si="0"/>
        <v>133352</v>
      </c>
      <c r="H8" s="1709">
        <f t="shared" si="0"/>
        <v>1275</v>
      </c>
      <c r="I8" s="1709">
        <f t="shared" si="0"/>
        <v>32015</v>
      </c>
      <c r="J8" s="1709">
        <f t="shared" si="0"/>
        <v>68702</v>
      </c>
      <c r="K8" s="1709">
        <f t="shared" si="0"/>
        <v>5604</v>
      </c>
      <c r="L8" s="347"/>
    </row>
    <row r="9" spans="1:13" ht="15.75" thickTop="1" x14ac:dyDescent="0.2">
      <c r="A9" s="514" t="s">
        <v>1752</v>
      </c>
      <c r="B9" s="515">
        <v>3998</v>
      </c>
      <c r="C9" s="481">
        <v>1964609</v>
      </c>
      <c r="D9" s="516"/>
      <c r="E9" s="481"/>
      <c r="F9" s="481"/>
      <c r="G9" s="517"/>
      <c r="H9" s="481"/>
      <c r="I9" s="509" t="s">
        <v>1231</v>
      </c>
      <c r="J9" s="478"/>
      <c r="K9" s="481"/>
      <c r="L9" s="347"/>
    </row>
    <row r="10" spans="1:13" s="519" customFormat="1" ht="13.5" thickBot="1" x14ac:dyDescent="0.25">
      <c r="A10" s="1757" t="s">
        <v>1235</v>
      </c>
      <c r="B10" s="1730"/>
      <c r="C10" s="1709">
        <f>SUM(C8:C9)</f>
        <v>6332829</v>
      </c>
      <c r="D10" s="1709">
        <f t="shared" ref="D10:K10" si="1">SUM(D8:D9)</f>
        <v>295859</v>
      </c>
      <c r="E10" s="1709">
        <f t="shared" si="1"/>
        <v>3056661</v>
      </c>
      <c r="F10" s="1709">
        <f t="shared" si="1"/>
        <v>476306</v>
      </c>
      <c r="G10" s="1709">
        <f t="shared" si="1"/>
        <v>133352</v>
      </c>
      <c r="H10" s="1709">
        <f t="shared" si="1"/>
        <v>1275</v>
      </c>
      <c r="I10" s="1709">
        <f t="shared" si="1"/>
        <v>32015</v>
      </c>
      <c r="J10" s="1709">
        <f t="shared" si="1"/>
        <v>68702</v>
      </c>
      <c r="K10" s="1709">
        <f t="shared" si="1"/>
        <v>5604</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3">
        <f>'Expenditures 15-22'!K33</f>
        <v>2985429</v>
      </c>
      <c r="D12" s="520" t="s">
        <v>1231</v>
      </c>
      <c r="E12" s="468" t="s">
        <v>1231</v>
      </c>
      <c r="F12" s="468" t="s">
        <v>1231</v>
      </c>
      <c r="G12" s="1763">
        <f>'Expenditures 15-22'!K229</f>
        <v>76016</v>
      </c>
      <c r="H12" s="521"/>
      <c r="I12" s="468" t="s">
        <v>1231</v>
      </c>
      <c r="J12" s="468" t="s">
        <v>1231</v>
      </c>
      <c r="K12" s="521" t="s">
        <v>1231</v>
      </c>
      <c r="L12" s="347"/>
    </row>
    <row r="13" spans="1:13" ht="15.75" customHeight="1" x14ac:dyDescent="0.2">
      <c r="A13" s="1598" t="s">
        <v>477</v>
      </c>
      <c r="B13" s="1600">
        <v>2000</v>
      </c>
      <c r="C13" s="1764">
        <f>'Expenditures 15-22'!K74</f>
        <v>1084956</v>
      </c>
      <c r="D13" s="1764">
        <f>'Expenditures 15-22'!K129</f>
        <v>280142</v>
      </c>
      <c r="E13" s="469" t="s">
        <v>1231</v>
      </c>
      <c r="F13" s="1764">
        <f>'Expenditures 15-22'!K184</f>
        <v>390683</v>
      </c>
      <c r="G13" s="1764">
        <f>'Expenditures 15-22'!K279</f>
        <v>62997</v>
      </c>
      <c r="H13" s="1764">
        <f>'Expenditures 15-22'!K303</f>
        <v>16902</v>
      </c>
      <c r="I13" s="468" t="s">
        <v>1231</v>
      </c>
      <c r="J13" s="1764">
        <f>'Expenditures 15-22'!K330</f>
        <v>85531</v>
      </c>
      <c r="K13" s="1768">
        <f>'Expenditures 15-22'!K352</f>
        <v>7983</v>
      </c>
      <c r="L13" s="347"/>
    </row>
    <row r="14" spans="1:13" ht="15.75" customHeight="1" x14ac:dyDescent="0.2">
      <c r="A14" s="1598" t="s">
        <v>469</v>
      </c>
      <c r="B14" s="1600">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135915</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1909545</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4206300</v>
      </c>
      <c r="D17" s="1709">
        <f t="shared" si="2"/>
        <v>280142</v>
      </c>
      <c r="E17" s="1709">
        <f t="shared" si="2"/>
        <v>1909545</v>
      </c>
      <c r="F17" s="1709">
        <f t="shared" si="2"/>
        <v>390683</v>
      </c>
      <c r="G17" s="1709">
        <f t="shared" si="2"/>
        <v>139013</v>
      </c>
      <c r="H17" s="1709">
        <f t="shared" si="2"/>
        <v>16902</v>
      </c>
      <c r="I17" s="468"/>
      <c r="J17" s="1709">
        <f>SUM(J12:J16)</f>
        <v>85531</v>
      </c>
      <c r="K17" s="1709">
        <f>SUM(K12:K16)</f>
        <v>7983</v>
      </c>
      <c r="L17" s="347"/>
    </row>
    <row r="18" spans="1:12" ht="15" customHeight="1" thickTop="1" x14ac:dyDescent="0.2">
      <c r="A18" s="1765" t="s">
        <v>1753</v>
      </c>
      <c r="B18" s="1766">
        <v>4180</v>
      </c>
      <c r="C18" s="1763">
        <f t="shared" ref="C18:H18" si="3">C9</f>
        <v>1964609</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6170909</v>
      </c>
      <c r="D19" s="1709">
        <f t="shared" si="4"/>
        <v>280142</v>
      </c>
      <c r="E19" s="1709">
        <f t="shared" si="4"/>
        <v>1909545</v>
      </c>
      <c r="F19" s="1709">
        <f t="shared" si="4"/>
        <v>390683</v>
      </c>
      <c r="G19" s="1709">
        <f t="shared" si="4"/>
        <v>139013</v>
      </c>
      <c r="H19" s="1709">
        <f t="shared" si="4"/>
        <v>16902</v>
      </c>
      <c r="I19" s="468"/>
      <c r="J19" s="1709">
        <f>SUM(J17:J18)</f>
        <v>85531</v>
      </c>
      <c r="K19" s="1709">
        <f>SUM(K17:K18)</f>
        <v>7983</v>
      </c>
      <c r="L19" s="347"/>
    </row>
    <row r="20" spans="1:12" ht="16.5" thickTop="1" thickBot="1" x14ac:dyDescent="0.25">
      <c r="A20" s="2143" t="s">
        <v>1754</v>
      </c>
      <c r="B20" s="2144"/>
      <c r="C20" s="1767">
        <f>C8-C17</f>
        <v>161920</v>
      </c>
      <c r="D20" s="1767">
        <f t="shared" ref="D20:K20" si="5">D8-D17</f>
        <v>15717</v>
      </c>
      <c r="E20" s="1767">
        <f t="shared" si="5"/>
        <v>1147116</v>
      </c>
      <c r="F20" s="1767">
        <f t="shared" si="5"/>
        <v>85623</v>
      </c>
      <c r="G20" s="1767">
        <f t="shared" si="5"/>
        <v>-5661</v>
      </c>
      <c r="H20" s="1767">
        <f t="shared" si="5"/>
        <v>-15627</v>
      </c>
      <c r="I20" s="1767">
        <f t="shared" si="5"/>
        <v>32015</v>
      </c>
      <c r="J20" s="1767">
        <f t="shared" si="5"/>
        <v>-16829</v>
      </c>
      <c r="K20" s="1767">
        <f t="shared" si="5"/>
        <v>-2379</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v>7405000</v>
      </c>
      <c r="F33" s="467"/>
      <c r="G33" s="477"/>
      <c r="H33" s="467"/>
      <c r="I33" s="467"/>
      <c r="J33" s="467"/>
      <c r="K33" s="467"/>
      <c r="L33" s="524"/>
    </row>
    <row r="34" spans="1:12" s="485" customFormat="1" x14ac:dyDescent="0.2">
      <c r="A34" s="1511" t="s">
        <v>1058</v>
      </c>
      <c r="B34" s="525">
        <v>7220</v>
      </c>
      <c r="C34" s="467"/>
      <c r="D34" s="467"/>
      <c r="E34" s="467">
        <v>672511</v>
      </c>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v>15138</v>
      </c>
      <c r="F43" s="467"/>
      <c r="G43" s="467"/>
      <c r="H43" s="467"/>
      <c r="I43" s="467"/>
      <c r="J43" s="467"/>
      <c r="K43" s="467"/>
      <c r="L43" s="524"/>
    </row>
    <row r="44" spans="1:12" s="485" customFormat="1" ht="13.5" customHeight="1" thickBot="1" x14ac:dyDescent="0.25">
      <c r="A44" s="2157" t="s">
        <v>392</v>
      </c>
      <c r="B44" s="2158"/>
      <c r="C44" s="1724">
        <f>SUM(C24:C43)</f>
        <v>0</v>
      </c>
      <c r="D44" s="1724">
        <f t="shared" ref="D44:K44" si="6">SUM(D24:D43)</f>
        <v>0</v>
      </c>
      <c r="E44" s="1724">
        <f t="shared" si="6"/>
        <v>8092649</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v>9815950</v>
      </c>
      <c r="F75" s="532"/>
      <c r="G75" s="532"/>
      <c r="H75" s="532"/>
      <c r="I75" s="530"/>
      <c r="J75" s="530"/>
      <c r="K75" s="532"/>
      <c r="L75" s="524"/>
    </row>
    <row r="76" spans="1:12" s="485" customFormat="1" ht="14.25" thickTop="1" thickBot="1" x14ac:dyDescent="0.25">
      <c r="A76" s="2133" t="s">
        <v>460</v>
      </c>
      <c r="B76" s="2134"/>
      <c r="C76" s="1724">
        <f t="shared" ref="C76:K76" si="7">SUM(C47:C75)</f>
        <v>0</v>
      </c>
      <c r="D76" s="1724">
        <f t="shared" si="7"/>
        <v>0</v>
      </c>
      <c r="E76" s="1724">
        <f t="shared" si="7"/>
        <v>9815950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5" t="s">
        <v>1239</v>
      </c>
      <c r="B77" s="2136"/>
      <c r="C77" s="1724">
        <f t="shared" ref="C77:K77" si="8">C44-C76</f>
        <v>0</v>
      </c>
      <c r="D77" s="1724">
        <f t="shared" si="8"/>
        <v>0</v>
      </c>
      <c r="E77" s="1724">
        <f t="shared" si="8"/>
        <v>-1723301</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39" t="s">
        <v>618</v>
      </c>
      <c r="B78" s="2140"/>
      <c r="C78" s="1723">
        <f t="shared" ref="C78:K78" si="9">C20+C77</f>
        <v>161920</v>
      </c>
      <c r="D78" s="1723">
        <f t="shared" si="9"/>
        <v>15717</v>
      </c>
      <c r="E78" s="1723">
        <f t="shared" si="9"/>
        <v>-576185</v>
      </c>
      <c r="F78" s="1723">
        <f t="shared" si="9"/>
        <v>85623</v>
      </c>
      <c r="G78" s="1723">
        <f t="shared" si="9"/>
        <v>-5661</v>
      </c>
      <c r="H78" s="1723">
        <f t="shared" si="9"/>
        <v>-15627</v>
      </c>
      <c r="I78" s="1723">
        <f t="shared" si="9"/>
        <v>32015</v>
      </c>
      <c r="J78" s="1723">
        <f t="shared" si="9"/>
        <v>-16829</v>
      </c>
      <c r="K78" s="1723">
        <f t="shared" si="9"/>
        <v>-2379</v>
      </c>
      <c r="L78" s="533"/>
    </row>
    <row r="79" spans="1:12" ht="13.5" thickTop="1" x14ac:dyDescent="0.2">
      <c r="A79" s="1516" t="s">
        <v>2073</v>
      </c>
      <c r="B79" s="534"/>
      <c r="C79" s="478">
        <v>1224075</v>
      </c>
      <c r="D79" s="535">
        <v>810606</v>
      </c>
      <c r="E79" s="535">
        <v>3352522</v>
      </c>
      <c r="F79" s="535">
        <v>59230</v>
      </c>
      <c r="G79" s="535">
        <v>143794</v>
      </c>
      <c r="H79" s="535">
        <v>109627</v>
      </c>
      <c r="I79" s="535">
        <v>1164931</v>
      </c>
      <c r="J79" s="535">
        <v>66343</v>
      </c>
      <c r="K79" s="535">
        <v>96157</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09">
        <f>(SUM(C78:C80))</f>
        <v>1385995</v>
      </c>
      <c r="D81" s="1709">
        <f>SUM(D78:D80)</f>
        <v>826323</v>
      </c>
      <c r="E81" s="1709">
        <f t="shared" ref="E81:K81" si="10">SUM(E78:E80)</f>
        <v>2776337</v>
      </c>
      <c r="F81" s="1709">
        <f t="shared" si="10"/>
        <v>144853</v>
      </c>
      <c r="G81" s="1709">
        <f t="shared" si="10"/>
        <v>138133</v>
      </c>
      <c r="H81" s="1709">
        <f t="shared" si="10"/>
        <v>94000</v>
      </c>
      <c r="I81" s="1709">
        <f t="shared" si="10"/>
        <v>1196946</v>
      </c>
      <c r="J81" s="1709">
        <f t="shared" si="10"/>
        <v>49514</v>
      </c>
      <c r="K81" s="1709">
        <f t="shared" si="10"/>
        <v>93778</v>
      </c>
      <c r="L81" s="347"/>
    </row>
    <row r="82" spans="1:12" ht="0.75" customHeight="1" thickTop="1" thickBot="1" x14ac:dyDescent="0.25">
      <c r="A82" s="536" t="s">
        <v>361</v>
      </c>
      <c r="B82" s="537"/>
      <c r="C82" s="538">
        <f>(C81-C79)</f>
        <v>161920</v>
      </c>
      <c r="D82" s="538">
        <f t="shared" ref="D82:K82" si="11">(D81-D79)</f>
        <v>15717</v>
      </c>
      <c r="E82" s="538">
        <f t="shared" si="11"/>
        <v>-576185</v>
      </c>
      <c r="F82" s="538">
        <f t="shared" si="11"/>
        <v>85623</v>
      </c>
      <c r="G82" s="538">
        <f t="shared" si="11"/>
        <v>-5661</v>
      </c>
      <c r="H82" s="538">
        <f t="shared" si="11"/>
        <v>-15627</v>
      </c>
      <c r="I82" s="538">
        <f t="shared" si="11"/>
        <v>32015</v>
      </c>
      <c r="J82" s="538">
        <f t="shared" si="11"/>
        <v>-16829</v>
      </c>
      <c r="K82" s="538">
        <f t="shared" si="11"/>
        <v>-2379</v>
      </c>
    </row>
    <row r="83" spans="1:12" ht="14.25" hidden="1" thickTop="1" thickBot="1" x14ac:dyDescent="0.25">
      <c r="A83" s="539" t="s">
        <v>362</v>
      </c>
      <c r="B83" s="464"/>
      <c r="C83" s="540">
        <f>C82/C81</f>
        <v>0.11682581827495771</v>
      </c>
      <c r="D83" s="540">
        <f t="shared" ref="D83:K83" si="12">D82/D81</f>
        <v>1.9020407274153085E-2</v>
      </c>
      <c r="E83" s="540">
        <f t="shared" si="12"/>
        <v>-0.20753424386160613</v>
      </c>
      <c r="F83" s="540">
        <f t="shared" si="12"/>
        <v>0.59110270412072929</v>
      </c>
      <c r="G83" s="540">
        <f t="shared" si="12"/>
        <v>-4.098224175251388E-2</v>
      </c>
      <c r="H83" s="540">
        <f t="shared" si="12"/>
        <v>-0.16624468085106384</v>
      </c>
      <c r="I83" s="540">
        <f t="shared" si="12"/>
        <v>2.6747238388365055E-2</v>
      </c>
      <c r="J83" s="540">
        <f t="shared" si="12"/>
        <v>-0.33988366926525831</v>
      </c>
      <c r="K83" s="540">
        <f t="shared" si="12"/>
        <v>-2.5368423297575125E-2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8000000000000003" right="0.2" top="0.68" bottom="0.32" header="0.19"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D43" sqref="D43"/>
      <selection pane="bottomLeft" activeCell="D5" sqref="D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2066531</v>
      </c>
      <c r="D5" s="481">
        <v>281436</v>
      </c>
      <c r="E5" s="466">
        <v>502153</v>
      </c>
      <c r="F5" s="548">
        <v>186710</v>
      </c>
      <c r="G5" s="466">
        <v>56345</v>
      </c>
      <c r="H5" s="466"/>
      <c r="I5" s="466">
        <v>29405</v>
      </c>
      <c r="J5" s="467">
        <v>57417</v>
      </c>
      <c r="K5" s="466">
        <v>5385</v>
      </c>
    </row>
    <row r="6" spans="1:12" ht="15" x14ac:dyDescent="0.2">
      <c r="A6" s="463" t="s">
        <v>1761</v>
      </c>
      <c r="B6" s="470">
        <v>1130</v>
      </c>
      <c r="C6" s="466"/>
      <c r="D6" s="466"/>
      <c r="E6" s="475"/>
      <c r="F6" s="475"/>
      <c r="G6" s="468"/>
      <c r="H6" s="468"/>
      <c r="I6" s="468"/>
      <c r="J6" s="468"/>
      <c r="K6" s="468"/>
    </row>
    <row r="7" spans="1:12" x14ac:dyDescent="0.2">
      <c r="A7" s="463" t="s">
        <v>112</v>
      </c>
      <c r="B7" s="549">
        <v>1140</v>
      </c>
      <c r="C7" s="466">
        <v>23496</v>
      </c>
      <c r="D7" s="466"/>
      <c r="E7" s="468"/>
      <c r="F7" s="467"/>
      <c r="G7" s="467"/>
      <c r="H7" s="467"/>
      <c r="I7" s="468"/>
      <c r="J7" s="468"/>
      <c r="K7" s="468"/>
    </row>
    <row r="8" spans="1:12" x14ac:dyDescent="0.2">
      <c r="A8" s="463" t="s">
        <v>433</v>
      </c>
      <c r="B8" s="470">
        <v>1150</v>
      </c>
      <c r="C8" s="475"/>
      <c r="D8" s="475"/>
      <c r="E8" s="477"/>
      <c r="F8" s="477"/>
      <c r="G8" s="481">
        <v>70423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2090027</v>
      </c>
      <c r="D12" s="1728">
        <f t="shared" si="0"/>
        <v>281436</v>
      </c>
      <c r="E12" s="1728">
        <f t="shared" si="0"/>
        <v>502153</v>
      </c>
      <c r="F12" s="1728">
        <f t="shared" si="0"/>
        <v>186710</v>
      </c>
      <c r="G12" s="1728">
        <f t="shared" si="0"/>
        <v>126768</v>
      </c>
      <c r="H12" s="1728">
        <f t="shared" si="0"/>
        <v>0</v>
      </c>
      <c r="I12" s="1728">
        <f t="shared" si="0"/>
        <v>29405</v>
      </c>
      <c r="J12" s="1728">
        <f t="shared" si="0"/>
        <v>57417</v>
      </c>
      <c r="K12" s="1709">
        <f t="shared" si="0"/>
        <v>5385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1351</v>
      </c>
      <c r="D14" s="466">
        <v>182</v>
      </c>
      <c r="E14" s="466">
        <v>325</v>
      </c>
      <c r="F14" s="466">
        <v>121</v>
      </c>
      <c r="G14" s="466">
        <v>82</v>
      </c>
      <c r="H14" s="466"/>
      <c r="I14" s="466">
        <v>19</v>
      </c>
      <c r="J14" s="467">
        <v>37</v>
      </c>
      <c r="K14" s="466">
        <v>4</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78367</v>
      </c>
      <c r="D16" s="466"/>
      <c r="E16" s="466"/>
      <c r="F16" s="466"/>
      <c r="G16" s="466">
        <v>4000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79718</v>
      </c>
      <c r="D18" s="1731">
        <f t="shared" ref="D18:K18" si="1">SUM(D14:D17)</f>
        <v>182</v>
      </c>
      <c r="E18" s="1731">
        <f t="shared" si="1"/>
        <v>325</v>
      </c>
      <c r="F18" s="1731">
        <f t="shared" si="1"/>
        <v>121</v>
      </c>
      <c r="G18" s="1731">
        <f t="shared" si="1"/>
        <v>4082</v>
      </c>
      <c r="H18" s="1731">
        <f t="shared" si="1"/>
        <v>0</v>
      </c>
      <c r="I18" s="1731">
        <f t="shared" si="1"/>
        <v>19</v>
      </c>
      <c r="J18" s="1731">
        <f t="shared" si="1"/>
        <v>37</v>
      </c>
      <c r="K18" s="1732">
        <f t="shared" si="1"/>
        <v>4</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29194</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29194</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117</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v>101</v>
      </c>
      <c r="G44" s="468"/>
      <c r="H44" s="468"/>
      <c r="I44" s="468"/>
      <c r="J44" s="468"/>
      <c r="K44" s="468"/>
    </row>
    <row r="45" spans="1:11" ht="12.75" customHeight="1" x14ac:dyDescent="0.2">
      <c r="A45" s="463" t="s">
        <v>258</v>
      </c>
      <c r="B45" s="470">
        <v>1415</v>
      </c>
      <c r="C45" s="468"/>
      <c r="D45" s="468"/>
      <c r="E45" s="468"/>
      <c r="F45" s="466">
        <v>3386</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v>190</v>
      </c>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3794</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3515</v>
      </c>
      <c r="D65" s="466">
        <v>1925</v>
      </c>
      <c r="E65" s="466">
        <v>23172</v>
      </c>
      <c r="F65" s="467">
        <v>257</v>
      </c>
      <c r="G65" s="466">
        <v>369</v>
      </c>
      <c r="H65" s="466">
        <v>1275</v>
      </c>
      <c r="I65" s="466">
        <v>2591</v>
      </c>
      <c r="J65" s="467">
        <v>87</v>
      </c>
      <c r="K65" s="466">
        <v>215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3515</v>
      </c>
      <c r="D67" s="1709">
        <f t="shared" ref="D67:K67" si="2">SUM(D65:D66)</f>
        <v>1925</v>
      </c>
      <c r="E67" s="1709">
        <f t="shared" si="2"/>
        <v>23172</v>
      </c>
      <c r="F67" s="1709">
        <f t="shared" si="2"/>
        <v>257</v>
      </c>
      <c r="G67" s="1709">
        <f t="shared" si="2"/>
        <v>369</v>
      </c>
      <c r="H67" s="1709">
        <f t="shared" si="2"/>
        <v>1275</v>
      </c>
      <c r="I67" s="1709">
        <f t="shared" si="2"/>
        <v>2591</v>
      </c>
      <c r="J67" s="1709">
        <f t="shared" si="2"/>
        <v>87</v>
      </c>
      <c r="K67" s="1709">
        <f t="shared" si="2"/>
        <v>215</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131743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4820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136563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40576</v>
      </c>
      <c r="D77" s="466"/>
      <c r="E77" s="468"/>
      <c r="F77" s="468"/>
      <c r="G77" s="468"/>
      <c r="H77" s="468"/>
      <c r="I77" s="468"/>
      <c r="J77" s="468"/>
      <c r="K77" s="468"/>
    </row>
    <row r="78" spans="1:11" ht="12.75" customHeight="1" x14ac:dyDescent="0.2">
      <c r="A78" s="463" t="s">
        <v>78</v>
      </c>
      <c r="B78" s="470">
        <v>1719</v>
      </c>
      <c r="C78" s="551">
        <v>2383</v>
      </c>
      <c r="D78" s="466"/>
      <c r="E78" s="468"/>
      <c r="F78" s="468"/>
      <c r="G78" s="468"/>
      <c r="H78" s="468"/>
      <c r="I78" s="468"/>
      <c r="J78" s="468"/>
      <c r="K78" s="468"/>
    </row>
    <row r="79" spans="1:11" ht="12.75" customHeight="1" x14ac:dyDescent="0.2">
      <c r="A79" s="463" t="s">
        <v>571</v>
      </c>
      <c r="B79" s="470">
        <v>1720</v>
      </c>
      <c r="C79" s="551">
        <v>10372</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4188</v>
      </c>
      <c r="D81" s="466"/>
      <c r="E81" s="468"/>
      <c r="F81" s="468"/>
      <c r="G81" s="468"/>
      <c r="H81" s="468"/>
      <c r="I81" s="468"/>
      <c r="J81" s="468"/>
      <c r="K81" s="468"/>
    </row>
    <row r="82" spans="1:11" ht="12.75" customHeight="1" thickBot="1" x14ac:dyDescent="0.25">
      <c r="A82" s="1729" t="s">
        <v>259</v>
      </c>
      <c r="B82" s="1730"/>
      <c r="C82" s="1728">
        <f>SUM(C77:C81)</f>
        <v>57519</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27632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27632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3500</v>
      </c>
      <c r="E95" s="521"/>
      <c r="F95" s="521"/>
      <c r="G95" s="521"/>
      <c r="H95" s="521"/>
      <c r="I95" s="521"/>
      <c r="J95" s="521"/>
      <c r="K95" s="521"/>
    </row>
    <row r="96" spans="1:11" ht="12.75" customHeight="1" x14ac:dyDescent="0.2">
      <c r="A96" s="463" t="s">
        <v>409</v>
      </c>
      <c r="B96" s="470">
        <v>1920</v>
      </c>
      <c r="C96" s="551">
        <v>11050</v>
      </c>
      <c r="D96" s="551">
        <v>1544</v>
      </c>
      <c r="E96" s="479">
        <v>1500000</v>
      </c>
      <c r="F96" s="478">
        <v>3046</v>
      </c>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10000</v>
      </c>
      <c r="D98" s="466"/>
      <c r="E98" s="512"/>
      <c r="F98" s="466"/>
      <c r="G98" s="512"/>
      <c r="H98" s="512"/>
      <c r="I98" s="510"/>
      <c r="J98" s="512"/>
      <c r="K98" s="512"/>
    </row>
    <row r="99" spans="1:12" ht="12.75" customHeight="1" x14ac:dyDescent="0.2">
      <c r="A99" s="463" t="s">
        <v>875</v>
      </c>
      <c r="B99" s="470">
        <v>1950</v>
      </c>
      <c r="C99" s="489">
        <v>677</v>
      </c>
      <c r="D99" s="466">
        <v>4778</v>
      </c>
      <c r="E99" s="466"/>
      <c r="F99" s="466">
        <v>203</v>
      </c>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4675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308</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25627</v>
      </c>
      <c r="D107" s="466">
        <v>2494</v>
      </c>
      <c r="E107" s="466">
        <v>2082</v>
      </c>
      <c r="F107" s="466"/>
      <c r="G107" s="466"/>
      <c r="H107" s="466"/>
      <c r="I107" s="466"/>
      <c r="J107" s="467"/>
      <c r="K107" s="466"/>
    </row>
    <row r="108" spans="1:12" ht="12.75" customHeight="1" thickBot="1" x14ac:dyDescent="0.25">
      <c r="A108" s="1729" t="s">
        <v>508</v>
      </c>
      <c r="B108" s="1733"/>
      <c r="C108" s="1728">
        <f>SUM(C95:C107)</f>
        <v>52337</v>
      </c>
      <c r="D108" s="1728">
        <f t="shared" ref="D108:K108" si="3">SUM(D95:D107)</f>
        <v>12316</v>
      </c>
      <c r="E108" s="1728">
        <f t="shared" si="3"/>
        <v>1502082</v>
      </c>
      <c r="F108" s="1728">
        <f t="shared" si="3"/>
        <v>3249</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2476505</v>
      </c>
      <c r="D109" s="1736">
        <f t="shared" si="4"/>
        <v>295859</v>
      </c>
      <c r="E109" s="1736">
        <f t="shared" si="4"/>
        <v>2027732</v>
      </c>
      <c r="F109" s="1736">
        <f t="shared" si="4"/>
        <v>194131</v>
      </c>
      <c r="G109" s="1736">
        <f t="shared" si="4"/>
        <v>131219</v>
      </c>
      <c r="H109" s="1736">
        <f t="shared" si="4"/>
        <v>1275</v>
      </c>
      <c r="I109" s="1736">
        <f t="shared" si="4"/>
        <v>32015</v>
      </c>
      <c r="J109" s="1736">
        <f t="shared" si="4"/>
        <v>57541</v>
      </c>
      <c r="K109" s="1723">
        <f t="shared" si="4"/>
        <v>5604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1373262</v>
      </c>
      <c r="D117" s="481"/>
      <c r="E117" s="466">
        <v>905774</v>
      </c>
      <c r="F117" s="481"/>
      <c r="G117" s="481"/>
      <c r="H117" s="466"/>
      <c r="I117" s="468"/>
      <c r="J117" s="467">
        <v>11161</v>
      </c>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1373262</v>
      </c>
      <c r="D121" s="1728">
        <f t="shared" si="5"/>
        <v>0</v>
      </c>
      <c r="E121" s="1728">
        <f t="shared" si="5"/>
        <v>905774</v>
      </c>
      <c r="F121" s="1728">
        <f t="shared" si="5"/>
        <v>0</v>
      </c>
      <c r="G121" s="1728">
        <f t="shared" si="5"/>
        <v>0</v>
      </c>
      <c r="H121" s="1728">
        <f t="shared" si="5"/>
        <v>0</v>
      </c>
      <c r="I121" s="468"/>
      <c r="J121" s="1728">
        <f>SUM(J117:J120)</f>
        <v>11161</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35526</v>
      </c>
      <c r="D125" s="561"/>
      <c r="E125" s="468"/>
      <c r="F125" s="466"/>
      <c r="G125" s="468"/>
      <c r="H125" s="468"/>
      <c r="I125" s="468"/>
      <c r="J125" s="468"/>
      <c r="K125" s="468"/>
    </row>
    <row r="126" spans="1:11" ht="12.75" customHeight="1" x14ac:dyDescent="0.2">
      <c r="A126" s="463" t="s">
        <v>922</v>
      </c>
      <c r="B126" s="562">
        <v>3110</v>
      </c>
      <c r="C126" s="551">
        <v>37855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73381</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9591</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1385</v>
      </c>
      <c r="D139" s="466"/>
      <c r="E139" s="561"/>
      <c r="F139" s="477"/>
      <c r="G139" s="467"/>
      <c r="H139" s="468"/>
      <c r="I139" s="468"/>
      <c r="J139" s="468"/>
      <c r="K139" s="468"/>
    </row>
    <row r="140" spans="1:11" ht="12.75" customHeight="1" thickBot="1" x14ac:dyDescent="0.25">
      <c r="A140" s="1729" t="s">
        <v>624</v>
      </c>
      <c r="B140" s="1741"/>
      <c r="C140" s="1728">
        <f>SUM(C133:C139)</f>
        <v>10976</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1101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8355</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178344</v>
      </c>
      <c r="G151" s="467"/>
      <c r="H151" s="468"/>
      <c r="I151" s="468"/>
      <c r="J151" s="468"/>
      <c r="K151" s="468"/>
    </row>
    <row r="152" spans="1:11" ht="12.75" customHeight="1" x14ac:dyDescent="0.2">
      <c r="A152" s="463" t="s">
        <v>1117</v>
      </c>
      <c r="B152" s="562">
        <v>3510</v>
      </c>
      <c r="C152" s="551"/>
      <c r="D152" s="466"/>
      <c r="E152" s="561"/>
      <c r="F152" s="466">
        <v>103831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282175</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66410</v>
      </c>
      <c r="D171" s="580"/>
      <c r="E171" s="580"/>
      <c r="F171" s="580"/>
      <c r="G171" s="581">
        <v>2133</v>
      </c>
      <c r="H171" s="582"/>
      <c r="I171" s="581"/>
      <c r="J171" s="581"/>
      <c r="K171" s="582"/>
    </row>
    <row r="172" spans="1:11" ht="12.75" customHeight="1" thickTop="1" thickBot="1" x14ac:dyDescent="0.25">
      <c r="A172" s="2161" t="s">
        <v>418</v>
      </c>
      <c r="B172" s="2162"/>
      <c r="C172" s="1743">
        <f t="shared" ref="C172:K172" si="6">SUM(C131,C140,C144,C145:C149,C154,C155:C170,C171)</f>
        <v>160223</v>
      </c>
      <c r="D172" s="1743">
        <f t="shared" si="6"/>
        <v>0</v>
      </c>
      <c r="E172" s="1743">
        <f t="shared" si="6"/>
        <v>0</v>
      </c>
      <c r="F172" s="1743">
        <f t="shared" si="6"/>
        <v>282175</v>
      </c>
      <c r="G172" s="1743">
        <f t="shared" si="6"/>
        <v>2133</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1533485</v>
      </c>
      <c r="D173" s="1736">
        <f>SUM(D121,D172)</f>
        <v>0</v>
      </c>
      <c r="E173" s="1736">
        <f>SUM(E121,E172)</f>
        <v>905774</v>
      </c>
      <c r="F173" s="1736">
        <f t="shared" ref="F173:K173" si="7">SUM(F121,F172)</f>
        <v>282175</v>
      </c>
      <c r="G173" s="1736">
        <f t="shared" si="7"/>
        <v>2133</v>
      </c>
      <c r="H173" s="1736">
        <f t="shared" si="7"/>
        <v>0</v>
      </c>
      <c r="I173" s="1736">
        <f t="shared" si="7"/>
        <v>0</v>
      </c>
      <c r="J173" s="1736">
        <f t="shared" si="7"/>
        <v>11161</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86492</v>
      </c>
      <c r="D183" s="466"/>
      <c r="E183" s="468"/>
      <c r="F183" s="466"/>
      <c r="G183" s="466"/>
      <c r="H183" s="466"/>
      <c r="I183" s="468"/>
      <c r="J183" s="468"/>
      <c r="K183" s="466"/>
    </row>
    <row r="184" spans="1:11" ht="13.5" thickBot="1" x14ac:dyDescent="0.25">
      <c r="A184" s="2169" t="s">
        <v>818</v>
      </c>
      <c r="B184" s="2170"/>
      <c r="C184" s="1728">
        <f>SUM(C180:C183)</f>
        <v>86492</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89061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89061</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66425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66425</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3280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3280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2549</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29413</v>
      </c>
      <c r="D220" s="466"/>
      <c r="E220" s="468"/>
      <c r="F220" s="466"/>
      <c r="G220" s="466"/>
      <c r="H220" s="468"/>
      <c r="I220" s="468"/>
      <c r="J220" s="468"/>
      <c r="K220" s="468"/>
    </row>
    <row r="221" spans="1:11" ht="12.75" customHeight="1" x14ac:dyDescent="0.2">
      <c r="A221" s="463" t="s">
        <v>1114</v>
      </c>
      <c r="B221" s="470">
        <v>4625</v>
      </c>
      <c r="C221" s="551">
        <v>874</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32836</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v>123155</v>
      </c>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123155</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16127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7350</v>
      </c>
      <c r="D270" s="576"/>
      <c r="E270" s="468"/>
      <c r="F270" s="576"/>
      <c r="G270" s="576"/>
      <c r="H270" s="468"/>
      <c r="I270" s="468"/>
      <c r="J270" s="468"/>
      <c r="K270" s="468"/>
    </row>
    <row r="271" spans="1:11" ht="12.75" customHeight="1" thickTop="1" thickBot="1" x14ac:dyDescent="0.25">
      <c r="A271" s="463" t="s">
        <v>395</v>
      </c>
      <c r="B271" s="470">
        <v>4992</v>
      </c>
      <c r="C271" s="575">
        <v>56659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271738</v>
      </c>
      <c r="D273" s="1736">
        <f t="shared" si="10"/>
        <v>0</v>
      </c>
      <c r="E273" s="1736">
        <f t="shared" si="10"/>
        <v>123155</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358230</v>
      </c>
      <c r="D274" s="1736">
        <f>SUM(D178,D184,D273)</f>
        <v>0</v>
      </c>
      <c r="E274" s="1736">
        <f>SUM(E178,E273)</f>
        <v>123155</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4368220</v>
      </c>
      <c r="D275" s="1736">
        <f t="shared" si="12"/>
        <v>295859</v>
      </c>
      <c r="E275" s="1736">
        <f t="shared" si="12"/>
        <v>3056661</v>
      </c>
      <c r="F275" s="1736">
        <f t="shared" si="12"/>
        <v>476306</v>
      </c>
      <c r="G275" s="1736">
        <f t="shared" si="12"/>
        <v>133352</v>
      </c>
      <c r="H275" s="1736">
        <f t="shared" si="12"/>
        <v>1275</v>
      </c>
      <c r="I275" s="1736">
        <f t="shared" si="12"/>
        <v>32015</v>
      </c>
      <c r="J275" s="1736">
        <f t="shared" si="12"/>
        <v>68702</v>
      </c>
      <c r="K275" s="1723">
        <f t="shared" si="12"/>
        <v>5604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6" right="0.15" top="0.74" bottom="0.39"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
See accompanying notes.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74" activePane="bottomLeft" state="frozen"/>
      <selection activeCell="D43" sqref="D43"/>
      <selection pane="bottomLeft" activeCell="C189" sqref="C18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1778226</v>
      </c>
      <c r="D5" s="466">
        <v>220142</v>
      </c>
      <c r="E5" s="466">
        <v>12935</v>
      </c>
      <c r="F5" s="466">
        <v>125693</v>
      </c>
      <c r="G5" s="466">
        <v>29538</v>
      </c>
      <c r="H5" s="466">
        <v>429</v>
      </c>
      <c r="I5" s="467"/>
      <c r="J5" s="467"/>
      <c r="K5" s="1692">
        <f>SUM(C5:J5)</f>
        <v>2166963</v>
      </c>
      <c r="L5" s="466">
        <v>2058338</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c r="D7" s="467"/>
      <c r="E7" s="467"/>
      <c r="F7" s="467"/>
      <c r="G7" s="467"/>
      <c r="H7" s="467"/>
      <c r="I7" s="467"/>
      <c r="J7" s="467"/>
      <c r="K7" s="1692">
        <f t="shared" ref="K7:K32" si="0">SUM(C7:J7)</f>
        <v>0</v>
      </c>
      <c r="L7" s="466"/>
    </row>
    <row r="8" spans="1:14" x14ac:dyDescent="0.2">
      <c r="A8" s="1526" t="s">
        <v>166</v>
      </c>
      <c r="B8" s="615">
        <v>1200</v>
      </c>
      <c r="C8" s="466">
        <v>357089</v>
      </c>
      <c r="D8" s="466">
        <v>35669</v>
      </c>
      <c r="E8" s="466"/>
      <c r="F8" s="466">
        <v>235</v>
      </c>
      <c r="G8" s="466"/>
      <c r="H8" s="466"/>
      <c r="I8" s="467"/>
      <c r="J8" s="467"/>
      <c r="K8" s="1692">
        <f t="shared" si="0"/>
        <v>392993</v>
      </c>
      <c r="L8" s="466">
        <v>433238</v>
      </c>
    </row>
    <row r="9" spans="1:14" x14ac:dyDescent="0.2">
      <c r="A9" s="1526" t="s">
        <v>745</v>
      </c>
      <c r="B9" s="615" t="s">
        <v>1025</v>
      </c>
      <c r="C9" s="467">
        <v>54778</v>
      </c>
      <c r="D9" s="467">
        <v>9512</v>
      </c>
      <c r="E9" s="467"/>
      <c r="F9" s="467">
        <v>1969</v>
      </c>
      <c r="G9" s="467"/>
      <c r="H9" s="467"/>
      <c r="I9" s="467"/>
      <c r="J9" s="467"/>
      <c r="K9" s="1692">
        <f t="shared" si="0"/>
        <v>66259</v>
      </c>
      <c r="L9" s="466">
        <v>61121</v>
      </c>
    </row>
    <row r="10" spans="1:14" x14ac:dyDescent="0.2">
      <c r="A10" s="1526" t="s">
        <v>746</v>
      </c>
      <c r="B10" s="615">
        <v>1250</v>
      </c>
      <c r="C10" s="466">
        <v>53480</v>
      </c>
      <c r="D10" s="466">
        <v>3513</v>
      </c>
      <c r="E10" s="466">
        <v>4576</v>
      </c>
      <c r="F10" s="466"/>
      <c r="G10" s="466"/>
      <c r="H10" s="466"/>
      <c r="I10" s="467"/>
      <c r="J10" s="467"/>
      <c r="K10" s="1692">
        <f t="shared" si="0"/>
        <v>61569</v>
      </c>
      <c r="L10" s="466">
        <v>54898</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v>27885</v>
      </c>
      <c r="D13" s="466"/>
      <c r="E13" s="466">
        <v>4059</v>
      </c>
      <c r="F13" s="466">
        <v>23578</v>
      </c>
      <c r="G13" s="466">
        <v>11521</v>
      </c>
      <c r="H13" s="466"/>
      <c r="I13" s="467"/>
      <c r="J13" s="467"/>
      <c r="K13" s="1692">
        <f t="shared" si="0"/>
        <v>67043</v>
      </c>
      <c r="L13" s="466">
        <v>71500</v>
      </c>
    </row>
    <row r="14" spans="1:14" x14ac:dyDescent="0.2">
      <c r="A14" s="1526" t="s">
        <v>1020</v>
      </c>
      <c r="B14" s="615">
        <v>1500</v>
      </c>
      <c r="C14" s="466">
        <v>129566</v>
      </c>
      <c r="D14" s="466">
        <v>2243</v>
      </c>
      <c r="E14" s="466">
        <v>28721</v>
      </c>
      <c r="F14" s="466">
        <v>17415</v>
      </c>
      <c r="G14" s="466"/>
      <c r="H14" s="466">
        <v>7571</v>
      </c>
      <c r="I14" s="467"/>
      <c r="J14" s="467"/>
      <c r="K14" s="1692">
        <f t="shared" si="0"/>
        <v>185516</v>
      </c>
      <c r="L14" s="466">
        <v>157750</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v>36161</v>
      </c>
      <c r="D17" s="467">
        <v>5661</v>
      </c>
      <c r="E17" s="467">
        <v>2397</v>
      </c>
      <c r="F17" s="467">
        <v>867</v>
      </c>
      <c r="G17" s="467"/>
      <c r="H17" s="467"/>
      <c r="I17" s="467"/>
      <c r="J17" s="467"/>
      <c r="K17" s="1692">
        <f t="shared" si="0"/>
        <v>45086</v>
      </c>
      <c r="L17" s="466">
        <v>45086</v>
      </c>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2437185</v>
      </c>
      <c r="D33" s="1691">
        <f t="shared" ref="D33:L33" si="1">SUM(D5:D32)</f>
        <v>276740</v>
      </c>
      <c r="E33" s="1691">
        <f t="shared" si="1"/>
        <v>52688</v>
      </c>
      <c r="F33" s="1691">
        <f t="shared" si="1"/>
        <v>169757</v>
      </c>
      <c r="G33" s="1691">
        <f t="shared" si="1"/>
        <v>41059</v>
      </c>
      <c r="H33" s="1691">
        <f t="shared" si="1"/>
        <v>8000</v>
      </c>
      <c r="I33" s="1691">
        <f t="shared" si="1"/>
        <v>0</v>
      </c>
      <c r="J33" s="1691">
        <f t="shared" si="1"/>
        <v>0</v>
      </c>
      <c r="K33" s="1691">
        <f t="shared" si="1"/>
        <v>2985429</v>
      </c>
      <c r="L33" s="1691">
        <f t="shared" si="1"/>
        <v>2881931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2">
        <f t="shared" ref="K36:K41" si="2">SUM(C36:J36)</f>
        <v>0</v>
      </c>
      <c r="L36" s="466"/>
    </row>
    <row r="37" spans="1:14" x14ac:dyDescent="0.2">
      <c r="A37" s="1526" t="s">
        <v>1151</v>
      </c>
      <c r="B37" s="615">
        <v>2120</v>
      </c>
      <c r="C37" s="466">
        <v>70679</v>
      </c>
      <c r="D37" s="466">
        <v>7196</v>
      </c>
      <c r="E37" s="466">
        <v>318</v>
      </c>
      <c r="F37" s="466">
        <v>34</v>
      </c>
      <c r="G37" s="466"/>
      <c r="H37" s="466">
        <v>770</v>
      </c>
      <c r="I37" s="467"/>
      <c r="J37" s="467"/>
      <c r="K37" s="1692">
        <f t="shared" si="2"/>
        <v>78997</v>
      </c>
      <c r="L37" s="466">
        <v>74065</v>
      </c>
    </row>
    <row r="38" spans="1:14" x14ac:dyDescent="0.2">
      <c r="A38" s="1526" t="s">
        <v>207</v>
      </c>
      <c r="B38" s="615">
        <v>2130</v>
      </c>
      <c r="C38" s="466">
        <v>59960</v>
      </c>
      <c r="D38" s="466">
        <v>10148</v>
      </c>
      <c r="E38" s="466">
        <v>493</v>
      </c>
      <c r="F38" s="466">
        <v>401</v>
      </c>
      <c r="G38" s="466"/>
      <c r="H38" s="466">
        <v>50</v>
      </c>
      <c r="I38" s="467"/>
      <c r="J38" s="467"/>
      <c r="K38" s="1692">
        <f t="shared" si="2"/>
        <v>71052</v>
      </c>
      <c r="L38" s="466">
        <v>71297</v>
      </c>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c r="F40" s="466"/>
      <c r="G40" s="466"/>
      <c r="H40" s="466"/>
      <c r="I40" s="467"/>
      <c r="J40" s="467"/>
      <c r="K40" s="1692">
        <f t="shared" si="2"/>
        <v>0</v>
      </c>
      <c r="L40" s="466"/>
    </row>
    <row r="41" spans="1:14" x14ac:dyDescent="0.2">
      <c r="A41" s="1526" t="s">
        <v>1768</v>
      </c>
      <c r="B41" s="615">
        <v>2190</v>
      </c>
      <c r="C41" s="466"/>
      <c r="D41" s="466"/>
      <c r="E41" s="466"/>
      <c r="F41" s="466">
        <v>4996</v>
      </c>
      <c r="G41" s="466"/>
      <c r="H41" s="466"/>
      <c r="I41" s="467"/>
      <c r="J41" s="467"/>
      <c r="K41" s="1692">
        <f t="shared" si="2"/>
        <v>4996</v>
      </c>
      <c r="L41" s="466">
        <v>4500</v>
      </c>
    </row>
    <row r="42" spans="1:14" ht="12.75" customHeight="1" thickBot="1" x14ac:dyDescent="0.25">
      <c r="A42" s="1689" t="s">
        <v>581</v>
      </c>
      <c r="B42" s="1690" t="s">
        <v>740</v>
      </c>
      <c r="C42" s="1691">
        <f>SUM(C36:C41)</f>
        <v>130639</v>
      </c>
      <c r="D42" s="1691">
        <f t="shared" ref="D42:L42" si="3">SUM(D36:D41)</f>
        <v>17344</v>
      </c>
      <c r="E42" s="1691">
        <f t="shared" si="3"/>
        <v>811</v>
      </c>
      <c r="F42" s="1691">
        <f t="shared" si="3"/>
        <v>5431</v>
      </c>
      <c r="G42" s="1691">
        <f t="shared" si="3"/>
        <v>0</v>
      </c>
      <c r="H42" s="1691">
        <f t="shared" si="3"/>
        <v>820</v>
      </c>
      <c r="I42" s="1691">
        <f t="shared" si="3"/>
        <v>0</v>
      </c>
      <c r="J42" s="1691">
        <f t="shared" si="3"/>
        <v>0</v>
      </c>
      <c r="K42" s="1691">
        <f t="shared" si="3"/>
        <v>155045</v>
      </c>
      <c r="L42" s="1691">
        <f t="shared" si="3"/>
        <v>149862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2416</v>
      </c>
      <c r="D44" s="481">
        <v>2239</v>
      </c>
      <c r="E44" s="481">
        <v>2040</v>
      </c>
      <c r="F44" s="481">
        <v>89</v>
      </c>
      <c r="G44" s="481"/>
      <c r="H44" s="481"/>
      <c r="I44" s="467"/>
      <c r="J44" s="467"/>
      <c r="K44" s="1693">
        <f>SUM(C44:J44)</f>
        <v>6784</v>
      </c>
      <c r="L44" s="481">
        <v>4500</v>
      </c>
    </row>
    <row r="45" spans="1:14" x14ac:dyDescent="0.2">
      <c r="A45" s="1526" t="s">
        <v>869</v>
      </c>
      <c r="B45" s="615">
        <v>2220</v>
      </c>
      <c r="C45" s="466"/>
      <c r="D45" s="466"/>
      <c r="E45" s="466">
        <v>439</v>
      </c>
      <c r="F45" s="466">
        <v>42</v>
      </c>
      <c r="G45" s="466"/>
      <c r="H45" s="466"/>
      <c r="I45" s="467"/>
      <c r="J45" s="467"/>
      <c r="K45" s="1693">
        <f>SUM(C45:J45)</f>
        <v>481</v>
      </c>
      <c r="L45" s="466">
        <v>440</v>
      </c>
    </row>
    <row r="46" spans="1:14" x14ac:dyDescent="0.2">
      <c r="A46" s="1526" t="s">
        <v>870</v>
      </c>
      <c r="B46" s="615">
        <v>2230</v>
      </c>
      <c r="C46" s="466"/>
      <c r="D46" s="466"/>
      <c r="E46" s="466"/>
      <c r="F46" s="466">
        <v>7402</v>
      </c>
      <c r="G46" s="466"/>
      <c r="H46" s="466"/>
      <c r="I46" s="467"/>
      <c r="J46" s="467"/>
      <c r="K46" s="1693">
        <f>SUM(C46:J46)</f>
        <v>7402</v>
      </c>
      <c r="L46" s="466">
        <v>7500</v>
      </c>
    </row>
    <row r="47" spans="1:14" ht="12.75" customHeight="1" thickBot="1" x14ac:dyDescent="0.25">
      <c r="A47" s="1689" t="s">
        <v>582</v>
      </c>
      <c r="B47" s="1690" t="s">
        <v>32</v>
      </c>
      <c r="C47" s="1691">
        <f>SUM(C44:C46)</f>
        <v>2416</v>
      </c>
      <c r="D47" s="1691">
        <f t="shared" ref="D47:K47" si="4">SUM(D44:D46)</f>
        <v>2239</v>
      </c>
      <c r="E47" s="1691">
        <f t="shared" si="4"/>
        <v>2479</v>
      </c>
      <c r="F47" s="1691">
        <f t="shared" si="4"/>
        <v>7533</v>
      </c>
      <c r="G47" s="1691">
        <f t="shared" si="4"/>
        <v>0</v>
      </c>
      <c r="H47" s="1691">
        <f t="shared" si="4"/>
        <v>0</v>
      </c>
      <c r="I47" s="1691">
        <f t="shared" si="4"/>
        <v>0</v>
      </c>
      <c r="J47" s="1691">
        <f t="shared" si="4"/>
        <v>0</v>
      </c>
      <c r="K47" s="1691">
        <f t="shared" si="4"/>
        <v>14667</v>
      </c>
      <c r="L47" s="1691">
        <f>SUM(L44:L46)</f>
        <v>12440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1400</v>
      </c>
      <c r="D49" s="481"/>
      <c r="E49" s="481">
        <v>11453</v>
      </c>
      <c r="F49" s="481">
        <v>121</v>
      </c>
      <c r="G49" s="481"/>
      <c r="H49" s="481">
        <v>3140</v>
      </c>
      <c r="I49" s="467"/>
      <c r="J49" s="467"/>
      <c r="K49" s="1693">
        <f>SUM(C49:J49)</f>
        <v>16114</v>
      </c>
      <c r="L49" s="481">
        <v>14550</v>
      </c>
    </row>
    <row r="50" spans="1:14" x14ac:dyDescent="0.2">
      <c r="A50" s="1526" t="s">
        <v>872</v>
      </c>
      <c r="B50" s="615">
        <v>2320</v>
      </c>
      <c r="C50" s="466">
        <v>124155</v>
      </c>
      <c r="D50" s="466">
        <v>11873</v>
      </c>
      <c r="E50" s="466">
        <v>830</v>
      </c>
      <c r="F50" s="466"/>
      <c r="G50" s="466"/>
      <c r="H50" s="466">
        <v>904</v>
      </c>
      <c r="I50" s="467"/>
      <c r="J50" s="467"/>
      <c r="K50" s="1693">
        <f>SUM(C50:J50)</f>
        <v>137762</v>
      </c>
      <c r="L50" s="466">
        <v>137296</v>
      </c>
    </row>
    <row r="51" spans="1:14" x14ac:dyDescent="0.2">
      <c r="A51" s="1526" t="s">
        <v>44</v>
      </c>
      <c r="B51" s="615">
        <v>2330</v>
      </c>
      <c r="C51" s="466"/>
      <c r="D51" s="466"/>
      <c r="E51" s="466"/>
      <c r="F51" s="466"/>
      <c r="G51" s="466"/>
      <c r="H51" s="466"/>
      <c r="I51" s="467"/>
      <c r="J51" s="467"/>
      <c r="K51" s="1693">
        <f>SUM(C51:J51)</f>
        <v>0</v>
      </c>
      <c r="L51" s="466"/>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125555</v>
      </c>
      <c r="D53" s="1691">
        <f t="shared" ref="D53:L53" si="5">SUM(D49:D52)</f>
        <v>11873</v>
      </c>
      <c r="E53" s="1691">
        <f t="shared" si="5"/>
        <v>12283</v>
      </c>
      <c r="F53" s="1691">
        <f t="shared" si="5"/>
        <v>121</v>
      </c>
      <c r="G53" s="1691">
        <f t="shared" si="5"/>
        <v>0</v>
      </c>
      <c r="H53" s="1691">
        <f t="shared" si="5"/>
        <v>4044</v>
      </c>
      <c r="I53" s="1691">
        <f t="shared" si="5"/>
        <v>0</v>
      </c>
      <c r="J53" s="1691">
        <f t="shared" si="5"/>
        <v>0</v>
      </c>
      <c r="K53" s="1691">
        <f t="shared" si="5"/>
        <v>153876</v>
      </c>
      <c r="L53" s="1691">
        <f t="shared" si="5"/>
        <v>151846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242295</v>
      </c>
      <c r="D55" s="481">
        <v>14572</v>
      </c>
      <c r="E55" s="481">
        <v>813</v>
      </c>
      <c r="F55" s="481">
        <v>730</v>
      </c>
      <c r="G55" s="481"/>
      <c r="H55" s="481">
        <v>721</v>
      </c>
      <c r="I55" s="467"/>
      <c r="J55" s="467"/>
      <c r="K55" s="1693">
        <f>SUM(C55:J55)</f>
        <v>259131</v>
      </c>
      <c r="L55" s="481">
        <v>263620</v>
      </c>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242295</v>
      </c>
      <c r="D57" s="1695">
        <f t="shared" ref="D57:K57" si="6">SUM(D55:D56)</f>
        <v>14572</v>
      </c>
      <c r="E57" s="1695">
        <f t="shared" si="6"/>
        <v>813</v>
      </c>
      <c r="F57" s="1695">
        <f t="shared" si="6"/>
        <v>730</v>
      </c>
      <c r="G57" s="1695">
        <f t="shared" si="6"/>
        <v>0</v>
      </c>
      <c r="H57" s="1695">
        <f t="shared" si="6"/>
        <v>721</v>
      </c>
      <c r="I57" s="1695">
        <f t="shared" si="6"/>
        <v>0</v>
      </c>
      <c r="J57" s="1695">
        <f t="shared" si="6"/>
        <v>0</v>
      </c>
      <c r="K57" s="1695">
        <f t="shared" si="6"/>
        <v>259131</v>
      </c>
      <c r="L57" s="1691">
        <f>SUM(L55:L56)</f>
        <v>263620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6" t="s">
        <v>483</v>
      </c>
      <c r="B60" s="615">
        <v>2520</v>
      </c>
      <c r="C60" s="466">
        <v>52605</v>
      </c>
      <c r="D60" s="466">
        <v>8412</v>
      </c>
      <c r="E60" s="466">
        <v>3150</v>
      </c>
      <c r="F60" s="466">
        <v>1364</v>
      </c>
      <c r="G60" s="466">
        <v>822</v>
      </c>
      <c r="H60" s="466">
        <v>148</v>
      </c>
      <c r="I60" s="467"/>
      <c r="J60" s="467"/>
      <c r="K60" s="1693">
        <f t="shared" si="7"/>
        <v>66501</v>
      </c>
      <c r="L60" s="466">
        <v>68624</v>
      </c>
      <c r="M60" s="610"/>
      <c r="N60" s="610"/>
    </row>
    <row r="61" spans="1:14" s="343" customFormat="1" x14ac:dyDescent="0.2">
      <c r="A61" s="1526" t="s">
        <v>206</v>
      </c>
      <c r="B61" s="615">
        <v>2540</v>
      </c>
      <c r="C61" s="466">
        <v>156540</v>
      </c>
      <c r="D61" s="466">
        <v>9848</v>
      </c>
      <c r="E61" s="466"/>
      <c r="F61" s="466"/>
      <c r="G61" s="466"/>
      <c r="H61" s="466"/>
      <c r="I61" s="467"/>
      <c r="J61" s="467"/>
      <c r="K61" s="1693">
        <f t="shared" si="7"/>
        <v>166388</v>
      </c>
      <c r="L61" s="466">
        <v>166230</v>
      </c>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22145</v>
      </c>
      <c r="D63" s="466">
        <v>12</v>
      </c>
      <c r="E63" s="466">
        <v>4495</v>
      </c>
      <c r="F63" s="466">
        <v>167860</v>
      </c>
      <c r="G63" s="466">
        <v>2414</v>
      </c>
      <c r="H63" s="466"/>
      <c r="I63" s="467"/>
      <c r="J63" s="467"/>
      <c r="K63" s="1693">
        <f t="shared" si="7"/>
        <v>196926</v>
      </c>
      <c r="L63" s="466">
        <v>181167</v>
      </c>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231290</v>
      </c>
      <c r="D65" s="1691">
        <f t="shared" ref="D65:L65" si="8">SUM(D59:D64)</f>
        <v>18272</v>
      </c>
      <c r="E65" s="1691">
        <f t="shared" si="8"/>
        <v>7645</v>
      </c>
      <c r="F65" s="1691">
        <f t="shared" si="8"/>
        <v>169224</v>
      </c>
      <c r="G65" s="1691">
        <f t="shared" si="8"/>
        <v>3236</v>
      </c>
      <c r="H65" s="1691">
        <f t="shared" si="8"/>
        <v>148</v>
      </c>
      <c r="I65" s="1691">
        <f t="shared" si="8"/>
        <v>0</v>
      </c>
      <c r="J65" s="1691">
        <f t="shared" si="8"/>
        <v>0</v>
      </c>
      <c r="K65" s="1691">
        <f t="shared" si="8"/>
        <v>429815</v>
      </c>
      <c r="L65" s="1691">
        <f t="shared" si="8"/>
        <v>416021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v>10365</v>
      </c>
      <c r="D69" s="466"/>
      <c r="E69" s="466">
        <v>48852</v>
      </c>
      <c r="F69" s="466">
        <v>8376</v>
      </c>
      <c r="G69" s="466">
        <v>4704</v>
      </c>
      <c r="H69" s="466"/>
      <c r="I69" s="467"/>
      <c r="J69" s="467"/>
      <c r="K69" s="1693">
        <f>SUM(C69:J69)</f>
        <v>72297</v>
      </c>
      <c r="L69" s="466">
        <v>68700</v>
      </c>
      <c r="M69" s="610"/>
      <c r="N69" s="610"/>
    </row>
    <row r="70" spans="1:14" s="343" customFormat="1" x14ac:dyDescent="0.2">
      <c r="A70" s="1526" t="s">
        <v>423</v>
      </c>
      <c r="B70" s="615">
        <v>2640</v>
      </c>
      <c r="C70" s="466"/>
      <c r="D70" s="466"/>
      <c r="E70" s="466"/>
      <c r="F70" s="466"/>
      <c r="G70" s="466"/>
      <c r="H70" s="466"/>
      <c r="I70" s="467"/>
      <c r="J70" s="467"/>
      <c r="K70" s="1693">
        <f>SUM(C70:J70)</f>
        <v>0</v>
      </c>
      <c r="L70" s="466"/>
      <c r="M70" s="610"/>
      <c r="N70" s="610"/>
    </row>
    <row r="71" spans="1:14" s="343" customFormat="1" x14ac:dyDescent="0.2">
      <c r="A71" s="1526"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10365</v>
      </c>
      <c r="D72" s="1691">
        <f t="shared" ref="D72:K72" si="9">SUM(D67:D71)</f>
        <v>0</v>
      </c>
      <c r="E72" s="1691">
        <f t="shared" si="9"/>
        <v>48852</v>
      </c>
      <c r="F72" s="1691">
        <f t="shared" si="9"/>
        <v>8376</v>
      </c>
      <c r="G72" s="1691">
        <f t="shared" si="9"/>
        <v>4704</v>
      </c>
      <c r="H72" s="1691">
        <f t="shared" si="9"/>
        <v>0</v>
      </c>
      <c r="I72" s="1691">
        <f t="shared" si="9"/>
        <v>0</v>
      </c>
      <c r="J72" s="1691">
        <f t="shared" si="9"/>
        <v>0</v>
      </c>
      <c r="K72" s="1691">
        <f t="shared" si="9"/>
        <v>72297</v>
      </c>
      <c r="L72" s="1691">
        <f>SUM(L67:L71)</f>
        <v>68700</v>
      </c>
      <c r="M72" s="610"/>
      <c r="N72" s="610"/>
    </row>
    <row r="73" spans="1:14" s="343" customFormat="1" ht="14.25" thickTop="1" thickBot="1" x14ac:dyDescent="0.25">
      <c r="A73" s="1532" t="s">
        <v>1037</v>
      </c>
      <c r="B73" s="633" t="s">
        <v>595</v>
      </c>
      <c r="C73" s="573"/>
      <c r="D73" s="573"/>
      <c r="E73" s="573"/>
      <c r="F73" s="573">
        <v>125</v>
      </c>
      <c r="G73" s="573"/>
      <c r="H73" s="573"/>
      <c r="I73" s="531"/>
      <c r="J73" s="531"/>
      <c r="K73" s="1691">
        <f>SUM(C73:J73)</f>
        <v>125</v>
      </c>
      <c r="L73" s="576"/>
      <c r="M73" s="610"/>
      <c r="N73" s="610"/>
    </row>
    <row r="74" spans="1:14" ht="12.75" customHeight="1" thickTop="1" thickBot="1" x14ac:dyDescent="0.25">
      <c r="A74" s="1689" t="s">
        <v>865</v>
      </c>
      <c r="B74" s="1697">
        <v>2000</v>
      </c>
      <c r="C74" s="1698">
        <f>SUM(C42,C47,C53,C57,C65,C72,C73)</f>
        <v>742560</v>
      </c>
      <c r="D74" s="1698">
        <f t="shared" ref="D74:K74" si="10">SUM(D42,D47,D53,D57,D65,D72,D73)</f>
        <v>64300</v>
      </c>
      <c r="E74" s="1698">
        <f t="shared" si="10"/>
        <v>72883</v>
      </c>
      <c r="F74" s="1698">
        <f t="shared" si="10"/>
        <v>191540</v>
      </c>
      <c r="G74" s="1698">
        <f t="shared" si="10"/>
        <v>7940</v>
      </c>
      <c r="H74" s="1698">
        <f t="shared" si="10"/>
        <v>5733</v>
      </c>
      <c r="I74" s="1698">
        <f t="shared" si="10"/>
        <v>0</v>
      </c>
      <c r="J74" s="1698">
        <f t="shared" si="10"/>
        <v>0</v>
      </c>
      <c r="K74" s="1698">
        <f t="shared" si="10"/>
        <v>1084956</v>
      </c>
      <c r="L74" s="1698">
        <f>SUM(L42,L47,L53,L57,L65,L72,L73)</f>
        <v>1062489</v>
      </c>
    </row>
    <row r="75" spans="1:14" s="259" customFormat="1" ht="15.75" customHeight="1" thickTop="1" thickBot="1" x14ac:dyDescent="0.25">
      <c r="A75" s="1632" t="s">
        <v>49</v>
      </c>
      <c r="B75" s="1633" t="s">
        <v>596</v>
      </c>
      <c r="C75" s="573"/>
      <c r="D75" s="573"/>
      <c r="E75" s="573"/>
      <c r="F75" s="573"/>
      <c r="G75" s="573"/>
      <c r="H75" s="573"/>
      <c r="I75" s="531"/>
      <c r="J75" s="531"/>
      <c r="K75" s="1691">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row>
    <row r="79" spans="1:14" x14ac:dyDescent="0.2">
      <c r="A79" s="1526" t="s">
        <v>322</v>
      </c>
      <c r="B79" s="615">
        <v>4120</v>
      </c>
      <c r="C79" s="617"/>
      <c r="D79" s="617"/>
      <c r="E79" s="466">
        <v>28504</v>
      </c>
      <c r="F79" s="617"/>
      <c r="G79" s="617"/>
      <c r="H79" s="466"/>
      <c r="I79" s="477"/>
      <c r="J79" s="477"/>
      <c r="K79" s="1692">
        <f t="shared" si="11"/>
        <v>28504</v>
      </c>
      <c r="L79" s="466">
        <v>27000</v>
      </c>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v>1350</v>
      </c>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v>3075</v>
      </c>
      <c r="F83" s="617"/>
      <c r="G83" s="617"/>
      <c r="H83" s="466"/>
      <c r="I83" s="477"/>
      <c r="J83" s="477"/>
      <c r="K83" s="1692">
        <f t="shared" si="11"/>
        <v>3075</v>
      </c>
      <c r="L83" s="466">
        <v>3075</v>
      </c>
    </row>
    <row r="84" spans="1:12" ht="13.5" thickBot="1" x14ac:dyDescent="0.25">
      <c r="A84" s="1689" t="s">
        <v>1565</v>
      </c>
      <c r="B84" s="1699">
        <v>4100</v>
      </c>
      <c r="C84" s="617"/>
      <c r="D84" s="617"/>
      <c r="E84" s="1691">
        <f>SUM(E78:E83)</f>
        <v>31579</v>
      </c>
      <c r="F84" s="617"/>
      <c r="G84" s="617"/>
      <c r="H84" s="1691">
        <f>SUM(H78:H83)</f>
        <v>0</v>
      </c>
      <c r="I84" s="477"/>
      <c r="J84" s="477"/>
      <c r="K84" s="1691">
        <f>SUM(K78:K83)</f>
        <v>31579</v>
      </c>
      <c r="L84" s="1691">
        <f>SUM(L78:L83)</f>
        <v>31425</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v>97986</v>
      </c>
      <c r="I86" s="477"/>
      <c r="J86" s="477"/>
      <c r="K86" s="1698">
        <f t="shared" ref="K86:K98" si="12">H86</f>
        <v>97986</v>
      </c>
      <c r="L86" s="530">
        <v>115000</v>
      </c>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v>6350</v>
      </c>
      <c r="I91" s="477"/>
      <c r="J91" s="477"/>
      <c r="K91" s="1698">
        <f t="shared" si="12"/>
        <v>6350</v>
      </c>
      <c r="L91" s="530"/>
    </row>
    <row r="92" spans="1:12" ht="14.25" thickTop="1" thickBot="1" x14ac:dyDescent="0.25">
      <c r="A92" s="1701" t="s">
        <v>1641</v>
      </c>
      <c r="B92" s="1699">
        <v>4200</v>
      </c>
      <c r="C92" s="617"/>
      <c r="D92" s="617"/>
      <c r="E92" s="639"/>
      <c r="F92" s="617"/>
      <c r="G92" s="617"/>
      <c r="H92" s="1691">
        <f>SUM(H85:H91)</f>
        <v>104336</v>
      </c>
      <c r="I92" s="477"/>
      <c r="J92" s="477"/>
      <c r="K92" s="1698">
        <f t="shared" si="12"/>
        <v>104336</v>
      </c>
      <c r="L92" s="1691">
        <f>SUM(L85:L91)</f>
        <v>115000</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31579</v>
      </c>
      <c r="F102" s="617"/>
      <c r="G102" s="617"/>
      <c r="H102" s="1698">
        <f>SUM(H84,H92,H100,H101)</f>
        <v>104336</v>
      </c>
      <c r="I102" s="477"/>
      <c r="J102" s="477"/>
      <c r="K102" s="1698">
        <f>SUM(K84,K92,K100,K101)</f>
        <v>135915</v>
      </c>
      <c r="L102" s="1698">
        <f>SUM(L84,L92,L100,L101)</f>
        <v>146425</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3179745</v>
      </c>
      <c r="D114" s="1691">
        <f t="shared" ref="D114:K114" si="13">SUM(D33,D74,D75,D102,D112,D113)</f>
        <v>341040</v>
      </c>
      <c r="E114" s="1691">
        <f t="shared" si="13"/>
        <v>157150</v>
      </c>
      <c r="F114" s="1691">
        <f t="shared" si="13"/>
        <v>361297</v>
      </c>
      <c r="G114" s="1691">
        <f t="shared" si="13"/>
        <v>48999</v>
      </c>
      <c r="H114" s="1691">
        <f>SUM(H33,H74,H75,H102,H112,H113)</f>
        <v>118069</v>
      </c>
      <c r="I114" s="1691">
        <f t="shared" si="13"/>
        <v>0</v>
      </c>
      <c r="J114" s="1691">
        <f t="shared" si="13"/>
        <v>0</v>
      </c>
      <c r="K114" s="1691">
        <f t="shared" si="13"/>
        <v>4206300</v>
      </c>
      <c r="L114" s="1691">
        <f>SUM(L33,L74,L75,L102,L112,L113)</f>
        <v>4090845</v>
      </c>
    </row>
    <row r="115" spans="1:14" ht="13.5" thickTop="1" x14ac:dyDescent="0.2">
      <c r="A115" s="2198" t="s">
        <v>1053</v>
      </c>
      <c r="B115" s="2199"/>
      <c r="C115" s="619"/>
      <c r="D115" s="619"/>
      <c r="E115" s="619"/>
      <c r="F115" s="619"/>
      <c r="G115" s="619"/>
      <c r="H115" s="619"/>
      <c r="I115" s="619"/>
      <c r="J115" s="619"/>
      <c r="K115" s="1705">
        <f>'Revenues 9-14'!C275-'Expenditures 15-22'!K114</f>
        <v>161920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c r="D124" s="466"/>
      <c r="E124" s="466">
        <v>62437</v>
      </c>
      <c r="F124" s="466">
        <v>217705</v>
      </c>
      <c r="G124" s="466"/>
      <c r="H124" s="466"/>
      <c r="I124" s="467"/>
      <c r="J124" s="467"/>
      <c r="K124" s="1691">
        <f>SUM(C124:J124)</f>
        <v>280142</v>
      </c>
      <c r="L124" s="466">
        <v>266125</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0</v>
      </c>
      <c r="D127" s="1691">
        <f t="shared" ref="D127:L127" si="14">SUM(D122:D126)</f>
        <v>0</v>
      </c>
      <c r="E127" s="1691">
        <f t="shared" si="14"/>
        <v>62437</v>
      </c>
      <c r="F127" s="1691">
        <f t="shared" si="14"/>
        <v>217705</v>
      </c>
      <c r="G127" s="1691">
        <f t="shared" si="14"/>
        <v>0</v>
      </c>
      <c r="H127" s="1691">
        <f t="shared" si="14"/>
        <v>0</v>
      </c>
      <c r="I127" s="1691">
        <f t="shared" si="14"/>
        <v>0</v>
      </c>
      <c r="J127" s="1691">
        <f t="shared" si="14"/>
        <v>0</v>
      </c>
      <c r="K127" s="1691">
        <f t="shared" si="14"/>
        <v>280142</v>
      </c>
      <c r="L127" s="1691">
        <f t="shared" si="14"/>
        <v>266125</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0</v>
      </c>
      <c r="D129" s="1698">
        <f t="shared" ref="D129:L129" si="15">SUM(D120,D127,D128)</f>
        <v>0</v>
      </c>
      <c r="E129" s="1698">
        <f t="shared" si="15"/>
        <v>62437</v>
      </c>
      <c r="F129" s="1698">
        <f t="shared" si="15"/>
        <v>217705</v>
      </c>
      <c r="G129" s="1698">
        <f t="shared" si="15"/>
        <v>0</v>
      </c>
      <c r="H129" s="1698">
        <f t="shared" si="15"/>
        <v>0</v>
      </c>
      <c r="I129" s="1698">
        <f t="shared" si="15"/>
        <v>0</v>
      </c>
      <c r="J129" s="1698">
        <f t="shared" si="15"/>
        <v>0</v>
      </c>
      <c r="K129" s="1698">
        <f t="shared" si="15"/>
        <v>280142</v>
      </c>
      <c r="L129" s="1698">
        <f t="shared" si="15"/>
        <v>266125</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91">
        <f>SUM(C129,C130,C139,C149,C150)</f>
        <v>0</v>
      </c>
      <c r="D151" s="1691">
        <f t="shared" ref="D151:K151" si="16">SUM(D129,D130,D139,D149,D150)</f>
        <v>0</v>
      </c>
      <c r="E151" s="1691">
        <f t="shared" si="16"/>
        <v>62437</v>
      </c>
      <c r="F151" s="1691">
        <f t="shared" si="16"/>
        <v>217705</v>
      </c>
      <c r="G151" s="1691">
        <f t="shared" si="16"/>
        <v>0</v>
      </c>
      <c r="H151" s="1691">
        <f t="shared" si="16"/>
        <v>0</v>
      </c>
      <c r="I151" s="1691">
        <f t="shared" si="16"/>
        <v>0</v>
      </c>
      <c r="J151" s="1691">
        <f t="shared" si="16"/>
        <v>0</v>
      </c>
      <c r="K151" s="1691">
        <f t="shared" si="16"/>
        <v>280142</v>
      </c>
      <c r="L151" s="1691">
        <f>SUM(L129,L130,L139,L149,L150)</f>
        <v>266125</v>
      </c>
    </row>
    <row r="152" spans="1:14" ht="12.75" customHeight="1" thickTop="1" x14ac:dyDescent="0.2">
      <c r="A152" s="2191" t="s">
        <v>1240</v>
      </c>
      <c r="B152" s="2192"/>
      <c r="C152" s="619"/>
      <c r="D152" s="619"/>
      <c r="E152" s="619"/>
      <c r="F152" s="619"/>
      <c r="G152" s="619"/>
      <c r="H152" s="619"/>
      <c r="I152" s="619"/>
      <c r="J152" s="617"/>
      <c r="K152" s="1705">
        <f>'Revenues 9-14'!D275-'Expenditures 15-22'!K151</f>
        <v>15717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1958</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931990</v>
      </c>
      <c r="I169" s="617"/>
      <c r="J169" s="617"/>
      <c r="K169" s="1692">
        <f>SUM(C169:H169)</f>
        <v>931990</v>
      </c>
      <c r="L169" s="657">
        <v>931990</v>
      </c>
    </row>
    <row r="170" spans="1:14" ht="33.75" customHeight="1" x14ac:dyDescent="0.2">
      <c r="A170" s="670" t="s">
        <v>1769</v>
      </c>
      <c r="B170" s="672" t="s">
        <v>31</v>
      </c>
      <c r="C170" s="617"/>
      <c r="D170" s="617"/>
      <c r="E170" s="617"/>
      <c r="F170" s="617"/>
      <c r="G170" s="617"/>
      <c r="H170" s="569">
        <v>975000</v>
      </c>
      <c r="I170" s="617"/>
      <c r="J170" s="617"/>
      <c r="K170" s="1692">
        <f>SUM(C170:J170)</f>
        <v>975000</v>
      </c>
      <c r="L170" s="569">
        <v>2698301</v>
      </c>
    </row>
    <row r="171" spans="1:14" ht="15.75" customHeight="1" x14ac:dyDescent="0.2">
      <c r="A171" s="622" t="s">
        <v>790</v>
      </c>
      <c r="B171" s="673" t="s">
        <v>86</v>
      </c>
      <c r="C171" s="617"/>
      <c r="D171" s="617"/>
      <c r="E171" s="466"/>
      <c r="F171" s="617"/>
      <c r="G171" s="617"/>
      <c r="H171" s="569">
        <v>2555</v>
      </c>
      <c r="I171" s="477"/>
      <c r="J171" s="617"/>
      <c r="K171" s="1692">
        <f>SUM(C171:J171)</f>
        <v>2555</v>
      </c>
      <c r="L171" s="569">
        <v>500</v>
      </c>
    </row>
    <row r="172" spans="1:14" ht="12.75" customHeight="1" thickBot="1" x14ac:dyDescent="0.25">
      <c r="A172" s="1689" t="s">
        <v>659</v>
      </c>
      <c r="B172" s="1690" t="s">
        <v>513</v>
      </c>
      <c r="C172" s="617"/>
      <c r="D172" s="617"/>
      <c r="E172" s="1698">
        <f>SUM(E168,E169,E170,E171)</f>
        <v>0</v>
      </c>
      <c r="F172" s="617"/>
      <c r="G172" s="617"/>
      <c r="H172" s="1698">
        <f>SUM(H168,H169,H170,H171)</f>
        <v>1909545</v>
      </c>
      <c r="I172" s="639"/>
      <c r="J172" s="617"/>
      <c r="K172" s="1698">
        <f>SUM(K168,K169,K170,K171)</f>
        <v>1909545</v>
      </c>
      <c r="L172" s="1698">
        <f>SUM(L168,L169,L170,L171)</f>
        <v>3630791</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1909545</v>
      </c>
      <c r="I174" s="639"/>
      <c r="J174" s="617"/>
      <c r="K174" s="1698">
        <f>SUM(K160,K172,K173)</f>
        <v>1909545</v>
      </c>
      <c r="L174" s="1698">
        <f>SUM(L160,L172,L173)</f>
        <v>3630791</v>
      </c>
    </row>
    <row r="175" spans="1:14" ht="13.5" thickTop="1" x14ac:dyDescent="0.2">
      <c r="A175" s="2198" t="s">
        <v>1053</v>
      </c>
      <c r="B175" s="2199"/>
      <c r="C175" s="617"/>
      <c r="D175" s="617"/>
      <c r="E175" s="617"/>
      <c r="F175" s="617"/>
      <c r="G175" s="617"/>
      <c r="H175" s="619"/>
      <c r="I175" s="617"/>
      <c r="J175" s="617"/>
      <c r="K175" s="1705">
        <f>'Revenues 9-14'!E275-'Expenditures 15-22'!K174</f>
        <v>1147116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6006</v>
      </c>
      <c r="D182" s="466">
        <v>702</v>
      </c>
      <c r="E182" s="466">
        <v>383975</v>
      </c>
      <c r="F182" s="466"/>
      <c r="G182" s="466"/>
      <c r="H182" s="466"/>
      <c r="I182" s="467"/>
      <c r="J182" s="467"/>
      <c r="K182" s="1692">
        <f>SUM(C182:J182)</f>
        <v>390683</v>
      </c>
      <c r="L182" s="466">
        <v>379214</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6006</v>
      </c>
      <c r="D184" s="1698">
        <f t="shared" ref="D184:J184" si="17">SUM(D180,D182,D183)</f>
        <v>702</v>
      </c>
      <c r="E184" s="1698">
        <f t="shared" si="17"/>
        <v>383975</v>
      </c>
      <c r="F184" s="1698">
        <f t="shared" si="17"/>
        <v>0</v>
      </c>
      <c r="G184" s="1698">
        <f t="shared" si="17"/>
        <v>0</v>
      </c>
      <c r="H184" s="1698">
        <f t="shared" si="17"/>
        <v>0</v>
      </c>
      <c r="I184" s="1698">
        <f t="shared" si="17"/>
        <v>0</v>
      </c>
      <c r="J184" s="1698">
        <f t="shared" si="17"/>
        <v>0</v>
      </c>
      <c r="K184" s="1698">
        <f>SUM(K180,K182,K183)</f>
        <v>390683</v>
      </c>
      <c r="L184" s="1698">
        <f>SUM(L180, L182:L183)</f>
        <v>379214</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c r="F189" s="617"/>
      <c r="G189" s="617"/>
      <c r="H189" s="466"/>
      <c r="I189" s="477"/>
      <c r="J189" s="617"/>
      <c r="K189" s="1692">
        <f t="shared" si="18"/>
        <v>0</v>
      </c>
      <c r="L189" s="466"/>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6006</v>
      </c>
      <c r="D210" s="1691">
        <f>SUM(D184,D185)</f>
        <v>702</v>
      </c>
      <c r="E210" s="1691">
        <f>SUM(E184,E185,E196)</f>
        <v>383975</v>
      </c>
      <c r="F210" s="1691">
        <f>SUM(F184,F185)</f>
        <v>0</v>
      </c>
      <c r="G210" s="1691">
        <f>SUM(G184,G185)</f>
        <v>0</v>
      </c>
      <c r="H210" s="1691">
        <f>SUM(H184,H185,H196,H208,H209)</f>
        <v>0</v>
      </c>
      <c r="I210" s="1691">
        <f>SUM(I184,I185)</f>
        <v>0</v>
      </c>
      <c r="J210" s="1691">
        <f>SUM(J184,J185)</f>
        <v>0</v>
      </c>
      <c r="K210" s="1692">
        <f>SUM(K184,K185,K196,K208,K209)</f>
        <v>390683</v>
      </c>
      <c r="L210" s="1691">
        <f>SUM(L184,L185,L196,L208,L209)</f>
        <v>379214</v>
      </c>
    </row>
    <row r="211" spans="1:14" ht="13.5" thickTop="1" x14ac:dyDescent="0.2">
      <c r="A211" s="2198" t="s">
        <v>1053</v>
      </c>
      <c r="B211" s="2199"/>
      <c r="C211" s="619"/>
      <c r="D211" s="619"/>
      <c r="E211" s="619"/>
      <c r="F211" s="619"/>
      <c r="G211" s="619"/>
      <c r="H211" s="619"/>
      <c r="I211" s="617"/>
      <c r="J211" s="617"/>
      <c r="K211" s="1705">
        <f>'Revenues 9-14'!F275-'Expenditures 15-22'!K210</f>
        <v>85623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27989</v>
      </c>
      <c r="E215" s="617"/>
      <c r="F215" s="617"/>
      <c r="G215" s="617"/>
      <c r="H215" s="617"/>
      <c r="I215" s="617"/>
      <c r="J215" s="617"/>
      <c r="K215" s="1692">
        <f>D215</f>
        <v>27989</v>
      </c>
      <c r="L215" s="466">
        <v>26000</v>
      </c>
    </row>
    <row r="216" spans="1:14" x14ac:dyDescent="0.2">
      <c r="A216" s="1526" t="s">
        <v>165</v>
      </c>
      <c r="B216" s="615" t="s">
        <v>1024</v>
      </c>
      <c r="C216" s="617"/>
      <c r="D216" s="467"/>
      <c r="E216" s="617"/>
      <c r="F216" s="617"/>
      <c r="G216" s="617"/>
      <c r="H216" s="617"/>
      <c r="I216" s="617"/>
      <c r="J216" s="617"/>
      <c r="K216" s="1692">
        <f t="shared" ref="K216:K228" si="19">D216</f>
        <v>0</v>
      </c>
      <c r="L216" s="466"/>
    </row>
    <row r="217" spans="1:14" x14ac:dyDescent="0.2">
      <c r="A217" s="1526" t="s">
        <v>166</v>
      </c>
      <c r="B217" s="615">
        <v>1200</v>
      </c>
      <c r="C217" s="617"/>
      <c r="D217" s="466">
        <v>30897</v>
      </c>
      <c r="E217" s="617"/>
      <c r="F217" s="617"/>
      <c r="G217" s="617"/>
      <c r="H217" s="617"/>
      <c r="I217" s="617"/>
      <c r="J217" s="617"/>
      <c r="K217" s="1692">
        <f t="shared" si="19"/>
        <v>30897</v>
      </c>
      <c r="L217" s="466">
        <v>25000</v>
      </c>
    </row>
    <row r="218" spans="1:14" x14ac:dyDescent="0.2">
      <c r="A218" s="1526" t="s">
        <v>296</v>
      </c>
      <c r="B218" s="615" t="s">
        <v>1025</v>
      </c>
      <c r="C218" s="617"/>
      <c r="D218" s="467">
        <v>3852</v>
      </c>
      <c r="E218" s="617"/>
      <c r="F218" s="617"/>
      <c r="G218" s="617"/>
      <c r="H218" s="617"/>
      <c r="I218" s="617"/>
      <c r="J218" s="617"/>
      <c r="K218" s="1692">
        <f t="shared" si="19"/>
        <v>3852</v>
      </c>
      <c r="L218" s="466">
        <v>3500</v>
      </c>
    </row>
    <row r="219" spans="1:14" x14ac:dyDescent="0.2">
      <c r="A219" s="1526" t="s">
        <v>297</v>
      </c>
      <c r="B219" s="615">
        <v>1250</v>
      </c>
      <c r="C219" s="617"/>
      <c r="D219" s="466">
        <v>5571</v>
      </c>
      <c r="E219" s="617"/>
      <c r="F219" s="617"/>
      <c r="G219" s="617"/>
      <c r="H219" s="617"/>
      <c r="I219" s="617"/>
      <c r="J219" s="617"/>
      <c r="K219" s="1692">
        <f t="shared" si="19"/>
        <v>5571</v>
      </c>
      <c r="L219" s="466">
        <v>4450</v>
      </c>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v>2133</v>
      </c>
      <c r="E222" s="617"/>
      <c r="F222" s="617"/>
      <c r="G222" s="617"/>
      <c r="H222" s="617"/>
      <c r="I222" s="617"/>
      <c r="J222" s="617"/>
      <c r="K222" s="1692">
        <f t="shared" si="19"/>
        <v>2133</v>
      </c>
      <c r="L222" s="466">
        <v>1850</v>
      </c>
    </row>
    <row r="223" spans="1:14" x14ac:dyDescent="0.2">
      <c r="A223" s="1526" t="s">
        <v>1020</v>
      </c>
      <c r="B223" s="615">
        <v>1500</v>
      </c>
      <c r="C223" s="617"/>
      <c r="D223" s="466">
        <v>5100</v>
      </c>
      <c r="E223" s="617"/>
      <c r="F223" s="617"/>
      <c r="G223" s="617"/>
      <c r="H223" s="617"/>
      <c r="I223" s="617"/>
      <c r="J223" s="617"/>
      <c r="K223" s="1692">
        <f t="shared" si="19"/>
        <v>5100</v>
      </c>
      <c r="L223" s="466">
        <v>4632</v>
      </c>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v>474</v>
      </c>
      <c r="E226" s="617"/>
      <c r="F226" s="617"/>
      <c r="G226" s="617"/>
      <c r="H226" s="617"/>
      <c r="I226" s="617"/>
      <c r="J226" s="617"/>
      <c r="K226" s="1692">
        <f t="shared" si="19"/>
        <v>474</v>
      </c>
      <c r="L226" s="466">
        <v>508</v>
      </c>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76016</v>
      </c>
      <c r="E229" s="617"/>
      <c r="F229" s="617"/>
      <c r="G229" s="617"/>
      <c r="H229" s="617"/>
      <c r="I229" s="617"/>
      <c r="J229" s="617"/>
      <c r="K229" s="1691">
        <f>SUM(K215:K228)</f>
        <v>76016</v>
      </c>
      <c r="L229" s="1691">
        <f>SUM(L215:L228)</f>
        <v>65940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row>
    <row r="233" spans="1:12" x14ac:dyDescent="0.2">
      <c r="A233" s="1526" t="s">
        <v>1151</v>
      </c>
      <c r="B233" s="615">
        <v>2120</v>
      </c>
      <c r="C233" s="617"/>
      <c r="D233" s="466">
        <v>830</v>
      </c>
      <c r="E233" s="617"/>
      <c r="F233" s="617"/>
      <c r="G233" s="617"/>
      <c r="H233" s="617"/>
      <c r="I233" s="617"/>
      <c r="J233" s="617"/>
      <c r="K233" s="1692">
        <f t="shared" si="20"/>
        <v>830</v>
      </c>
      <c r="L233" s="466">
        <v>1019</v>
      </c>
    </row>
    <row r="234" spans="1:12" x14ac:dyDescent="0.2">
      <c r="A234" s="1526" t="s">
        <v>207</v>
      </c>
      <c r="B234" s="615">
        <v>2130</v>
      </c>
      <c r="C234" s="617"/>
      <c r="D234" s="466">
        <v>748</v>
      </c>
      <c r="E234" s="617"/>
      <c r="F234" s="617"/>
      <c r="G234" s="617"/>
      <c r="H234" s="617"/>
      <c r="I234" s="617"/>
      <c r="J234" s="617"/>
      <c r="K234" s="1692">
        <f t="shared" si="20"/>
        <v>748</v>
      </c>
      <c r="L234" s="466">
        <v>879</v>
      </c>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1578</v>
      </c>
      <c r="E238" s="617"/>
      <c r="F238" s="617"/>
      <c r="G238" s="617"/>
      <c r="H238" s="617"/>
      <c r="I238" s="617"/>
      <c r="J238" s="617"/>
      <c r="K238" s="1691">
        <f>SUM(K232:K237)</f>
        <v>1578</v>
      </c>
      <c r="L238" s="1691">
        <f>SUM(L232:L237)</f>
        <v>1898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32</v>
      </c>
      <c r="E240" s="617"/>
      <c r="F240" s="617"/>
      <c r="G240" s="617"/>
      <c r="H240" s="617"/>
      <c r="I240" s="617"/>
      <c r="J240" s="617"/>
      <c r="K240" s="1693">
        <f>D240</f>
        <v>32</v>
      </c>
      <c r="L240" s="481"/>
    </row>
    <row r="241" spans="1:12" x14ac:dyDescent="0.2">
      <c r="A241" s="1526" t="s">
        <v>869</v>
      </c>
      <c r="B241" s="615">
        <v>2220</v>
      </c>
      <c r="C241" s="617"/>
      <c r="D241" s="466"/>
      <c r="E241" s="617"/>
      <c r="F241" s="617"/>
      <c r="G241" s="617"/>
      <c r="H241" s="617"/>
      <c r="I241" s="617"/>
      <c r="J241" s="617"/>
      <c r="K241" s="1693">
        <f>D241</f>
        <v>0</v>
      </c>
      <c r="L241" s="466"/>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32</v>
      </c>
      <c r="E243" s="617"/>
      <c r="F243" s="617"/>
      <c r="G243" s="617"/>
      <c r="H243" s="617"/>
      <c r="I243" s="617"/>
      <c r="J243" s="617"/>
      <c r="K243" s="1691">
        <f>SUM(K240:K242)</f>
        <v>32</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107</v>
      </c>
      <c r="E245" s="617"/>
      <c r="F245" s="617"/>
      <c r="G245" s="617"/>
      <c r="H245" s="617"/>
      <c r="I245" s="617"/>
      <c r="J245" s="617"/>
      <c r="K245" s="1693">
        <f>D245</f>
        <v>107</v>
      </c>
      <c r="L245" s="481">
        <v>107</v>
      </c>
    </row>
    <row r="246" spans="1:12" x14ac:dyDescent="0.2">
      <c r="A246" s="1526" t="s">
        <v>872</v>
      </c>
      <c r="B246" s="615">
        <v>2320</v>
      </c>
      <c r="C246" s="617"/>
      <c r="D246" s="466">
        <v>1438</v>
      </c>
      <c r="E246" s="617"/>
      <c r="F246" s="617"/>
      <c r="G246" s="617"/>
      <c r="H246" s="617"/>
      <c r="I246" s="617"/>
      <c r="J246" s="617"/>
      <c r="K246" s="1693">
        <f t="shared" ref="K246:K256" si="21">D246</f>
        <v>1438</v>
      </c>
      <c r="L246" s="466">
        <v>1815</v>
      </c>
    </row>
    <row r="247" spans="1:12" x14ac:dyDescent="0.2">
      <c r="A247" s="1526" t="s">
        <v>873</v>
      </c>
      <c r="B247" s="615">
        <v>2330</v>
      </c>
      <c r="C247" s="617"/>
      <c r="D247" s="466"/>
      <c r="E247" s="617"/>
      <c r="F247" s="617"/>
      <c r="G247" s="617"/>
      <c r="H247" s="617"/>
      <c r="I247" s="617"/>
      <c r="J247" s="617"/>
      <c r="K247" s="1693">
        <f t="shared" si="21"/>
        <v>0</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1908</v>
      </c>
      <c r="B249" s="684" t="s">
        <v>300</v>
      </c>
      <c r="C249" s="617"/>
      <c r="D249" s="474"/>
      <c r="E249" s="617"/>
      <c r="F249" s="617"/>
      <c r="G249" s="617"/>
      <c r="H249" s="617"/>
      <c r="I249" s="617"/>
      <c r="J249" s="617"/>
      <c r="K249" s="1693">
        <f t="shared" si="21"/>
        <v>0</v>
      </c>
      <c r="L249" s="466"/>
    </row>
    <row r="250" spans="1:12" x14ac:dyDescent="0.2">
      <c r="A250" s="1527" t="s">
        <v>1909</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1545</v>
      </c>
      <c r="E257" s="617"/>
      <c r="F257" s="617"/>
      <c r="G257" s="617"/>
      <c r="H257" s="617"/>
      <c r="I257" s="617"/>
      <c r="J257" s="617"/>
      <c r="K257" s="1691">
        <f>SUM(K245:K256)</f>
        <v>1545</v>
      </c>
      <c r="L257" s="1691">
        <f>SUM(L245:L256)</f>
        <v>1922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14945</v>
      </c>
      <c r="E259" s="617"/>
      <c r="F259" s="617"/>
      <c r="G259" s="617"/>
      <c r="H259" s="617"/>
      <c r="I259" s="617"/>
      <c r="J259" s="617"/>
      <c r="K259" s="1693">
        <f>D259</f>
        <v>14945</v>
      </c>
      <c r="L259" s="481">
        <v>15659</v>
      </c>
    </row>
    <row r="260" spans="1:14" s="598" customFormat="1" x14ac:dyDescent="0.2">
      <c r="A260" s="1544"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14945</v>
      </c>
      <c r="E261" s="617"/>
      <c r="F261" s="617"/>
      <c r="G261" s="617"/>
      <c r="H261" s="617"/>
      <c r="I261" s="617"/>
      <c r="J261" s="617"/>
      <c r="K261" s="1691">
        <f>SUM(K259:K260)</f>
        <v>14945</v>
      </c>
      <c r="L261" s="1691">
        <f>SUM(L259:L260)</f>
        <v>15659</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row>
    <row r="264" spans="1:14" x14ac:dyDescent="0.2">
      <c r="A264" s="1526" t="s">
        <v>483</v>
      </c>
      <c r="B264" s="686">
        <v>2520</v>
      </c>
      <c r="C264" s="617"/>
      <c r="D264" s="466">
        <v>9599</v>
      </c>
      <c r="E264" s="617"/>
      <c r="F264" s="617"/>
      <c r="G264" s="617"/>
      <c r="H264" s="617"/>
      <c r="I264" s="617"/>
      <c r="J264" s="617"/>
      <c r="K264" s="1693">
        <f t="shared" ref="K264:K269" si="22">D264</f>
        <v>9599</v>
      </c>
      <c r="L264" s="466">
        <v>9911</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30048</v>
      </c>
      <c r="E266" s="617"/>
      <c r="F266" s="617"/>
      <c r="G266" s="617"/>
      <c r="H266" s="617"/>
      <c r="I266" s="617"/>
      <c r="J266" s="617"/>
      <c r="K266" s="1693">
        <f t="shared" si="22"/>
        <v>30048</v>
      </c>
      <c r="L266" s="466">
        <v>32124</v>
      </c>
    </row>
    <row r="267" spans="1:14" x14ac:dyDescent="0.2">
      <c r="A267" s="1526" t="s">
        <v>1010</v>
      </c>
      <c r="B267" s="615">
        <v>2550</v>
      </c>
      <c r="C267" s="617"/>
      <c r="D267" s="466">
        <v>69</v>
      </c>
      <c r="E267" s="617"/>
      <c r="F267" s="617"/>
      <c r="G267" s="617"/>
      <c r="H267" s="617"/>
      <c r="I267" s="617"/>
      <c r="J267" s="617"/>
      <c r="K267" s="1693">
        <f t="shared" si="22"/>
        <v>69</v>
      </c>
      <c r="L267" s="466">
        <v>73</v>
      </c>
    </row>
    <row r="268" spans="1:14" x14ac:dyDescent="0.2">
      <c r="A268" s="1526" t="s">
        <v>102</v>
      </c>
      <c r="B268" s="615">
        <v>2560</v>
      </c>
      <c r="C268" s="617"/>
      <c r="D268" s="466">
        <v>4388</v>
      </c>
      <c r="E268" s="617"/>
      <c r="F268" s="617"/>
      <c r="G268" s="617"/>
      <c r="H268" s="617"/>
      <c r="I268" s="617"/>
      <c r="J268" s="617"/>
      <c r="K268" s="1693">
        <f t="shared" si="22"/>
        <v>4388</v>
      </c>
      <c r="L268" s="466">
        <v>4450</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44104</v>
      </c>
      <c r="E270" s="617"/>
      <c r="F270" s="617"/>
      <c r="G270" s="617"/>
      <c r="H270" s="617"/>
      <c r="I270" s="617"/>
      <c r="J270" s="617"/>
      <c r="K270" s="1691">
        <f>SUM(K263:K269)</f>
        <v>44104</v>
      </c>
      <c r="L270" s="1691">
        <f>SUM(L263:L269)</f>
        <v>46558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v>793</v>
      </c>
      <c r="E274" s="617"/>
      <c r="F274" s="617"/>
      <c r="G274" s="617"/>
      <c r="H274" s="617"/>
      <c r="I274" s="617"/>
      <c r="J274" s="617"/>
      <c r="K274" s="1693">
        <f>D274</f>
        <v>793</v>
      </c>
      <c r="L274" s="466">
        <v>174</v>
      </c>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793</v>
      </c>
      <c r="E277" s="617"/>
      <c r="F277" s="617"/>
      <c r="G277" s="617"/>
      <c r="H277" s="617"/>
      <c r="I277" s="617"/>
      <c r="J277" s="617"/>
      <c r="K277" s="1691">
        <f>SUM(K272:K276)</f>
        <v>793</v>
      </c>
      <c r="L277" s="1691">
        <f>SUM(L272:L276)</f>
        <v>174</v>
      </c>
    </row>
    <row r="278" spans="1:12" ht="13.5" customHeight="1" thickTop="1" x14ac:dyDescent="0.2">
      <c r="A278" s="1532"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62997</v>
      </c>
      <c r="E279" s="617"/>
      <c r="F279" s="617"/>
      <c r="G279" s="617"/>
      <c r="H279" s="617"/>
      <c r="I279" s="617"/>
      <c r="J279" s="617"/>
      <c r="K279" s="1698">
        <f>SUM(K238,K243,K257,K261,K270,K277,K278)</f>
        <v>62997</v>
      </c>
      <c r="L279" s="1698">
        <f>SUM(L238,L243,L257,L261,L270,L277,L278)</f>
        <v>66211</v>
      </c>
    </row>
    <row r="280" spans="1:12" ht="15.75" customHeight="1" thickTop="1" thickBot="1" x14ac:dyDescent="0.25">
      <c r="A280" s="1646" t="s">
        <v>930</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1">
        <f>SUM(D229,D279,D280,D285)</f>
        <v>139013</v>
      </c>
      <c r="E295" s="617"/>
      <c r="F295" s="617"/>
      <c r="G295" s="617"/>
      <c r="H295" s="1691">
        <f>H293</f>
        <v>0</v>
      </c>
      <c r="I295" s="617"/>
      <c r="J295" s="617"/>
      <c r="K295" s="1691">
        <f>SUM(K229,K279,K280,K285,K293,K294)</f>
        <v>139013</v>
      </c>
      <c r="L295" s="1691">
        <f>SUM(L229,L279,L280,L285,L293,L294)</f>
        <v>132151</v>
      </c>
    </row>
    <row r="296" spans="1:14" ht="13.5" thickTop="1" x14ac:dyDescent="0.2">
      <c r="A296" s="2198" t="s">
        <v>1053</v>
      </c>
      <c r="B296" s="2199"/>
      <c r="C296" s="617"/>
      <c r="D296" s="619"/>
      <c r="E296" s="617"/>
      <c r="F296" s="617"/>
      <c r="G296" s="617"/>
      <c r="H296" s="688"/>
      <c r="I296" s="617"/>
      <c r="J296" s="617"/>
      <c r="K296" s="1705">
        <f>'Revenues 9-14'!G275-'Expenditures 15-22'!K295</f>
        <v>-5661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7838</v>
      </c>
      <c r="F301" s="466">
        <v>9064</v>
      </c>
      <c r="G301" s="466"/>
      <c r="H301" s="466"/>
      <c r="I301" s="467"/>
      <c r="J301" s="467"/>
      <c r="K301" s="1692">
        <f>SUM(C301:J301)</f>
        <v>16902</v>
      </c>
      <c r="L301" s="467">
        <v>21500</v>
      </c>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7838</v>
      </c>
      <c r="F303" s="1698">
        <f t="shared" si="23"/>
        <v>9064</v>
      </c>
      <c r="G303" s="1698">
        <f t="shared" si="23"/>
        <v>0</v>
      </c>
      <c r="H303" s="1698">
        <f t="shared" si="23"/>
        <v>0</v>
      </c>
      <c r="I303" s="1698">
        <f t="shared" si="23"/>
        <v>0</v>
      </c>
      <c r="J303" s="1698">
        <f t="shared" si="23"/>
        <v>0</v>
      </c>
      <c r="K303" s="1698">
        <f t="shared" si="23"/>
        <v>16902</v>
      </c>
      <c r="L303" s="1698">
        <f t="shared" si="23"/>
        <v>21500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1">
        <f>SUM(C303)</f>
        <v>0</v>
      </c>
      <c r="D312" s="1691">
        <f>SUM(D303)</f>
        <v>0</v>
      </c>
      <c r="E312" s="1691">
        <f>SUM(E303,E310)</f>
        <v>7838</v>
      </c>
      <c r="F312" s="1691">
        <f>SUM(F303)</f>
        <v>9064</v>
      </c>
      <c r="G312" s="1691">
        <f>SUM(G303)</f>
        <v>0</v>
      </c>
      <c r="H312" s="1691">
        <f>SUM(H303,H310)</f>
        <v>0</v>
      </c>
      <c r="I312" s="1691">
        <f>SUM(I303)</f>
        <v>0</v>
      </c>
      <c r="J312" s="1691">
        <f>SUM(J303)</f>
        <v>0</v>
      </c>
      <c r="K312" s="1691">
        <f>SUM(K303,K310,K311)</f>
        <v>16902</v>
      </c>
      <c r="L312" s="1691">
        <f>SUM(L303,L310,L311)</f>
        <v>21500</v>
      </c>
      <c r="M312" s="666"/>
      <c r="N312" s="666"/>
    </row>
    <row r="313" spans="1:14" ht="13.5" thickTop="1" x14ac:dyDescent="0.2">
      <c r="A313" s="2182" t="s">
        <v>1053</v>
      </c>
      <c r="B313" s="2183"/>
      <c r="C313" s="627"/>
      <c r="D313" s="627"/>
      <c r="E313" s="627"/>
      <c r="F313" s="627"/>
      <c r="G313" s="627"/>
      <c r="H313" s="627"/>
      <c r="I313" s="627"/>
      <c r="J313" s="627"/>
      <c r="K313" s="1706">
        <f>'Revenues 9-14'!H275-'Expenditures 15-22'!K312</f>
        <v>-15627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1908</v>
      </c>
      <c r="B320" s="699" t="s">
        <v>300</v>
      </c>
      <c r="C320" s="467"/>
      <c r="D320" s="467"/>
      <c r="E320" s="467">
        <v>13927</v>
      </c>
      <c r="F320" s="467"/>
      <c r="G320" s="467"/>
      <c r="H320" s="467"/>
      <c r="I320" s="467"/>
      <c r="J320" s="467"/>
      <c r="K320" s="1692">
        <f t="shared" ref="K320:K327" si="24">SUM(C320:J320)</f>
        <v>13927</v>
      </c>
      <c r="L320" s="467">
        <v>85390</v>
      </c>
      <c r="M320" s="666"/>
      <c r="N320" s="666"/>
    </row>
    <row r="321" spans="1:14" s="675" customFormat="1" x14ac:dyDescent="0.2">
      <c r="A321" s="1541"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1" t="s">
        <v>256</v>
      </c>
      <c r="B322" s="698" t="s">
        <v>302</v>
      </c>
      <c r="C322" s="467"/>
      <c r="D322" s="467"/>
      <c r="E322" s="467">
        <v>63728</v>
      </c>
      <c r="F322" s="467"/>
      <c r="G322" s="467"/>
      <c r="H322" s="467"/>
      <c r="I322" s="467"/>
      <c r="J322" s="467"/>
      <c r="K322" s="1692">
        <f t="shared" si="24"/>
        <v>63728</v>
      </c>
      <c r="L322" s="467"/>
      <c r="M322" s="666"/>
      <c r="N322" s="666"/>
    </row>
    <row r="323" spans="1:14" s="675" customFormat="1" x14ac:dyDescent="0.2">
      <c r="A323" s="1541" t="s">
        <v>726</v>
      </c>
      <c r="B323" s="698" t="s">
        <v>303</v>
      </c>
      <c r="C323" s="467"/>
      <c r="D323" s="467"/>
      <c r="E323" s="467">
        <v>7876</v>
      </c>
      <c r="F323" s="467"/>
      <c r="G323" s="467"/>
      <c r="H323" s="467"/>
      <c r="I323" s="467"/>
      <c r="J323" s="467"/>
      <c r="K323" s="1692">
        <f t="shared" si="24"/>
        <v>7876</v>
      </c>
      <c r="L323" s="467"/>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85531</v>
      </c>
      <c r="F330" s="1691">
        <f t="shared" si="25"/>
        <v>0</v>
      </c>
      <c r="G330" s="1691">
        <f t="shared" si="25"/>
        <v>0</v>
      </c>
      <c r="H330" s="1691">
        <f t="shared" si="25"/>
        <v>0</v>
      </c>
      <c r="I330" s="1691">
        <f t="shared" si="25"/>
        <v>0</v>
      </c>
      <c r="J330" s="1691">
        <f t="shared" si="25"/>
        <v>0</v>
      </c>
      <c r="K330" s="1691">
        <f>SUM(K319:K329)</f>
        <v>85531</v>
      </c>
      <c r="L330" s="1691">
        <f>SUM(L319:L329)</f>
        <v>85390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85531</v>
      </c>
      <c r="F342" s="1691">
        <f>SUM(F330)</f>
        <v>0</v>
      </c>
      <c r="G342" s="1691">
        <f>SUM(G330)</f>
        <v>0</v>
      </c>
      <c r="H342" s="1691">
        <f>SUM(H330,H334,H340)</f>
        <v>0</v>
      </c>
      <c r="I342" s="1691">
        <f>SUM(I330)</f>
        <v>0</v>
      </c>
      <c r="J342" s="1691">
        <f>SUM(J330)</f>
        <v>0</v>
      </c>
      <c r="K342" s="1691">
        <f>SUM(K330,K334,K340)</f>
        <v>85531</v>
      </c>
      <c r="L342" s="1698">
        <f>SUM(L330,L340,L341)</f>
        <v>85390</v>
      </c>
    </row>
    <row r="343" spans="1:14" ht="12.75" customHeight="1" thickTop="1" x14ac:dyDescent="0.2">
      <c r="A343" s="2184" t="s">
        <v>1053</v>
      </c>
      <c r="B343" s="2185"/>
      <c r="C343" s="617"/>
      <c r="D343" s="617"/>
      <c r="E343" s="617"/>
      <c r="F343" s="617"/>
      <c r="G343" s="617"/>
      <c r="H343" s="617"/>
      <c r="I343" s="617"/>
      <c r="J343" s="617"/>
      <c r="K343" s="1705">
        <f>'Revenues 9-14'!J275-'Expenditures 15-22'!K342</f>
        <v>-16829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2">
        <f>SUM(C348:J348)</f>
        <v>0</v>
      </c>
      <c r="L348" s="466"/>
    </row>
    <row r="349" spans="1:14" x14ac:dyDescent="0.2">
      <c r="A349" s="1526" t="s">
        <v>206</v>
      </c>
      <c r="B349" s="615">
        <v>2540</v>
      </c>
      <c r="C349" s="466"/>
      <c r="D349" s="466"/>
      <c r="E349" s="466">
        <v>7983</v>
      </c>
      <c r="F349" s="466"/>
      <c r="G349" s="466"/>
      <c r="H349" s="466"/>
      <c r="I349" s="467"/>
      <c r="J349" s="467"/>
      <c r="K349" s="1692">
        <f>SUM(C349:J349)</f>
        <v>7983</v>
      </c>
      <c r="L349" s="466">
        <v>8000</v>
      </c>
    </row>
    <row r="350" spans="1:14" ht="12.75" customHeight="1" thickBot="1" x14ac:dyDescent="0.25">
      <c r="A350" s="1689" t="s">
        <v>743</v>
      </c>
      <c r="B350" s="1690" t="s">
        <v>35</v>
      </c>
      <c r="C350" s="1691">
        <f>SUM(C348:C349)</f>
        <v>0</v>
      </c>
      <c r="D350" s="1691">
        <f t="shared" ref="D350:L350" si="26">SUM(D348:D349)</f>
        <v>0</v>
      </c>
      <c r="E350" s="1691">
        <f t="shared" si="26"/>
        <v>7983</v>
      </c>
      <c r="F350" s="1691">
        <f t="shared" si="26"/>
        <v>0</v>
      </c>
      <c r="G350" s="1691">
        <f t="shared" si="26"/>
        <v>0</v>
      </c>
      <c r="H350" s="1691">
        <f t="shared" si="26"/>
        <v>0</v>
      </c>
      <c r="I350" s="1691">
        <f t="shared" si="26"/>
        <v>0</v>
      </c>
      <c r="J350" s="1691">
        <f t="shared" si="26"/>
        <v>0</v>
      </c>
      <c r="K350" s="1691">
        <f t="shared" si="26"/>
        <v>7983</v>
      </c>
      <c r="L350" s="1691">
        <f t="shared" si="26"/>
        <v>8000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7983</v>
      </c>
      <c r="F352" s="1691">
        <f t="shared" si="27"/>
        <v>0</v>
      </c>
      <c r="G352" s="1691">
        <f t="shared" si="27"/>
        <v>0</v>
      </c>
      <c r="H352" s="1691">
        <f t="shared" si="27"/>
        <v>0</v>
      </c>
      <c r="I352" s="1691">
        <f t="shared" si="27"/>
        <v>0</v>
      </c>
      <c r="J352" s="1691">
        <f t="shared" si="27"/>
        <v>0</v>
      </c>
      <c r="K352" s="1691">
        <f t="shared" si="27"/>
        <v>7983</v>
      </c>
      <c r="L352" s="1691">
        <f t="shared" si="27"/>
        <v>8000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5"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7983</v>
      </c>
      <c r="F367" s="1691">
        <f t="shared" si="28"/>
        <v>0</v>
      </c>
      <c r="G367" s="1691">
        <f t="shared" si="28"/>
        <v>0</v>
      </c>
      <c r="H367" s="1691">
        <f t="shared" si="28"/>
        <v>0</v>
      </c>
      <c r="I367" s="1691">
        <f t="shared" si="28"/>
        <v>0</v>
      </c>
      <c r="J367" s="1691">
        <f t="shared" si="28"/>
        <v>0</v>
      </c>
      <c r="K367" s="1691">
        <f t="shared" si="28"/>
        <v>7983</v>
      </c>
      <c r="L367" s="1691">
        <f t="shared" si="28"/>
        <v>8000</v>
      </c>
    </row>
    <row r="368" spans="1:14" ht="13.5" thickTop="1" x14ac:dyDescent="0.2">
      <c r="A368" s="2198" t="s">
        <v>1053</v>
      </c>
      <c r="B368" s="2199"/>
      <c r="C368" s="655"/>
      <c r="D368" s="655"/>
      <c r="E368" s="627"/>
      <c r="F368" s="627"/>
      <c r="G368" s="627"/>
      <c r="H368" s="627"/>
      <c r="I368" s="627"/>
      <c r="J368" s="624"/>
      <c r="K368" s="1692">
        <f>'Revenues 9-14'!K275-'Expenditures 15-22'!K367</f>
        <v>-2379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36" right="0.2" top="0.61" bottom="0.32"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
See accompanying notes.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9914F8B6-F742-48D8-9F13-1076A7DC5E6F}">
  <ds:schemaRefs>
    <ds:schemaRef ds:uri="http://purl.org/dc/elements/1.1/"/>
    <ds:schemaRef ds:uri="http://schemas.microsoft.com/office/2006/documentManagement/types"/>
    <ds:schemaRef ds:uri="http://purl.org/dc/dcmitype/"/>
    <ds:schemaRef ds:uri="http://schemas.microsoft.com/office/2006/metadata/properties"/>
    <ds:schemaRef ds:uri="http://schemas.microsoft.com/office/infopath/2007/PartnerControls"/>
    <ds:schemaRef ds:uri="http://www.w3.org/XML/1998/namespace"/>
    <ds:schemaRef ds:uri="4d435f69-8686-490b-bd6d-b153bf22ab50"/>
    <ds:schemaRef ds:uri="http://schemas.openxmlformats.org/package/2006/metadata/core-properties"/>
    <ds:schemaRef ds:uri="http://purl.org/dc/terms/"/>
    <ds:schemaRef ds:uri="d21dc803-237d-4c68-8692-8d731fd29118"/>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2018-09-30T22:28:09Z</cp:lastPrinted>
  <dcterms:created xsi:type="dcterms:W3CDTF">2003-10-29T19:06:34Z</dcterms:created>
  <dcterms:modified xsi:type="dcterms:W3CDTF">2018-10-09T18:16:35Z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