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J85" i="28"/>
  <c r="B7758" i="106" s="1"/>
  <c r="D7758" i="106" s="1"/>
  <c r="J88" i="28"/>
  <c r="K6" i="29"/>
  <c r="B7763" i="106" s="1"/>
  <c r="B7762" i="106"/>
  <c r="D7762" i="106" s="1"/>
  <c r="K12" i="12"/>
  <c r="B7719" i="106" s="1"/>
  <c r="D7719" i="106" s="1"/>
  <c r="K23" i="12"/>
  <c r="J12" i="12"/>
  <c r="J21" i="12"/>
  <c r="J23" i="12" s="1"/>
  <c r="B7729" i="106"/>
  <c r="D7729" i="106" s="1"/>
  <c r="B7734" i="106"/>
  <c r="B7726" i="106"/>
  <c r="D7726" i="106" s="1"/>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D14" i="4" s="1"/>
  <c r="B2570" i="106" s="1"/>
  <c r="D2570" i="106" s="1"/>
  <c r="K185" i="29"/>
  <c r="B2836" i="106" s="1"/>
  <c r="D2836" i="106" s="1"/>
  <c r="K122" i="29"/>
  <c r="F15" i="145" s="1"/>
  <c r="F19" i="145" s="1"/>
  <c r="K67" i="29"/>
  <c r="K64" i="29"/>
  <c r="F31" i="108" s="1"/>
  <c r="K59" i="29"/>
  <c r="E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K83" i="29"/>
  <c r="K93" i="29"/>
  <c r="B6997" i="106" s="1"/>
  <c r="D6997" i="106" s="1"/>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E26" i="108"/>
  <c r="G26" i="108"/>
  <c r="E27" i="108"/>
  <c r="G27" i="108"/>
  <c r="F37" i="108"/>
  <c r="G28"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7041" i="106"/>
  <c r="D7041" i="106" s="1"/>
  <c r="G14" i="4"/>
  <c r="B2609" i="106" s="1"/>
  <c r="D2609" i="106" s="1"/>
  <c r="C14" i="4"/>
  <c r="B2558" i="106" s="1"/>
  <c r="D2558" i="106" s="1"/>
  <c r="B2633" i="106"/>
  <c r="D2633" i="106" s="1"/>
  <c r="D7" i="118"/>
  <c r="D8" i="118"/>
  <c r="D9" i="118"/>
  <c r="H14" i="118"/>
  <c r="H19" i="118"/>
  <c r="H24" i="118"/>
  <c r="H28" i="118"/>
  <c r="H29" i="118"/>
  <c r="D22" i="37"/>
  <c r="J22" i="37"/>
  <c r="L22" i="37"/>
  <c r="L5" i="11"/>
  <c r="B2056" i="106" s="1"/>
  <c r="D2056" i="106" s="1"/>
  <c r="D9" i="7"/>
  <c r="B1767" i="106" s="1"/>
  <c r="D1767" i="106" s="1"/>
  <c r="B5847" i="106"/>
  <c r="D5847" i="106" s="1"/>
  <c r="D7" i="7"/>
  <c r="B1763" i="106" s="1"/>
  <c r="D1763" i="106" s="1"/>
  <c r="D11" i="7"/>
  <c r="B1768" i="106" s="1"/>
  <c r="D1768" i="106" s="1"/>
  <c r="D15" i="7"/>
  <c r="B1772" i="106" s="1"/>
  <c r="D1772" i="106" s="1"/>
  <c r="B7235" i="106" l="1"/>
  <c r="D7235" i="106" s="1"/>
  <c r="I274" i="5"/>
  <c r="L15" i="11"/>
  <c r="B3459" i="106" s="1"/>
  <c r="D3459" i="106" s="1"/>
  <c r="G210" i="29"/>
  <c r="K350" i="29"/>
  <c r="F77" i="4"/>
  <c r="B3255" i="106" s="1"/>
  <c r="D3255" i="106" s="1"/>
  <c r="H173" i="5"/>
  <c r="B5906" i="106" s="1"/>
  <c r="D5906" i="106" s="1"/>
  <c r="D13" i="7"/>
  <c r="B3726" i="106" s="1"/>
  <c r="D3726" i="106" s="1"/>
  <c r="D5" i="4"/>
  <c r="B3406" i="106" s="1"/>
  <c r="D3406" i="106" s="1"/>
  <c r="F44" i="34"/>
  <c r="D27" i="108"/>
  <c r="K76" i="4"/>
  <c r="B3586" i="106" s="1"/>
  <c r="D3586" i="106" s="1"/>
  <c r="H76" i="4"/>
  <c r="B3298" i="106" s="1"/>
  <c r="D3298" i="106" s="1"/>
  <c r="B2805" i="106"/>
  <c r="D2805" i="106" s="1"/>
  <c r="G15" i="145"/>
  <c r="F130" i="34"/>
  <c r="F106" i="34"/>
  <c r="F56" i="34"/>
  <c r="F50" i="34"/>
  <c r="I210" i="29"/>
  <c r="B7071" i="106" s="1"/>
  <c r="D7071" i="106" s="1"/>
  <c r="J41" i="3"/>
  <c r="B3254" i="106"/>
  <c r="D3254" i="106" s="1"/>
  <c r="B1223" i="106"/>
  <c r="D1223" i="106" s="1"/>
  <c r="B1124" i="106"/>
  <c r="D1124" i="106" s="1"/>
  <c r="B6853" i="106"/>
  <c r="D6853" i="106" s="1"/>
  <c r="F35" i="34"/>
  <c r="D12" i="7"/>
  <c r="B1769" i="106" s="1"/>
  <c r="D1769" i="106" s="1"/>
  <c r="B4442" i="106"/>
  <c r="D4442" i="106" s="1"/>
  <c r="K274" i="5"/>
  <c r="E109" i="5"/>
  <c r="E4" i="4" s="1"/>
  <c r="B2630" i="106" s="1"/>
  <c r="D2630" i="106" s="1"/>
  <c r="F41" i="34"/>
  <c r="B1470" i="106"/>
  <c r="D1470" i="106" s="1"/>
  <c r="F70" i="34"/>
  <c r="F111" i="34"/>
  <c r="D4" i="7"/>
  <c r="B1760" i="106" s="1"/>
  <c r="D1760" i="106" s="1"/>
  <c r="B5161" i="106"/>
  <c r="D5161" i="106" s="1"/>
  <c r="F45" i="34"/>
  <c r="F34" i="34"/>
  <c r="C342" i="29"/>
  <c r="B7216" i="106" s="1"/>
  <c r="D7216" i="106" s="1"/>
  <c r="B7064" i="106"/>
  <c r="D7064" i="106" s="1"/>
  <c r="J210" i="29"/>
  <c r="B7072" i="106" s="1"/>
  <c r="D7072" i="106" s="1"/>
  <c r="B6897" i="106"/>
  <c r="D6897" i="106" s="1"/>
  <c r="F49" i="34"/>
  <c r="G352" i="29"/>
  <c r="B3647" i="106"/>
  <c r="D3647" i="106" s="1"/>
  <c r="F127" i="34"/>
  <c r="B5513" i="106"/>
  <c r="D5513" i="106" s="1"/>
  <c r="L312" i="29"/>
  <c r="D7245" i="106"/>
  <c r="J77" i="4"/>
  <c r="B6262" i="106" s="1"/>
  <c r="D6262" i="106" s="1"/>
  <c r="B6079" i="106"/>
  <c r="D6079" i="106" s="1"/>
  <c r="D24" i="37"/>
  <c r="B4270" i="106" s="1"/>
  <c r="D4270" i="106" s="1"/>
  <c r="B1308" i="106"/>
  <c r="D1308" i="106" s="1"/>
  <c r="E174" i="29"/>
  <c r="B1309" i="106" s="1"/>
  <c r="D1309" i="106" s="1"/>
  <c r="B1053" i="106"/>
  <c r="D1053" i="106" s="1"/>
  <c r="H112" i="29"/>
  <c r="B7018" i="106" s="1"/>
  <c r="D7018" i="106" s="1"/>
  <c r="E13" i="145"/>
  <c r="G13" i="145" s="1"/>
  <c r="B2724" i="106"/>
  <c r="D2724" i="106" s="1"/>
  <c r="F136" i="34"/>
  <c r="K24" i="12"/>
  <c r="K28" i="118"/>
  <c r="O27" i="118" s="1"/>
  <c r="O29" i="118" s="1"/>
  <c r="F172" i="5"/>
  <c r="B5644" i="106" s="1"/>
  <c r="D5644" i="106" s="1"/>
  <c r="L342" i="29"/>
  <c r="D68" i="36"/>
  <c r="F128" i="34"/>
  <c r="L13" i="11"/>
  <c r="B2060" i="106" s="1"/>
  <c r="D2060" i="106" s="1"/>
  <c r="F64" i="34"/>
  <c r="E29" i="108"/>
  <c r="G29" i="108"/>
  <c r="K184" i="29"/>
  <c r="F13" i="4" s="1"/>
  <c r="B2596" i="106" s="1"/>
  <c r="D2596" i="106" s="1"/>
  <c r="F28" i="108"/>
  <c r="E28" i="108"/>
  <c r="E30" i="108"/>
  <c r="G30" i="108"/>
  <c r="C109" i="5"/>
  <c r="B5121" i="106" s="1"/>
  <c r="D5121" i="106" s="1"/>
  <c r="B5066" i="106"/>
  <c r="D5066" i="106" s="1"/>
  <c r="G109" i="5"/>
  <c r="B6024" i="106" s="1"/>
  <c r="D6024" i="106" s="1"/>
  <c r="B1746" i="106"/>
  <c r="D1746" i="106" s="1"/>
  <c r="D109" i="5"/>
  <c r="B5356" i="106" s="1"/>
  <c r="D5356" i="106" s="1"/>
  <c r="N22" i="3"/>
  <c r="B283" i="106" s="1"/>
  <c r="D283" i="106" s="1"/>
  <c r="D69" i="36"/>
  <c r="D54" i="36"/>
  <c r="D31" i="36"/>
  <c r="B4268" i="106"/>
  <c r="D4268" i="106" s="1"/>
  <c r="B3670" i="106"/>
  <c r="D3670" i="106" s="1"/>
  <c r="K352" i="29"/>
  <c r="K13" i="4" s="1"/>
  <c r="B3572" i="106" s="1"/>
  <c r="D3572" i="106" s="1"/>
  <c r="H109" i="5"/>
  <c r="F131" i="34"/>
  <c r="D26" i="108"/>
  <c r="B1126" i="106"/>
  <c r="D1126" i="106" s="1"/>
  <c r="C172" i="5"/>
  <c r="F14" i="4"/>
  <c r="B2597" i="106" s="1"/>
  <c r="D2597" i="106" s="1"/>
  <c r="K173" i="5"/>
  <c r="K6" i="4" s="1"/>
  <c r="B3570" i="106" s="1"/>
  <c r="D3570" i="106" s="1"/>
  <c r="G172" i="5"/>
  <c r="F66" i="34"/>
  <c r="F36" i="34"/>
  <c r="G39" i="108"/>
  <c r="D36" i="108"/>
  <c r="F36" i="108"/>
  <c r="K41" i="3"/>
  <c r="B1995" i="106"/>
  <c r="D1995" i="106" s="1"/>
  <c r="I24" i="12"/>
  <c r="F21" i="8"/>
  <c r="B3689" i="106"/>
  <c r="D3689" i="106" s="1"/>
  <c r="B3649" i="106"/>
  <c r="D3649" i="106" s="1"/>
  <c r="G367" i="29"/>
  <c r="B3650" i="106" s="1"/>
  <c r="D3650" i="106" s="1"/>
  <c r="G5" i="4"/>
  <c r="B3409" i="106" s="1"/>
  <c r="D3409" i="106" s="1"/>
  <c r="D5" i="7"/>
  <c r="B1761" i="106" s="1"/>
  <c r="D1761" i="106" s="1"/>
  <c r="B4395" i="106"/>
  <c r="D4395" i="106" s="1"/>
  <c r="D17" i="7"/>
  <c r="B4104" i="106" s="1"/>
  <c r="D4104" i="106" s="1"/>
  <c r="H33" i="118"/>
  <c r="J274" i="5"/>
  <c r="B7054" i="106" s="1"/>
  <c r="D7054" i="106" s="1"/>
  <c r="I173" i="5"/>
  <c r="B4216" i="106" s="1"/>
  <c r="D4216" i="106" s="1"/>
  <c r="B5096" i="106"/>
  <c r="D5096" i="106" s="1"/>
  <c r="L367" i="29"/>
  <c r="F19" i="7"/>
  <c r="B1807" i="106" s="1"/>
  <c r="D1807" i="106" s="1"/>
  <c r="G38" i="108"/>
  <c r="D31" i="108"/>
  <c r="F26" i="108"/>
  <c r="I342" i="29"/>
  <c r="B7222" i="106" s="1"/>
  <c r="D7222" i="106" s="1"/>
  <c r="B6995" i="106"/>
  <c r="D6995" i="106" s="1"/>
  <c r="B3658" i="106"/>
  <c r="D3658" i="106" s="1"/>
  <c r="H365" i="29"/>
  <c r="C352"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B1365" i="106" l="1"/>
  <c r="D1365" i="106" s="1"/>
  <c r="F65" i="34"/>
  <c r="D41" i="108"/>
  <c r="E43" i="108" s="1"/>
  <c r="B1328" i="106"/>
  <c r="D1328" i="106" s="1"/>
  <c r="D7255" i="106"/>
  <c r="D7253" i="106"/>
  <c r="B5527" i="106"/>
  <c r="D5527" i="106" s="1"/>
  <c r="I6" i="4"/>
  <c r="B5011" i="106" s="1"/>
  <c r="D5011" i="106" s="1"/>
  <c r="H6" i="4"/>
  <c r="B2656" i="106" s="1"/>
  <c r="D2656" i="106" s="1"/>
  <c r="L114" i="29"/>
  <c r="D7254" i="106"/>
  <c r="D7250" i="106"/>
  <c r="F274" i="5"/>
  <c r="F275" i="5" s="1"/>
  <c r="B7733" i="106"/>
  <c r="D7733" i="106" s="1"/>
  <c r="K26" i="12"/>
  <c r="B7743" i="106" s="1"/>
  <c r="D7743" i="106" s="1"/>
  <c r="K342" i="29"/>
  <c r="F13" i="34" s="1"/>
  <c r="B1381" i="106"/>
  <c r="D1381" i="106" s="1"/>
  <c r="B1317" i="106"/>
  <c r="D1317" i="106" s="1"/>
  <c r="F41" i="108"/>
  <c r="G43" i="108" s="1"/>
  <c r="G4" i="4"/>
  <c r="B2603" i="106" s="1"/>
  <c r="D2603" i="106" s="1"/>
  <c r="D4" i="4"/>
  <c r="B2564" i="106" s="1"/>
  <c r="D2564" i="106" s="1"/>
  <c r="D44" i="36"/>
  <c r="B6014" i="106"/>
  <c r="D6014" i="106" s="1"/>
  <c r="F73" i="34"/>
  <c r="G15" i="4"/>
  <c r="B6032" i="106" s="1"/>
  <c r="D6032" i="106" s="1"/>
  <c r="B1879" i="106"/>
  <c r="D1879" i="106" s="1"/>
  <c r="H22" i="37"/>
  <c r="B5214" i="106"/>
  <c r="D5214" i="106" s="1"/>
  <c r="C173" i="5"/>
  <c r="B6025" i="106"/>
  <c r="D6025" i="106" s="1"/>
  <c r="H4" i="4"/>
  <c r="D274" i="5"/>
  <c r="B3628" i="106"/>
  <c r="D3628" i="106" s="1"/>
  <c r="D7256" i="106"/>
  <c r="D7251" i="106"/>
  <c r="C114" i="29"/>
  <c r="B757" i="106" s="1"/>
  <c r="D757" i="106" s="1"/>
  <c r="B1996" i="106"/>
  <c r="D1996" i="106" s="1"/>
  <c r="I26" i="12"/>
  <c r="B7741" i="106" s="1"/>
  <c r="D7741" i="106" s="1"/>
  <c r="G173" i="5"/>
  <c r="B5770" i="106"/>
  <c r="D5770" i="106" s="1"/>
  <c r="B3621" i="106"/>
  <c r="D3621" i="106" s="1"/>
  <c r="C367" i="29"/>
  <c r="B3622" i="106" s="1"/>
  <c r="D3622" i="106" s="1"/>
  <c r="D19" i="7"/>
  <c r="B1775" i="106" s="1"/>
  <c r="D1775" i="106" s="1"/>
  <c r="H275" i="5"/>
  <c r="L16" i="11"/>
  <c r="B2061" i="106" s="1"/>
  <c r="D2061" i="106" s="1"/>
  <c r="H367" i="29"/>
  <c r="B3660" i="106" s="1"/>
  <c r="D3660" i="106" s="1"/>
  <c r="B7242" i="106"/>
  <c r="D7242"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8" i="4" l="1"/>
  <c r="J10" i="4" s="1"/>
  <c r="B6225" i="106" s="1"/>
  <c r="D6225" i="106" s="1"/>
  <c r="F8" i="4"/>
  <c r="F10" i="4" s="1"/>
  <c r="B4125" i="106" s="1"/>
  <c r="D4125" i="106" s="1"/>
  <c r="E41" i="108"/>
  <c r="E44" i="108" s="1"/>
  <c r="E45" i="108" s="1"/>
  <c r="J17" i="4"/>
  <c r="J19" i="4" s="1"/>
  <c r="B6229" i="106" s="1"/>
  <c r="D6229" i="106" s="1"/>
  <c r="B5223" i="106"/>
  <c r="D5223" i="106" s="1"/>
  <c r="C6" i="4"/>
  <c r="B2553" i="106" s="1"/>
  <c r="D2553" i="106" s="1"/>
  <c r="G41" i="108"/>
  <c r="G44" i="108" s="1"/>
  <c r="G45" i="108"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76" i="34" l="1"/>
  <c r="J20" i="4"/>
  <c r="B6230" i="106" s="1"/>
  <c r="D6230" i="106" s="1"/>
  <c r="B6227" i="106"/>
  <c r="D6227" i="106" s="1"/>
  <c r="D8" i="146"/>
  <c r="B6223" i="106"/>
  <c r="D6223"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<sst xmlns="http://schemas.openxmlformats.org/spreadsheetml/2006/main" count="5065" uniqueCount="2121">
  <si>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</si>
  <si>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</si>
  <si>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</si>
  <si>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</si>
  <si>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</si>
  <si>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</si>
  <si>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</si>
  <si>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</si>
  <si>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</si>
  <si>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</si>
  <si>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</si>
  <si>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</si>
  <si>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</si>
  <si>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</si>
  <si>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</si>
  <si>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</si>
  <si>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</si>
  <si>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</si>
  <si>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</si>
  <si>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</si>
  <si>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</si>
  <si>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</si>
  <si>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</si>
  <si>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</si>
  <si>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</si>
  <si>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</si>
  <si>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</si>
  <si>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</si>
  <si>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</si>
  <si>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</si>
  <si>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</si>
  <si>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</si>
  <si>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</si>
  <si>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</si>
  <si>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</si>
  <si>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</si>
  <si>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</si>
  <si>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</si>
  <si>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</si>
  <si>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</si>
  <si>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</si>
  <si>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</si>
  <si>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</si>
  <si>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</si>
  <si>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</si>
  <si>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</si>
  <si>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</si>
  <si>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</si>
  <si>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</si>
  <si>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</si>
  <si>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</si>
  <si>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</si>
  <si>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</si>
  <si>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</si>
  <si>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</si>
  <si>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</si>
  <si>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</si>
  <si>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</si>
  <si>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</si>
  <si>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</si>
  <si>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</si>
  <si>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</si>
  <si>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</si>
  <si>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</si>
  <si>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</si>
  <si>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</si>
  <si>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</si>
  <si>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</si>
  <si>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</si>
  <si>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</si>
  <si>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</si>
  <si>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</si>
  <si>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</si>
  <si>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</si>
  <si>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</si>
  <si>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</si>
  <si>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</si>
  <si>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</si>
  <si>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</si>
  <si>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</si>
  <si>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</si>
  <si>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</si>
  <si>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</si>
  <si>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</si>
  <si>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</si>
  <si>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</si>
  <si>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</si>
  <si>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</si>
  <si>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</si>
  <si>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</si>
  <si>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</si>
  <si>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</si>
  <si>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</si>
  <si>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</si>
  <si>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</si>
  <si>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</si>
  <si>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</si>
  <si>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</si>
  <si>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</si>
  <si>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</si>
  <si>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</si>
  <si>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</si>
  <si>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</si>
  <si>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</si>
  <si>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</si>
  <si>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</si>
  <si>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</si>
  <si>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</si>
  <si>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</si>
  <si>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</si>
  <si>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</si>
  <si>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</si>
  <si>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</si>
  <si>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</si>
  <si>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</si>
  <si>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</si>
  <si>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</si>
  <si>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</si>
  <si>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</si>
  <si>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</si>
  <si>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</si>
  <si>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</si>
  <si>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</si>
  <si>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</si>
  <si>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</si>
  <si>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</si>
  <si>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</si>
  <si>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</si>
  <si>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</si>
  <si>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</si>
  <si>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</si>
  <si>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</si>
  <si>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</si>
  <si>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</si>
  <si>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</si>
  <si>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</si>
  <si>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</si>
  <si>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</si>
  <si>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</si>
  <si>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</si>
  <si>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</si>
  <si>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</si>
  <si>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</si>
  <si>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</si>
  <si>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</si>
  <si>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</si>
  <si>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</si>
  <si>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</si>
  <si>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</si>
  <si>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</si>
  <si>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</si>
  <si>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</si>
  <si>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</si>
  <si>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</si>
  <si>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</si>
  <si>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</si>
  <si>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</si>
  <si>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</si>
  <si>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</si>
  <si>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</si>
  <si>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</si>
  <si>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</si>
  <si>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</si>
  <si>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</si>
  <si>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</si>
  <si>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</si>
  <si>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</si>
  <si>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</si>
  <si>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</si>
  <si>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</si>
  <si>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</si>
  <si>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</si>
  <si>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</si>
  <si>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</si>
  <si>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</si>
  <si>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</si>
  <si>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</si>
  <si>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</si>
  <si>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</si>
  <si>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</si>
  <si>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</si>
  <si>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</si>
  <si>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</si>
  <si>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</si>
  <si>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</si>
  <si>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</si>
  <si>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</si>
  <si>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</si>
  <si>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</si>
  <si>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</si>
  <si>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</si>
  <si>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</si>
  <si>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</si>
  <si>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</si>
  <si>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</si>
  <si>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</si>
  <si>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</si>
  <si>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</si>
  <si>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</si>
  <si>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</si>
  <si>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</si>
  <si>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</si>
  <si>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</si>
  <si>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</si>
  <si>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</si>
  <si>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</si>
  <si>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</si>
  <si>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</si>
  <si>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</si>
  <si>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</si>
  <si>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</si>
  <si>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</si>
  <si>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</si>
  <si>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</si>
  <si>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</si>
  <si>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</si>
  <si>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</si>
  <si>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</si>
  <si>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</si>
  <si>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</si>
  <si>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</si>
  <si>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</si>
  <si>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</si>
  <si>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</si>
  <si>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</si>
  <si>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</si>
  <si>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</si>
  <si>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</si>
  <si>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</si>
  <si>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</si>
  <si>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</si>
  <si>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</si>
  <si>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</si>
  <si>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</si>
  <si>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</si>
  <si>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</si>
  <si>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</si>
  <si>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</si>
  <si>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</si>
  <si>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</si>
  <si>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</si>
  <si>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</si>
  <si>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</si>
  <si>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</si>
  <si>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</si>
  <si>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</si>
  <si>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</si>
  <si>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</si>
  <si>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</si>
  <si>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</si>
  <si>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</si>
  <si>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</si>
  <si>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</si>
  <si>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</si>
  <si>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</si>
  <si>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</si>
  <si>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</si>
  <si>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</si>
  <si>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</si>
  <si>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</si>
  <si>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</si>
  <si>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</si>
  <si>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</si>
  <si>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</si>
  <si>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</si>
  <si>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</si>
  <si>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</si>
  <si>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</si>
  <si>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</si>
  <si>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</si>
  <si>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</si>
  <si>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</si>
  <si>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</si>
  <si>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</si>
  <si>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</si>
  <si>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</si>
  <si>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</si>
  <si>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</si>
  <si>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</si>
  <si>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</si>
  <si>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</si>
  <si>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</si>
  <si>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</si>
  <si>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</si>
  <si>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</si>
  <si>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</si>
  <si>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</si>
  <si>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</si>
  <si>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</si>
  <si>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</si>
  <si>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</si>
  <si>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</si>
  <si>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</si>
  <si>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</si>
  <si>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</si>
  <si>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</si>
  <si>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</si>
  <si>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</si>
  <si>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</si>
  <si>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</si>
  <si>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</si>
  <si>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</si>
  <si>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</si>
  <si>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</si>
  <si>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</si>
  <si>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</si>
  <si>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</si>
  <si>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</si>
  <si>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</si>
  <si>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</si>
  <si>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</si>
  <si>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</si>
  <si>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</si>
  <si>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</si>
  <si>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</si>
  <si>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</si>
  <si>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</si>
  <si>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</si>
  <si>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</si>
  <si>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</si>
  <si>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</si>
  <si>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</si>
  <si>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</si>
  <si>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</si>
  <si>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</si>
  <si>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</si>
  <si>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</si>
  <si>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</si>
  <si>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</si>
  <si>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</si>
  <si>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</si>
  <si>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</si>
  <si>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</si>
  <si>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</si>
  <si>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</si>
  <si>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</si>
  <si>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</si>
  <si>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</si>
  <si>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</si>
  <si>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</si>
  <si>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</si>
  <si>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</si>
  <si>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</si>
  <si>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</si>
  <si>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</si>
  <si>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</si>
  <si>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</si>
  <si>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</si>
  <si>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</si>
  <si>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</si>
  <si>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</si>
  <si>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</si>
  <si>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</si>
  <si>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</si>
  <si>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</si>
  <si>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</si>
  <si>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</si>
  <si>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</si>
  <si>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</si>
  <si>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</si>
  <si>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</si>
  <si>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</si>
  <si>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</si>
  <si>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</si>
  <si>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</si>
  <si>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</si>
  <si>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</si>
  <si>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</si>
  <si>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</si>
  <si>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</si>
  <si>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</si>
  <si>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</si>
  <si>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</si>
  <si>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</si>
  <si>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</si>
  <si>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</si>
  <si>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</si>
  <si>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</si>
  <si>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</si>
  <si>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</si>
  <si>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</si>
  <si>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</si>
  <si>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</si>
  <si>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</si>
  <si>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</si>
  <si>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</si>
  <si>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</si>
  <si>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</si>
  <si>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</si>
  <si>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</si>
  <si>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</si>
  <si>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</si>
  <si>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</si>
  <si>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</si>
  <si>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</si>
  <si>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</si>
  <si>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</si>
  <si>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</si>
  <si>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</si>
  <si>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</si>
  <si>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</si>
  <si>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</si>
  <si>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</si>
  <si>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</si>
  <si>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</si>
  <si>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</si>
  <si>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</si>
  <si>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</si>
  <si>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</si>
  <si>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</si>
  <si>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</si>
  <si>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</si>
  <si>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</si>
  <si>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</si>
  <si>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</si>
  <si>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</si>
  <si>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</si>
  <si>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</si>
  <si>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</si>
  <si>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</si>
  <si>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</si>
  <si>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</si>
  <si>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</si>
  <si>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</si>
  <si>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</si>
  <si>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</si>
  <si>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</si>
  <si>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</si>
  <si>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</si>
  <si>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</si>
  <si>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</si>
  <si>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</si>
  <si>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</si>
  <si>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</si>
  <si>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</si>
  <si>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</si>
  <si>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</si>
  <si>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</si>
  <si>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</si>
  <si>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</si>
  <si>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</si>
  <si>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</si>
  <si>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</si>
  <si>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</si>
  <si>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</si>
  <si>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</si>
  <si>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</si>
  <si>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</si>
  <si>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</si>
  <si>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</si>
  <si>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</si>
  <si>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</si>
  <si>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</si>
  <si>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</si>
  <si>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</si>
  <si>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</si>
  <si>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</si>
  <si>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</si>
  <si>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</si>
  <si>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</si>
  <si>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</si>
  <si>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</si>
  <si>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</si>
  <si>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</si>
  <si>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</si>
  <si>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</si>
  <si>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</si>
  <si>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</si>
  <si>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</si>
  <si>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</si>
  <si>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</si>
  <si>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</si>
  <si>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</si>
  <si>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</si>
  <si>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</si>
  <si>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</si>
  <si>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</si>
  <si>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</si>
  <si>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</si>
  <si>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</si>
  <si>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</si>
  <si>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</si>
  <si>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</si>
  <si>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</si>
  <si>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</si>
  <si>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</si>
  <si>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</si>
  <si>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</si>
  <si>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</si>
  <si>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</si>
  <si>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</si>
  <si>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</si>
  <si>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</si>
  <si>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</si>
  <si>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</si>
  <si>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</si>
  <si>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</si>
  <si>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</si>
  <si>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</si>
  <si>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</si>
  <si>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</si>
  <si>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</si>
  <si>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</si>
  <si>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</si>
  <si>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</si>
  <si>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</si>
  <si>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</si>
  <si>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</si>
  <si>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</si>
  <si>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</si>
  <si>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</si>
  <si>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</si>
  <si>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</si>
  <si>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</si>
  <si>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</si>
  <si>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</si>
  <si>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</si>
  <si>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</si>
  <si>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</si>
  <si>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</si>
  <si>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</si>
  <si>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</si>
  <si>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</si>
  <si>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</si>
  <si>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</si>
  <si>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</si>
  <si>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</si>
  <si>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</si>
  <si>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</si>
  <si>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</si>
  <si>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</si>
  <si>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</si>
  <si>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</si>
  <si>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</si>
  <si>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</si>
  <si>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</si>
  <si>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</si>
  <si>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</si>
  <si>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</si>
  <si>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</si>
  <si>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</si>
  <si>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</si>
  <si>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</si>
  <si>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</si>
  <si>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</si>
  <si>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</si>
  <si>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</si>
  <si>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</si>
  <si>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</si>
  <si>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</si>
  <si>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</si>
  <si>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</si>
  <si>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</si>
  <si>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</si>
  <si>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</si>
  <si>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</si>
  <si>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</si>
  <si>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</si>
  <si>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</si>
  <si>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</si>
  <si>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</si>
  <si>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</si>
  <si>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</si>
  <si>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</si>
  <si>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</si>
  <si>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</si>
  <si>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</si>
  <si>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</si>
  <si>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</si>
  <si>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</si>
  <si>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</si>
  <si>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</si>
  <si>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</si>
  <si>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</si>
  <si>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</si>
  <si>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</si>
  <si>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</si>
  <si>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</si>
  <si>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</si>
  <si>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</si>
  <si>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</si>
  <si>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</si>
  <si>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</si>
  <si>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</si>
  <si>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</si>
  <si>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</si>
  <si>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</si>
  <si>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</si>
  <si>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</si>
  <si>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</si>
  <si>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</si>
  <si>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</si>
  <si>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</si>
  <si>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</si>
  <si>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</si>
  <si>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</si>
  <si>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</si>
  <si>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</si>
  <si>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</si>
  <si>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</si>
  <si>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</si>
  <si>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</si>
  <si>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</si>
  <si>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</si>
  <si>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</si>
  <si>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</si>
  <si>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</si>
  <si>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</si>
  <si>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</si>
  <si>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</si>
  <si>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</si>
  <si>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</si>
  <si>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</si>
  <si>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</si>
  <si>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</si>
  <si>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</si>
  <si>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</si>
  <si>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</si>
  <si>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</si>
  <si>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</si>
  <si>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</si>
  <si>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</si>
  <si>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</si>
  <si>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</si>
  <si>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</si>
  <si>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</si>
  <si>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</si>
  <si>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</si>
  <si>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</si>
  <si>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</si>
  <si>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</si>
  <si>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</si>
  <si>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</si>
  <si>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</si>
  <si>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</si>
  <si>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</si>
  <si>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</si>
  <si>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</si>
  <si>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</si>
  <si>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</si>
  <si>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</si>
  <si>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</si>
  <si>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</si>
  <si>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</si>
  <si>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</si>
  <si>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</si>
  <si>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</si>
  <si>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</si>
  <si>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</si>
  <si>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</si>
  <si>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</si>
  <si>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</si>
  <si>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</si>
  <si>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</si>
  <si>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</si>
  <si>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</si>
  <si>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</si>
  <si>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</si>
  <si>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</si>
  <si>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</si>
  <si>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</si>
  <si>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</si>
  <si>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</si>
  <si>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</si>
  <si>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</si>
  <si>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</si>
  <si>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</si>
  <si>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</si>
  <si>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</si>
  <si>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</si>
  <si>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</si>
  <si>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</si>
  <si>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</si>
  <si>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</si>
  <si>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</si>
  <si>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</si>
  <si>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</si>
  <si>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</si>
  <si>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</si>
  <si>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</si>
  <si>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</si>
  <si>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</si>
  <si>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</si>
  <si>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</si>
  <si>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</si>
  <si>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</si>
  <si>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</si>
  <si>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</si>
  <si>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</si>
  <si>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</si>
  <si>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</si>
  <si>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</si>
  <si>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</si>
  <si>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</si>
  <si>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</si>
  <si>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</si>
  <si>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</si>
  <si>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</si>
  <si>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</si>
  <si>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</si>
  <si>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</si>
  <si>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</si>
  <si>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</si>
  <si>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</si>
  <si>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</si>
  <si>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</si>
  <si>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</si>
  <si>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</si>
  <si>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</si>
  <si>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</si>
  <si>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</si>
  <si>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</si>
  <si>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</si>
  <si>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</si>
  <si>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</si>
  <si>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</si>
  <si>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</si>
  <si>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</si>
  <si>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</si>
  <si>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</si>
  <si>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</si>
  <si>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</si>
  <si>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</si>
  <si>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</si>
  <si>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</si>
  <si>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</si>
  <si>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</si>
  <si>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</si>
  <si>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</si>
  <si>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</si>
  <si>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</si>
  <si>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</si>
  <si>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</si>
  <si>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</si>
  <si>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</si>
  <si>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</si>
  <si>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</si>
  <si>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</si>
  <si>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</si>
  <si>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</si>
  <si>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</si>
  <si>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</si>
  <si>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</si>
  <si>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</si>
  <si>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</si>
  <si>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</si>
  <si>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</si>
  <si>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</si>
  <si>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</si>
  <si>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</si>
  <si>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</si>
  <si>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</si>
  <si>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</si>
  <si>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</si>
  <si>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</si>
  <si>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</si>
  <si>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</si>
  <si>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</si>
  <si>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</si>
  <si>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</si>
  <si>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</si>
  <si>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</si>
  <si>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</si>
  <si>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</si>
  <si>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</si>
  <si>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</si>
  <si>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</si>
  <si>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</si>
  <si>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</si>
  <si>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</si>
  <si>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</si>
  <si>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</si>
  <si>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</si>
  <si>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</si>
  <si>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</si>
  <si>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</si>
  <si>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</si>
  <si>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</si>
  <si>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</si>
  <si>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</si>
  <si>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</si>
  <si>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</si>
  <si>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</si>
  <si>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</si>
  <si>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</si>
  <si>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</si>
  <si>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</si>
  <si>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</si>
  <si>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</si>
  <si>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</si>
  <si>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</si>
  <si>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</si>
  <si>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</si>
  <si>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</si>
  <si>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</si>
  <si>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</si>
  <si>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</si>
  <si>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</si>
  <si>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</si>
  <si>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</si>
  <si>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</si>
  <si>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</si>
  <si>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</si>
  <si>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</si>
  <si>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</si>
  <si>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</si>
  <si>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</si>
  <si>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</si>
  <si>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</si>
  <si>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</si>
  <si>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</si>
  <si>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</si>
  <si>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</si>
  <si>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</si>
  <si>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</si>
  <si>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</si>
  <si>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</si>
  <si>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</si>
  <si>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</si>
  <si>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</si>
  <si>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</si>
  <si>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</si>
  <si>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</si>
  <si>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</si>
  <si>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</si>
  <si>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</si>
  <si>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</si>
  <si>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</si>
  <si>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</si>
  <si>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</si>
  <si>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</si>
  <si>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</si>
  <si>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</si>
  <si>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</si>
  <si>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</si>
  <si>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</si>
  <si>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</si>
  <si>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</si>
  <si>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</si>
  <si>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</si>
  <si>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</si>
  <si>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</si>
  <si>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</si>
  <si>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</si>
  <si>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</si>
  <si>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</si>
  <si>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</si>
  <si>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</si>
  <si>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</si>
  <si>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</si>
  <si>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</si>
  <si>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</si>
  <si>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</si>
  <si>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</si>
  <si>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</si>
  <si>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</si>
  <si>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</si>
  <si>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</si>
  <si>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</si>
  <si>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</si>
  <si>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</si>
  <si>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</si>
  <si>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</si>
  <si>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</si>
  <si>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</si>
  <si>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</si>
  <si>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</si>
  <si>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</si>
  <si>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</si>
  <si>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</si>
  <si>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</si>
  <si>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</si>
  <si>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</si>
  <si>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</si>
  <si>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</si>
  <si>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</si>
  <si>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</si>
  <si>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</si>
  <si>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</si>
  <si>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</si>
  <si>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</si>
  <si>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</si>
  <si>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</si>
  <si>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</si>
  <si>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</si>
  <si>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</si>
  <si>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</si>
  <si>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</si>
  <si>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</si>
  <si>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</si>
  <si>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</si>
  <si>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</si>
  <si>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</si>
  <si>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</si>
  <si>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</si>
  <si>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</si>
  <si>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</si>
  <si>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</si>
  <si>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</si>
  <si>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</si>
  <si>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</si>
  <si>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</si>
  <si>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</si>
  <si>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</si>
  <si>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</si>
  <si>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</si>
  <si>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</si>
  <si>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</si>
  <si>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</si>
  <si>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</si>
  <si>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</si>
  <si>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</si>
  <si>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</si>
  <si>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</si>
  <si>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</si>
  <si>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</si>
  <si>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</si>
  <si>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</si>
  <si>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</si>
  <si>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</si>
  <si>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</si>
  <si>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</si>
  <si>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</si>
  <si>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</si>
  <si>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</si>
  <si>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</si>
  <si>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</si>
  <si>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</si>
  <si>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</si>
  <si>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</si>
  <si>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</si>
  <si>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</si>
  <si>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</si>
  <si>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</si>
  <si>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</si>
  <si>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</si>
  <si>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</si>
  <si>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</si>
  <si>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</si>
  <si>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</si>
  <si>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</si>
  <si>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</si>
  <si>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</si>
  <si>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</si>
  <si>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</si>
  <si>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</si>
  <si>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</si>
  <si>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</si>
  <si>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</si>
  <si>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</si>
  <si>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</si>
  <si>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</si>
  <si>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</si>
  <si>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</si>
  <si>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</si>
  <si>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</si>
  <si>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</si>
  <si>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</si>
  <si>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</si>
  <si>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</si>
  <si>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</si>
  <si>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</si>
  <si>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</si>
  <si>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</si>
  <si>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</si>
  <si>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</si>
  <si>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</si>
  <si>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</si>
  <si>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</si>
  <si>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</si>
  <si>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</si>
  <si>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</si>
  <si>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</si>
  <si>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</si>
  <si>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</si>
  <si>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</si>
  <si>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</si>
  <si>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</si>
  <si>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</si>
  <si>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</si>
  <si>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</si>
  <si>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</si>
  <si>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</si>
  <si>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</si>
  <si>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</si>
  <si>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</si>
  <si>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</si>
  <si>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</si>
  <si>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</si>
  <si>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</si>
  <si>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</si>
  <si>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</si>
  <si>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</si>
  <si>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</si>
  <si>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</si>
  <si>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</si>
  <si>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</si>
  <si>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</si>
  <si>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</si>
  <si>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</si>
  <si>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</si>
  <si>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</si>
  <si>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</si>
  <si>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</si>
  <si>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</si>
  <si>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</si>
  <si>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</si>
  <si>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</si>
  <si>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</si>
  <si>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</si>
  <si>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</si>
  <si>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</si>
  <si>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</si>
  <si>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</si>
  <si>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</si>
  <si>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</si>
  <si>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</si>
  <si>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</si>
  <si>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</si>
  <si>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</si>
  <si>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</si>
  <si>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</si>
  <si>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</si>
  <si>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</si>
  <si>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</si>
  <si>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</si>
  <si>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</si>
  <si>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</si>
  <si>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</si>
  <si>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</si>
  <si>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</si>
  <si>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</si>
  <si>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</si>
  <si>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</si>
  <si>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</si>
  <si>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</si>
  <si>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</si>
  <si>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</si>
  <si>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</si>
  <si>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</si>
  <si>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</si>
  <si>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</si>
  <si>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</si>
  <si>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</si>
  <si>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</si>
  <si>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</si>
  <si>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</si>
  <si>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</si>
  <si>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</si>
  <si>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</si>
  <si>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</si>
  <si>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</si>
  <si>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</si>
  <si>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</si>
  <si>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</si>
  <si>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</si>
  <si>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</si>
  <si>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</si>
  <si>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</si>
  <si>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</si>
  <si>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</si>
  <si>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</si>
  <si>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</si>
  <si>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</si>
  <si>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</si>
  <si>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</si>
  <si>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</si>
  <si>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</si>
  <si>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</si>
  <si>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</si>
  <si>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</si>
  <si>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</si>
  <si>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</si>
  <si>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</si>
  <si>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</si>
  <si>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</si>
  <si>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</si>
  <si>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</si>
  <si>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</si>
  <si>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</si>
  <si>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</si>
  <si>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</si>
  <si>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</si>
  <si>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</si>
  <si>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</si>
  <si>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</si>
  <si>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</si>
  <si>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</si>
  <si>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</si>
  <si>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</si>
  <si>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</si>
  <si>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</si>
  <si>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</si>
  <si>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</si>
  <si>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</si>
  <si>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</si>
  <si>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</si>
  <si>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</si>
  <si>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</si>
  <si>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</si>
  <si>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</si>
  <si>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</si>
  <si>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</si>
  <si>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</si>
  <si>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</si>
  <si>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</si>
  <si>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</si>
  <si>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</si>
  <si>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</si>
  <si>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</si>
  <si>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</si>
  <si>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</si>
  <si>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</si>
  <si>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</si>
  <si>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</si>
  <si>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</si>
  <si>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</si>
  <si>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</si>
  <si>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</si>
  <si>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</si>
  <si>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</si>
  <si>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</si>
  <si>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</si>
  <si>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</si>
  <si>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</si>
  <si>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</si>
  <si>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</si>
  <si>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</si>
  <si>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</si>
  <si>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</si>
  <si>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</si>
  <si>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</si>
  <si>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</si>
  <si>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</si>
  <si>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</si>
  <si>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</si>
  <si>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</si>
  <si>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</si>
  <si>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</si>
  <si>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</si>
  <si>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</si>
  <si>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</si>
  <si>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</si>
  <si>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</si>
  <si>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</si>
  <si>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</si>
  <si>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</si>
  <si>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</si>
  <si>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</si>
  <si>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</si>
  <si>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</si>
  <si>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</si>
  <si>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</si>
  <si>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</si>
  <si>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</si>
  <si>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</si>
  <si>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</si>
  <si>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</si>
  <si>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</si>
  <si>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</si>
  <si>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</si>
  <si>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</si>
  <si>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</si>
  <si>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</si>
  <si>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</si>
  <si>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</si>
  <si>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</si>
  <si>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</si>
  <si>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</si>
  <si>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</si>
  <si>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</si>
  <si>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</si>
  <si>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</si>
  <si>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</si>
  <si>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</si>
  <si>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</si>
  <si>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</si>
  <si>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</si>
  <si>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</si>
  <si>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</si>
  <si>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</si>
  <si>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</si>
  <si>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</si>
  <si>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</si>
  <si>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</si>
  <si>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</si>
  <si>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</si>
  <si>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</si>
  <si>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</si>
  <si>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</si>
  <si>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</si>
  <si>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</si>
  <si>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</si>
  <si>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</si>
  <si>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</si>
  <si>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</si>
  <si>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</si>
  <si>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</si>
  <si>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</si>
  <si>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</si>
  <si>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</si>
  <si>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</si>
  <si>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</si>
  <si>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</si>
  <si>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</si>
  <si>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</si>
  <si>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</si>
  <si>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</si>
  <si>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</si>
  <si>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</si>
  <si>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</si>
  <si>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</si>
  <si>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</si>
  <si>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</si>
  <si>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</si>
  <si>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</si>
  <si>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</si>
  <si>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</si>
  <si>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</si>
  <si>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</si>
  <si>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</si>
  <si>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</si>
  <si>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</si>
  <si>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</si>
  <si>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</si>
  <si>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</si>
  <si>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</si>
  <si>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</si>
  <si>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</si>
  <si>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</si>
  <si>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</si>
  <si>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</si>
  <si>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</si>
  <si>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</si>
  <si>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</si>
  <si>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</si>
  <si>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</si>
  <si>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</si>
  <si>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</si>
  <si>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</si>
  <si>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</si>
  <si>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</si>
  <si>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</si>
  <si>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</si>
  <si>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</si>
  <si>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</si>
  <si>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</si>
  <si>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</si>
  <si>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</si>
  <si>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</si>
  <si>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</si>
  <si>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</si>
  <si>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</si>
  <si>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</si>
  <si>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</si>
  <si>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</si>
  <si>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</si>
  <si>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</si>
  <si>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</si>
  <si>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</si>
  <si>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</si>
  <si>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</si>
  <si>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</si>
  <si>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</si>
  <si>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</si>
  <si>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</si>
  <si>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</si>
  <si>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</si>
  <si>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</si>
  <si>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</si>
  <si>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</si>
  <si>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</si>
  <si>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</si>
  <si>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</si>
  <si>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</si>
  <si>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</si>
  <si>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</si>
  <si>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</si>
  <si>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</si>
  <si>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</si>
  <si>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</si>
  <si>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</si>
  <si>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</si>
  <si>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</si>
  <si>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</si>
  <si>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</si>
  <si>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</si>
  <si>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</si>
  <si>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</si>
  <si>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</si>
  <si>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</si>
  <si>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</si>
  <si>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</si>
  <si>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</si>
  <si>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</si>
  <si>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</si>
  <si>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</si>
  <si>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</si>
  <si>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</si>
  <si>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</si>
  <si>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</si>
  <si>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</si>
  <si>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</si>
  <si>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</si>
  <si>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</si>
  <si>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</si>
  <si>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</si>
  <si>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</si>
  <si>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</si>
  <si>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</si>
  <si>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</si>
  <si>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</si>
  <si>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</si>
  <si>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</si>
  <si>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</si>
  <si>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</si>
  <si>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</si>
  <si>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</si>
  <si>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</si>
  <si>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</si>
  <si>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</si>
  <si>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</si>
  <si>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</si>
  <si>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</si>
  <si>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</si>
  <si>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</si>
  <si>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</si>
  <si>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</si>
  <si>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</si>
  <si>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</si>
  <si>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</si>
  <si>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</si>
  <si>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</si>
  <si>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</si>
  <si>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</si>
  <si>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</si>
  <si>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</si>
  <si>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</si>
  <si>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</si>
  <si>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</si>
  <si>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</si>
  <si>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</si>
  <si>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</si>
  <si>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</si>
  <si>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</si>
  <si>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</si>
  <si>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</si>
  <si>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</si>
  <si>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</si>
  <si>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</si>
  <si>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</si>
  <si>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</si>
  <si>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</si>
  <si>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</si>
  <si>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</si>
  <si>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</si>
  <si>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</si>
  <si>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</si>
  <si>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</si>
  <si>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</si>
  <si>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</si>
  <si>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</si>
  <si>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</si>
  <si>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</si>
  <si>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</si>
  <si>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</si>
  <si>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</si>
  <si>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</si>
  <si>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</si>
  <si>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</si>
  <si>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</si>
  <si>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</si>
  <si>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</si>
  <si>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</si>
  <si>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</si>
  <si>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</si>
  <si>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</si>
  <si>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</si>
  <si>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</si>
  <si>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</si>
  <si>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</si>
  <si>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</si>
  <si>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</si>
  <si>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</si>
  <si>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</si>
  <si>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</si>
  <si>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</si>
  <si>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</si>
  <si>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</si>
  <si>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</si>
  <si>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</si>
  <si>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</si>
  <si>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</si>
  <si>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</si>
  <si>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</si>
  <si>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</si>
  <si>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</si>
  <si>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</si>
  <si>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</si>
  <si>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</si>
  <si>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</si>
  <si>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</si>
  <si>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</si>
  <si>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</si>
  <si>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</si>
  <si>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</si>
  <si>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</si>
  <si>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</si>
  <si>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</si>
  <si>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</si>
  <si>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</si>
  <si>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</si>
  <si>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</si>
  <si>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</si>
  <si>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</si>
  <si>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</si>
  <si>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</si>
  <si>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</si>
  <si>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</si>
  <si>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</si>
  <si>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</si>
  <si>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</si>
  <si>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</si>
  <si>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</si>
  <si>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</si>
  <si>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</si>
  <si>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</si>
  <si>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</si>
  <si>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</si>
  <si>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</si>
  <si>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</si>
  <si>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</si>
  <si>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</si>
  <si>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</si>
  <si>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</si>
  <si>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</si>
  <si>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</si>
  <si>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</si>
  <si>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</si>
  <si>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</si>
  <si>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</si>
  <si>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</si>
  <si>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</si>
  <si>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</si>
  <si>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</si>
  <si>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</si>
  <si>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</si>
  <si>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</si>
  <si>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</si>
  <si>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</si>
  <si>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</si>
  <si>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</si>
  <si>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</si>
  <si>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</si>
  <si>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</si>
  <si>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</si>
  <si>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</si>
  <si>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</si>
  <si>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</si>
  <si>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</si>
  <si>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</si>
  <si>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</si>
  <si>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</si>
  <si>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</si>
  <si>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</si>
  <si>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</si>
  <si>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</si>
  <si>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</si>
  <si>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</si>
  <si>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</si>
  <si>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</si>
  <si>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</si>
  <si>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</si>
  <si>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</si>
  <si>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</si>
  <si>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</si>
  <si>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</si>
  <si>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</si>
  <si>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</si>
  <si>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</si>
  <si>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</si>
  <si>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</si>
  <si>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</si>
  <si>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</si>
  <si>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</si>
  <si>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</si>
  <si>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</si>
  <si>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</si>
  <si>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</si>
  <si>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</si>
  <si>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</si>
  <si>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</si>
  <si>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</si>
  <si>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</si>
  <si>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</si>
  <si>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</si>
  <si>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</si>
  <si>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</si>
  <si>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</si>
  <si>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</si>
  <si>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</si>
  <si>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</si>
  <si>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</si>
  <si>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</si>
  <si>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</si>
  <si>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</si>
  <si>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</si>
  <si>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</si>
  <si>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</si>
  <si>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</si>
  <si>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</si>
  <si>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</si>
  <si>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</si>
  <si>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</si>
  <si>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</si>
  <si>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</si>
  <si>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</si>
  <si>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</si>
  <si>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</si>
  <si>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</si>
  <si>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</si>
  <si>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</si>
  <si>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</si>
  <si>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</si>
  <si>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</si>
  <si>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</si>
  <si>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</si>
  <si>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</si>
  <si>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</si>
  <si>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</si>
  <si>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</si>
  <si>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</si>
  <si>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</si>
  <si>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</si>
  <si>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</si>
  <si>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</si>
  <si>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</si>
  <si>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</si>
  <si>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</si>
  <si>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</si>
  <si>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</si>
  <si>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</si>
  <si>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</si>
  <si>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</si>
  <si>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</si>
  <si>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</si>
  <si>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</si>
  <si>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</si>
  <si>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</si>
  <si>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</si>
  <si>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</si>
  <si>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</si>
  <si>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</si>
  <si>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</si>
  <si>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</si>
  <si>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</si>
  <si>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</si>
  <si>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</si>
  <si>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</si>
  <si>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</si>
  <si>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</si>
  <si>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</si>
  <si>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</si>
  <si>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</si>
  <si>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</si>
  <si>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</si>
  <si>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</si>
  <si>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</si>
  <si>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</si>
  <si>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</si>
  <si>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</si>
  <si>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</si>
  <si>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</si>
  <si>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</si>
  <si>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</si>
  <si>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</si>
  <si>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</si>
  <si>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</si>
  <si>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</si>
  <si>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</si>
  <si>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</si>
  <si>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</si>
  <si>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</si>
  <si>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</si>
  <si>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</si>
  <si>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</si>
  <si>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</si>
  <si>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</si>
  <si>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</si>
  <si>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</si>
  <si>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</si>
  <si>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</si>
  <si>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</si>
  <si>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</si>
  <si>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</si>
  <si>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</si>
  <si>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</si>
  <si>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</si>
  <si>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</si>
  <si>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</si>
  <si>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</si>
  <si>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</si>
  <si>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</si>
  <si>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</si>
  <si>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</si>
  <si>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</si>
  <si>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</si>
  <si>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</si>
  <si>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</si>
  <si>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</si>
  <si>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</si>
  <si>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</si>
  <si>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</si>
  <si>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</si>
  <si>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</si>
  <si>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</si>
  <si>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</si>
  <si>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</si>
  <si>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</si>
  <si>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</si>
  <si>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</si>
  <si>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</si>
  <si>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</si>
  <si>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</si>
  <si>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</si>
  <si>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</si>
  <si>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</si>
  <si>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</si>
  <si>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</si>
  <si>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</si>
  <si>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</si>
  <si>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</si>
  <si>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</si>
  <si>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</si>
  <si>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</si>
  <si>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</si>
  <si>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</si>
  <si>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</si>
  <si>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</si>
  <si>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</si>
  <si>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</si>
  <si>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</si>
  <si>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</si>
  <si>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</si>
  <si>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</si>
  <si>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</si>
  <si>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</si>
  <si>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</si>
  <si>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</si>
  <si>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</si>
  <si>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</si>
  <si>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</si>
  <si>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</si>
  <si>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</si>
  <si>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</si>
  <si>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</si>
  <si>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</si>
  <si>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</si>
  <si>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</si>
  <si>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</si>
  <si>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</si>
  <si>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</si>
  <si>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</si>
  <si>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</si>
  <si>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</si>
  <si>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</si>
  <si>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</si>
  <si>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</si>
  <si>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</si>
  <si>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</si>
  <si>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</si>
  <si>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</si>
  <si>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</si>
  <si>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</si>
  <si>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</si>
  <si>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</si>
  <si>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</si>
  <si>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</si>
  <si>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</si>
  <si>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</si>
  <si>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</si>
  <si>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</si>
  <si>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</si>
  <si>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</si>
  <si>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</si>
  <si>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</si>
  <si>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</si>
  <si>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</si>
  <si>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</si>
  <si>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</si>
  <si>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</si>
  <si>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</si>
  <si>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</si>
  <si>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</si>
  <si>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</si>
  <si>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</si>
  <si>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</si>
  <si>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</si>
  <si>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</si>
  <si>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</si>
  <si>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</si>
  <si>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</si>
  <si>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</si>
  <si>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</si>
  <si>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</si>
  <si>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</si>
  <si>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</si>
  <si>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</si>
  <si>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</si>
  <si>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</si>
  <si>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</si>
  <si>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</si>
  <si>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</si>
  <si>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</si>
  <si>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</si>
  <si>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</si>
  <si>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</si>
  <si>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</si>
  <si>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</si>
  <si>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</si>
  <si>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</si>
  <si>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</si>
  <si>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</si>
  <si>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</si>
  <si>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</si>
  <si>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</si>
  <si>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</si>
  <si>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</si>
  <si>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</si>
  <si>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</si>
  <si>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</si>
  <si>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</si>
  <si>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</si>
  <si>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</si>
  <si>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</si>
  <si>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</si>
  <si>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</si>
  <si>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</si>
  <si>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</si>
  <si>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</si>
  <si>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</si>
  <si>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</si>
  <si>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</si>
  <si>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</si>
  <si>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</si>
  <si>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</si>
  <si>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</si>
  <si>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</si>
  <si>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</si>
  <si>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</si>
  <si>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</si>
  <si>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</si>
  <si>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</si>
  <si>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</si>
  <si>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</si>
  <si>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</si>
  <si>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</si>
  <si>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</si>
  <si>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</si>
  <si>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</si>
  <si>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</si>
  <si>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</si>
  <si>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</si>
  <si>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</si>
  <si>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</si>
  <si>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</si>
  <si>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</si>
  <si>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</si>
  <si>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</si>
  <si>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</si>
  <si>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</si>
  <si>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</si>
  <si>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</si>
  <si>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</si>
  <si>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</si>
  <si>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</si>
  <si>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</si>
  <si>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</si>
  <si>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</si>
  <si>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</si>
  <si>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</si>
  <si>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</si>
  <si>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</si>
  <si>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</si>
  <si>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</si>
  <si>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</si>
  <si>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</si>
  <si>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</si>
  <si>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</si>
  <si>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</si>
  <si>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</si>
  <si>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</si>
  <si>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</si>
  <si>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</si>
  <si>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</si>
  <si>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</si>
  <si>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</si>
  <si>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</si>
  <si>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</si>
  <si>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</si>
  <si>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</si>
  <si>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</si>
  <si>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</si>
  <si>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</si>
  <si>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</si>
  <si>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</si>
  <si>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</si>
  <si>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</si>
  <si>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</si>
  <si>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</si>
  <si>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</si>
  <si>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</si>
  <si>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</si>
  <si>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</si>
  <si>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</si>
  <si>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</si>
  <si>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</si>
  <si>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</si>
  <si>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</si>
  <si>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</si>
  <si>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</si>
  <si>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</si>
  <si>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</si>
  <si>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</si>
  <si>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</si>
  <si>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</si>
  <si>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</si>
  <si>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</si>
  <si>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</si>
  <si>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</si>
  <si>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</si>
  <si>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</si>
  <si>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</si>
  <si>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</si>
  <si>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</si>
  <si>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</si>
  <si>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</si>
  <si>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</si>
  <si>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</si>
  <si>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</si>
  <si>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</si>
  <si>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</si>
  <si>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</si>
  <si>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</si>
  <si>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</si>
  <si>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</si>
  <si>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</si>
  <si>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</si>
  <si>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</si>
  <si>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</si>
  <si>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</si>
  <si>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</si>
  <si>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</si>
  <si>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</si>
  <si>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</si>
  <si>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</si>
  <si>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</si>
  <si>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</si>
  <si>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</si>
  <si>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</si>
  <si>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</si>
  <si>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</si>
  <si>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</si>
  <si>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</si>
  <si>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</si>
  <si>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</si>
  <si>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</si>
  <si>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</si>
  <si>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</si>
  <si>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</si>
  <si>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</si>
  <si>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</si>
  <si>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</si>
  <si>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</si>
  <si>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</si>
  <si>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</si>
  <si>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</si>
  <si>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</si>
  <si>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</si>
  <si>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</si>
  <si>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</si>
  <si>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</si>
  <si>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</si>
  <si>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</si>
  <si>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</si>
  <si>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</si>
  <si>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</si>
  <si>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</si>
  <si>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</si>
  <si>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</si>
  <si>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</si>
  <si>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</si>
  <si>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</si>
  <si>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</si>
  <si>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</si>
  <si>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</si>
  <si>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</si>
  <si>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</si>
  <si>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</si>
  <si>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</si>
  <si>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</si>
  <si>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</si>
  <si>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</si>
  <si>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</si>
  <si>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</si>
  <si>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</si>
  <si>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</si>
  <si>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</si>
  <si>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</si>
  <si>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</si>
  <si>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</si>
  <si>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</si>
  <si>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</si>
  <si>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</si>
  <si>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</si>
  <si>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</si>
  <si>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</si>
  <si>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</si>
  <si>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</si>
  <si>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</si>
  <si>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</si>
  <si>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</si>
  <si>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</si>
  <si>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</si>
  <si>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</si>
  <si>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</si>
  <si>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</si>
  <si>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</si>
  <si>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</si>
  <si>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</si>
  <si>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</si>
  <si>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</si>
  <si>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</si>
  <si>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</si>
  <si>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</si>
  <si>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</si>
  <si>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</si>
  <si>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</si>
  <si>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</si>
  <si>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</si>
  <si>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</si>
  <si>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</si>
  <si>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</si>
  <si>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</si>
  <si>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</si>
  <si>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</si>
  <si>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</si>
  <si>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</si>
  <si>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</si>
  <si>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</si>
  <si>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</si>
  <si>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</si>
  <si>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</si>
  <si>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</si>
  <si>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</si>
  <si>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</si>
  <si>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</si>
  <si>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</si>
  <si>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</si>
  <si>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</si>
  <si>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</si>
  <si>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</si>
  <si>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</si>
  <si>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</si>
  <si>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</si>
  <si>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</si>
  <si>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</si>
  <si>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</si>
  <si>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</si>
  <si>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</si>
  <si>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</si>
  <si>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</si>
  <si>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</si>
  <si>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</si>
  <si>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</si>
  <si>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</si>
  <si>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</si>
  <si>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</si>
  <si>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</si>
  <si>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</si>
  <si>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</si>
  <si>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</si>
  <si>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</si>
  <si>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</si>
  <si>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</si>
  <si>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</si>
  <si>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</si>
  <si>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</si>
  <si>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</si>
  <si>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</si>
  <si>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</si>
  <si>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</si>
  <si>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</si>
  <si>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</si>
  <si>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</si>
  <si>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</si>
  <si>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</si>
  <si>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</si>
  <si>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</si>
  <si>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</si>
  <si>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</si>
  <si>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</si>
  <si>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</si>
  <si>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</si>
  <si>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</si>
  <si>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</si>
  <si>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</si>
  <si>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</si>
  <si>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</si>
  <si>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</si>
  <si>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</si>
  <si>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</si>
  <si>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</si>
  <si>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</si>
  <si>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</si>
  <si>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</si>
  <si>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</si>
  <si>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</si>
  <si>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</si>
  <si>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</si>
  <si>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</si>
  <si>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</si>
  <si>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</si>
  <si>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</si>
  <si>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</si>
  <si>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</si>
  <si>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</si>
  <si>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</si>
  <si>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</si>
  <si>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</si>
  <si>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</si>
  <si>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</si>
  <si>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</si>
  <si>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</si>
  <si>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</si>
  <si>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</si>
  <si>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</si>
  <si>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</si>
  <si>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</si>
  <si>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</si>
  <si>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</si>
  <si>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</si>
  <si>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</si>
  <si>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</si>
  <si>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</si>
  <si>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</si>
  <si>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</si>
  <si>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</si>
  <si>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</si>
  <si>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</si>
  <si>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</si>
  <si>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</si>
  <si>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</si>
  <si>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</si>
  <si>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</si>
  <si>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</si>
  <si>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</si>
  <si>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</si>
  <si>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</si>
  <si>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</si>
  <si>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</si>
  <si>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</si>
  <si>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</si>
  <si>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</si>
  <si>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</si>
  <si>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</si>
  <si>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</si>
  <si>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</si>
  <si>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</si>
  <si>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</si>
  <si>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</si>
  <si>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</si>
  <si>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</si>
  <si>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</si>
  <si>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</si>
  <si>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</si>
  <si>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</si>
  <si>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</si>
  <si>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WASHINGTON</t>
  </si>
  <si>
    <t>280 EAST MAIN</t>
  </si>
  <si>
    <t xml:space="preserve">OAKDALE </t>
  </si>
  <si>
    <t>cpeterson@oakdalegs.org</t>
  </si>
  <si>
    <t>CHARLES PETERSON</t>
  </si>
  <si>
    <t>618-329-5292</t>
  </si>
  <si>
    <t>618-329-5545</t>
  </si>
  <si>
    <t>SCHEFFEL BOYLE</t>
  </si>
  <si>
    <t>BRIAN OTTEN</t>
  </si>
  <si>
    <t>222 EAST MAIN STREET</t>
  </si>
  <si>
    <t>BELLEVILLE</t>
  </si>
  <si>
    <t>IL</t>
  </si>
  <si>
    <t>618-277-8100</t>
  </si>
  <si>
    <t>618-277-9307</t>
  </si>
  <si>
    <t>065-023476</t>
  </si>
  <si>
    <t>brian.otten@scheffelboyle.com</t>
  </si>
  <si>
    <t>RON DANIELS</t>
  </si>
  <si>
    <t>rdaniels@roe13.org</t>
  </si>
  <si>
    <t>618-244-8040</t>
  </si>
  <si>
    <t>618-241-7868</t>
  </si>
  <si>
    <t>General Obligation Bonds, Series 2013</t>
  </si>
  <si>
    <t>General Obligation Purchase Contract - School Buses</t>
  </si>
  <si>
    <t>G.O. Purchase Contract for 2 buses</t>
  </si>
  <si>
    <t>Regional Office of Education #13</t>
  </si>
  <si>
    <t>Kaskaskia Special Education District #801</t>
  </si>
  <si>
    <t>None</t>
  </si>
  <si>
    <t>Page #</t>
  </si>
  <si>
    <t>Miscellaneous refunds &amp; reimbursements</t>
  </si>
  <si>
    <t>Rural Education Achievement Program</t>
  </si>
  <si>
    <t>NSLP Equipment Assistance Grant</t>
  </si>
  <si>
    <t>Bus refunds</t>
  </si>
  <si>
    <t>ED-Instruction-Regular Programs</t>
  </si>
  <si>
    <t>US Bank Equip Finance</t>
  </si>
  <si>
    <t>ED-Support Services-General Admin.</t>
  </si>
  <si>
    <t>Ecolab</t>
  </si>
  <si>
    <t>Scheffel Boyle</t>
  </si>
  <si>
    <t>20-2540-300</t>
  </si>
  <si>
    <t>USAC refund</t>
  </si>
  <si>
    <t>Payment on G.O. Purchase Contract</t>
  </si>
  <si>
    <t>O&amp;M-Support Services-Buiness O&amp;M of Plant Services</t>
  </si>
  <si>
    <t>10-1000-300</t>
  </si>
  <si>
    <t>10-2300-300</t>
  </si>
  <si>
    <t>Oakdale CCSD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</si>
</sst>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xf numFmtId="0" fontId="3" fillId="0" borderId="0"/>
    <xf numFmtId="0" fontId="3" fillId="0" borderId="0"/>
    <xf numFmtId="0" fontId="3" fillId="0" borderId="0"/>
  </cellStyleXfs>
  <cellXfs count="251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top"/>
      <protection locked="0"/>
    </xf>
    <xf numFmtId="0" fontId="58" fillId="0" borderId="0" xfId="0" applyFont="1" applyAlignment="1">
      <alignment horizontal="center"/>
    </xf>
    <xf numFmtId="181" fontId="58" fillId="0" borderId="0" xfId="19" applyNumberFormat="1" applyFont="1"/>
    <xf numFmtId="0" fontId="3" fillId="0" borderId="158" xfId="17" applyFont="1" applyBorder="1" applyAlignment="1" applyProtection="1">
      <alignment horizontal="left" vertical="top" wrapText="1"/>
      <protection locked="0"/>
    </xf>
    <xf numFmtId="0" fontId="11" fillId="0" borderId="0" xfId="3"/>
    <xf numFmtId="0" fontId="11" fillId="0" borderId="0" xfId="3"/>
    <xf numFmtId="0" fontId="11" fillId="0" borderId="78" xfId="3" applyFont="1" applyBorder="1" applyAlignment="1">
      <alignment horizontal="center"/>
    </xf>
    <xf numFmtId="0" fontId="11" fillId="0" borderId="0" xfId="3" applyFont="1" applyBorder="1" applyAlignment="1">
      <alignment horizontal="center"/>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3">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3" xfId="21"/>
    <cellStyle name="Normal 3 3" xfId="20"/>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2077</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2077</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13095001004</v>
      </c>
      <c r="B13" s="2045"/>
      <c r="C13" s="2045"/>
      <c r="D13" s="2045"/>
      <c r="E13" s="2045"/>
      <c r="F13" s="2045"/>
      <c r="G13" s="2045"/>
      <c r="H13" s="2046"/>
      <c r="I13" s="31"/>
      <c r="J13" s="30"/>
      <c r="K13" s="28"/>
      <c r="L13" s="30"/>
      <c r="M13" s="30"/>
      <c r="N13" s="30"/>
      <c r="O13" s="30"/>
      <c r="P13" s="30"/>
      <c r="Q13" s="30"/>
      <c r="R13" s="30"/>
      <c r="S13" s="30"/>
      <c r="T13" s="2049" t="s">
        <v>2085</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2078</v>
      </c>
      <c r="B15" s="2047"/>
      <c r="C15" s="2047"/>
      <c r="D15" s="2047"/>
      <c r="E15" s="2047"/>
      <c r="F15" s="2047"/>
      <c r="G15" s="2047"/>
      <c r="H15" s="2048"/>
      <c r="T15" s="2053" t="s">
        <v>2086</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2120</v>
      </c>
      <c r="B17" s="2004"/>
      <c r="C17" s="2004"/>
      <c r="D17" s="2004"/>
      <c r="E17" s="2004"/>
      <c r="F17" s="2004"/>
      <c r="G17" s="2004"/>
      <c r="H17" s="2029"/>
      <c r="T17" s="2060" t="s">
        <v>2087</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2079</v>
      </c>
      <c r="B19" s="1989"/>
      <c r="C19" s="1989"/>
      <c r="D19" s="1989"/>
      <c r="E19" s="1989"/>
      <c r="F19" s="1989"/>
      <c r="G19" s="1989"/>
      <c r="H19" s="1969"/>
      <c r="I19" s="30"/>
      <c r="J19" s="99"/>
      <c r="K19" s="40"/>
      <c r="L19" s="38"/>
      <c r="M19" s="112" t="s">
        <v>333</v>
      </c>
      <c r="P19" s="27"/>
      <c r="Q19" s="27"/>
      <c r="R19" s="27"/>
      <c r="S19" s="31"/>
      <c r="T19" s="2043" t="s">
        <v>2088</v>
      </c>
      <c r="U19" s="1968"/>
      <c r="V19" s="1968"/>
      <c r="W19" s="1969"/>
      <c r="X19" s="2058" t="s">
        <v>2089</v>
      </c>
      <c r="Y19" s="2059"/>
      <c r="Z19" s="2056">
        <v>62220</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2080</v>
      </c>
      <c r="B21" s="1968"/>
      <c r="C21" s="1968"/>
      <c r="D21" s="1968"/>
      <c r="E21" s="1968"/>
      <c r="F21" s="1968"/>
      <c r="G21" s="1968"/>
      <c r="H21" s="1969"/>
      <c r="I21" s="2023" t="s">
        <v>699</v>
      </c>
      <c r="J21" s="2018"/>
      <c r="K21" s="2018"/>
      <c r="L21" s="2018"/>
      <c r="M21" s="2018"/>
      <c r="N21" s="2018"/>
      <c r="O21" s="2018"/>
      <c r="P21" s="2018"/>
      <c r="Q21" s="2018"/>
      <c r="R21" s="2018"/>
      <c r="S21" s="2024"/>
      <c r="T21" s="2067" t="s">
        <v>2090</v>
      </c>
      <c r="U21" s="2068"/>
      <c r="V21" s="2068"/>
      <c r="W21" s="2068"/>
      <c r="X21" s="2073" t="s">
        <v>2091</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t="s">
        <v>2081</v>
      </c>
      <c r="B23" s="2021"/>
      <c r="C23" s="2021"/>
      <c r="D23" s="2021"/>
      <c r="E23" s="2021"/>
      <c r="F23" s="2021"/>
      <c r="G23" s="2021"/>
      <c r="H23" s="2022"/>
      <c r="T23" s="2003" t="s">
        <v>2092</v>
      </c>
      <c r="U23" s="2066"/>
      <c r="V23" s="2066"/>
      <c r="W23" s="2066"/>
      <c r="X23" s="2070">
        <v>44469</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v>62268</v>
      </c>
      <c r="B25" s="1968"/>
      <c r="C25" s="1968"/>
      <c r="D25" s="1968"/>
      <c r="E25" s="1968"/>
      <c r="F25" s="1968"/>
      <c r="G25" s="1968"/>
      <c r="H25" s="1969"/>
      <c r="I25" s="113"/>
      <c r="J25" s="1992"/>
      <c r="K25" s="1992"/>
      <c r="L25" s="1992"/>
      <c r="M25" s="1992"/>
      <c r="N25" s="1992"/>
      <c r="O25" s="1992"/>
      <c r="P25" s="1992"/>
      <c r="Q25" s="1992"/>
      <c r="R25" s="1992"/>
      <c r="S25" s="1993"/>
      <c r="T25" s="2063" t="s">
        <v>2093</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2082</v>
      </c>
      <c r="B38" s="2004"/>
      <c r="C38" s="2004"/>
      <c r="D38" s="2004"/>
      <c r="E38" s="2004"/>
      <c r="F38" s="1968"/>
      <c r="G38" s="1968"/>
      <c r="H38" s="1969"/>
      <c r="I38" s="1996"/>
      <c r="J38" s="1997"/>
      <c r="K38" s="1997"/>
      <c r="L38" s="1997"/>
      <c r="M38" s="1997"/>
      <c r="N38" s="1997"/>
      <c r="O38" s="1997"/>
      <c r="P38" s="1998"/>
      <c r="Q38" s="1998"/>
      <c r="R38" s="1998"/>
      <c r="S38" s="1999"/>
      <c r="T38" s="2053" t="s">
        <v>2094</v>
      </c>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2081</v>
      </c>
      <c r="B40" s="1982"/>
      <c r="C40" s="1983"/>
      <c r="D40" s="1983"/>
      <c r="E40" s="1983"/>
      <c r="F40" s="1984"/>
      <c r="G40" s="1984"/>
      <c r="H40" s="1985"/>
      <c r="I40" s="2006"/>
      <c r="J40" s="2007"/>
      <c r="K40" s="2007"/>
      <c r="L40" s="2007"/>
      <c r="M40" s="2007"/>
      <c r="N40" s="2007"/>
      <c r="O40" s="2007"/>
      <c r="P40" s="2007"/>
      <c r="Q40" s="2007"/>
      <c r="R40" s="2007"/>
      <c r="S40" s="2008"/>
      <c r="T40" s="2006" t="s">
        <v>2095</v>
      </c>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2083</v>
      </c>
      <c r="B42" s="1987"/>
      <c r="C42" s="1988"/>
      <c r="D42" s="1986" t="s">
        <v>2084</v>
      </c>
      <c r="E42" s="1987"/>
      <c r="F42" s="1987"/>
      <c r="G42" s="1987"/>
      <c r="H42" s="1988"/>
      <c r="I42" s="1970"/>
      <c r="J42" s="1971"/>
      <c r="K42" s="1971"/>
      <c r="L42" s="1971"/>
      <c r="M42" s="1971"/>
      <c r="N42" s="1971"/>
      <c r="O42" s="1972"/>
      <c r="P42" s="2005"/>
      <c r="Q42" s="1971"/>
      <c r="R42" s="1971"/>
      <c r="S42" s="1972"/>
      <c r="T42" s="1970" t="s">
        <v>2096</v>
      </c>
      <c r="U42" s="1971"/>
      <c r="V42" s="1971"/>
      <c r="W42" s="1972"/>
      <c r="X42" s="2005" t="s">
        <v>2097</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4" sqref="B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9" t="s">
        <v>1905</v>
      </c>
      <c r="B2" s="1550" t="s">
        <v>2037</v>
      </c>
      <c r="C2" s="715" t="s">
        <v>1910</v>
      </c>
      <c r="D2" s="715" t="s">
        <v>1911</v>
      </c>
      <c r="E2" s="715" t="s">
        <v>1912</v>
      </c>
      <c r="F2" s="715" t="s">
        <v>1913</v>
      </c>
    </row>
    <row r="3" spans="1:6" ht="12" customHeight="1" x14ac:dyDescent="0.2">
      <c r="A3" s="2210"/>
      <c r="B3" s="1547"/>
      <c r="C3" s="1548"/>
      <c r="D3" s="1549" t="s">
        <v>274</v>
      </c>
      <c r="E3" s="1548"/>
      <c r="F3" s="1549" t="s">
        <v>275</v>
      </c>
    </row>
    <row r="4" spans="1:6" ht="13.7" customHeight="1" x14ac:dyDescent="0.2">
      <c r="A4" s="716" t="s">
        <v>1217</v>
      </c>
      <c r="B4" s="1771">
        <f>'Revenues 9-14'!C5</f>
        <v>215028</v>
      </c>
      <c r="C4" s="1546"/>
      <c r="D4" s="1774">
        <f>B4-C4</f>
        <v>215028</v>
      </c>
      <c r="E4" s="1546">
        <v>226026</v>
      </c>
      <c r="F4" s="1774">
        <f>E4-C4</f>
        <v>226026</v>
      </c>
    </row>
    <row r="5" spans="1:6" ht="13.7" customHeight="1" x14ac:dyDescent="0.2">
      <c r="A5" s="716" t="s">
        <v>925</v>
      </c>
      <c r="B5" s="1772">
        <f>'Revenues 9-14'!D5</f>
        <v>35289</v>
      </c>
      <c r="C5" s="585"/>
      <c r="D5" s="1775">
        <f t="shared" ref="D5:D18" si="0">B5-C5</f>
        <v>35289</v>
      </c>
      <c r="E5" s="585">
        <v>37130</v>
      </c>
      <c r="F5" s="1775">
        <f>E5-C5</f>
        <v>37130</v>
      </c>
    </row>
    <row r="6" spans="1:6" ht="13.7" customHeight="1" x14ac:dyDescent="0.2">
      <c r="A6" s="716" t="s">
        <v>431</v>
      </c>
      <c r="B6" s="1772">
        <f>'Revenues 9-14'!E5</f>
        <v>6621</v>
      </c>
      <c r="C6" s="585"/>
      <c r="D6" s="1775">
        <f t="shared" si="0"/>
        <v>6621</v>
      </c>
      <c r="E6" s="585">
        <v>6635</v>
      </c>
      <c r="F6" s="1775">
        <f t="shared" ref="F6:F18" si="1">E6-C6</f>
        <v>6635</v>
      </c>
    </row>
    <row r="7" spans="1:6" ht="13.7" customHeight="1" x14ac:dyDescent="0.2">
      <c r="A7" s="716" t="s">
        <v>157</v>
      </c>
      <c r="B7" s="1772">
        <f>'Revenues 9-14'!F5</f>
        <v>15123</v>
      </c>
      <c r="C7" s="585"/>
      <c r="D7" s="1775">
        <f t="shared" si="0"/>
        <v>15123</v>
      </c>
      <c r="E7" s="585">
        <v>15911</v>
      </c>
      <c r="F7" s="1775">
        <f t="shared" si="1"/>
        <v>15911</v>
      </c>
    </row>
    <row r="8" spans="1:6" ht="13.7" customHeight="1" x14ac:dyDescent="0.2">
      <c r="A8" s="716" t="s">
        <v>1241</v>
      </c>
      <c r="B8" s="1772">
        <f>'Revenues 9-14'!G5</f>
        <v>6567</v>
      </c>
      <c r="C8" s="585"/>
      <c r="D8" s="1775">
        <f t="shared" si="0"/>
        <v>6567</v>
      </c>
      <c r="E8" s="585">
        <v>6901</v>
      </c>
      <c r="F8" s="1775">
        <f t="shared" si="1"/>
        <v>6901</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5041</v>
      </c>
      <c r="C10" s="585"/>
      <c r="D10" s="1775">
        <f t="shared" si="0"/>
        <v>5041</v>
      </c>
      <c r="E10" s="585">
        <v>5440</v>
      </c>
      <c r="F10" s="1775">
        <f t="shared" si="1"/>
        <v>5440</v>
      </c>
    </row>
    <row r="11" spans="1:6" x14ac:dyDescent="0.2">
      <c r="A11" s="716" t="s">
        <v>429</v>
      </c>
      <c r="B11" s="1772">
        <f>'Revenues 9-14'!J5</f>
        <v>22370</v>
      </c>
      <c r="C11" s="585"/>
      <c r="D11" s="1775">
        <f t="shared" si="0"/>
        <v>22370</v>
      </c>
      <c r="E11" s="585">
        <v>18357</v>
      </c>
      <c r="F11" s="1775">
        <f t="shared" si="1"/>
        <v>18357</v>
      </c>
    </row>
    <row r="12" spans="1:6" ht="13.7" customHeight="1" x14ac:dyDescent="0.2">
      <c r="A12" s="716" t="s">
        <v>159</v>
      </c>
      <c r="B12" s="1772">
        <f>'Revenues 9-14'!K5</f>
        <v>0</v>
      </c>
      <c r="C12" s="585"/>
      <c r="D12" s="1775">
        <f t="shared" si="0"/>
        <v>0</v>
      </c>
      <c r="E12" s="585">
        <v>5440</v>
      </c>
      <c r="F12" s="1775">
        <f t="shared" si="1"/>
        <v>5440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2016</v>
      </c>
      <c r="C14" s="585"/>
      <c r="D14" s="1775">
        <f t="shared" si="0"/>
        <v>2016</v>
      </c>
      <c r="E14" s="585">
        <v>2176</v>
      </c>
      <c r="F14" s="1775">
        <f t="shared" si="1"/>
        <v>2176</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17622</v>
      </c>
      <c r="C16" s="585"/>
      <c r="D16" s="1775">
        <f t="shared" si="0"/>
        <v>17622</v>
      </c>
      <c r="E16" s="585">
        <v>18100</v>
      </c>
      <c r="F16" s="1775">
        <f t="shared" si="1"/>
        <v>18100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325677</v>
      </c>
      <c r="C19" s="1773">
        <f>SUM(C4:C18)</f>
        <v>0</v>
      </c>
      <c r="D19" s="1773">
        <f>SUM(D4:D18)</f>
        <v>325677</v>
      </c>
      <c r="E19" s="1773">
        <f>SUM(E4:E18)</f>
        <v>342116</v>
      </c>
      <c r="F19" s="1773">
        <f>SUM(F4:F18)</f>
        <v>342116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A34" sqref="A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2"/>
    </row>
    <row r="2" spans="1:7" ht="33.75" x14ac:dyDescent="0.2">
      <c r="A2" s="2236" t="s">
        <v>1905</v>
      </c>
      <c r="B2" s="2237"/>
      <c r="C2" s="1909" t="s">
        <v>2038</v>
      </c>
      <c r="D2" s="724" t="s">
        <v>2045</v>
      </c>
      <c r="E2" s="724" t="s">
        <v>2046</v>
      </c>
      <c r="F2" s="1909" t="s">
        <v>2039</v>
      </c>
    </row>
    <row r="3" spans="1:7" ht="15.75" customHeight="1" x14ac:dyDescent="0.2">
      <c r="A3" s="2238" t="s">
        <v>1176</v>
      </c>
      <c r="B3" s="2239"/>
      <c r="C3" s="2232"/>
      <c r="D3" s="2233"/>
      <c r="E3" s="2233"/>
      <c r="F3" s="2234"/>
    </row>
    <row r="4" spans="1:7" ht="12.75" customHeight="1" thickBot="1" x14ac:dyDescent="0.25">
      <c r="A4" s="2226" t="s">
        <v>651</v>
      </c>
      <c r="B4" s="2227"/>
      <c r="C4" s="581"/>
      <c r="D4" s="581"/>
      <c r="E4" s="581"/>
      <c r="F4" s="1777">
        <f>SUM(C4+D4)-E4</f>
        <v>0</v>
      </c>
    </row>
    <row r="5" spans="1:7" ht="15.75" customHeight="1" thickTop="1" x14ac:dyDescent="0.2">
      <c r="A5" s="2230" t="s">
        <v>1172</v>
      </c>
      <c r="B5" s="2225"/>
      <c r="C5" s="2219"/>
      <c r="D5" s="2220"/>
      <c r="E5" s="2220"/>
      <c r="F5" s="222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2" t="s">
        <v>652</v>
      </c>
      <c r="B15" s="2223"/>
      <c r="C15" s="1777">
        <f>SUM(C6:C14)</f>
        <v>0</v>
      </c>
      <c r="D15" s="1777">
        <f>SUM(D6:D14)</f>
        <v>0</v>
      </c>
      <c r="E15" s="1777">
        <f>SUM(E6:E14)</f>
        <v>0</v>
      </c>
      <c r="F15" s="1777">
        <f>SUM(F6:F14)</f>
        <v>0</v>
      </c>
      <c r="G15" s="552"/>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7"/>
      <c r="D17" s="585"/>
      <c r="E17" s="727"/>
      <c r="F17" s="1777">
        <f>SUM(C17+D17)-E17</f>
        <v>0</v>
      </c>
    </row>
    <row r="18" spans="1:11" ht="12.75" customHeight="1" thickTop="1" thickBot="1" x14ac:dyDescent="0.25">
      <c r="A18" s="2217" t="s">
        <v>6</v>
      </c>
      <c r="B18" s="2218"/>
      <c r="C18" s="727"/>
      <c r="D18" s="585"/>
      <c r="E18" s="727"/>
      <c r="F18" s="1777">
        <f>SUM(C18+D18)-E18</f>
        <v>0</v>
      </c>
    </row>
    <row r="19" spans="1:11" ht="12.75" customHeight="1" thickTop="1" thickBot="1" x14ac:dyDescent="0.25">
      <c r="A19" s="2217" t="s">
        <v>406</v>
      </c>
      <c r="B19" s="2218"/>
      <c r="C19" s="727"/>
      <c r="D19" s="585"/>
      <c r="E19" s="727"/>
      <c r="F19" s="1777">
        <f>SUM(C19+D19)-E19</f>
        <v>0</v>
      </c>
    </row>
    <row r="20" spans="1:11" ht="12.75" customHeight="1" thickTop="1" thickBot="1" x14ac:dyDescent="0.25">
      <c r="A20" s="2217" t="s">
        <v>468</v>
      </c>
      <c r="B20" s="2218"/>
      <c r="C20" s="727"/>
      <c r="D20" s="585"/>
      <c r="E20" s="727"/>
      <c r="F20" s="1777">
        <f>SUM(C20+D20)-E20</f>
        <v>0</v>
      </c>
    </row>
    <row r="21" spans="1:11" ht="14.25" thickTop="1" thickBot="1" x14ac:dyDescent="0.25">
      <c r="A21" s="2222" t="s">
        <v>653</v>
      </c>
      <c r="B21" s="2223"/>
      <c r="C21" s="1777">
        <f>SUM(C17:C20)</f>
        <v>0</v>
      </c>
      <c r="D21" s="1777">
        <f>SUM(D17:D20)</f>
        <v>0</v>
      </c>
      <c r="E21" s="1777">
        <f>SUM(E17:E20)</f>
        <v>0</v>
      </c>
      <c r="F21" s="1777">
        <f>SUM(F17:F20)</f>
        <v>0</v>
      </c>
      <c r="G21" s="552"/>
    </row>
    <row r="22" spans="1:11" ht="15.75" customHeight="1" thickTop="1" x14ac:dyDescent="0.2">
      <c r="A22" s="2224" t="s">
        <v>1174</v>
      </c>
      <c r="B22" s="2225"/>
      <c r="C22" s="2219"/>
      <c r="D22" s="2220"/>
      <c r="E22" s="2220"/>
      <c r="F22" s="2221"/>
    </row>
    <row r="23" spans="1:11" ht="13.5" thickBot="1" x14ac:dyDescent="0.25">
      <c r="A23" s="2226" t="s">
        <v>654</v>
      </c>
      <c r="B23" s="2227"/>
      <c r="C23" s="581"/>
      <c r="D23" s="581"/>
      <c r="E23" s="581"/>
      <c r="F23" s="1777">
        <f>SUM(C23+D23)-E23</f>
        <v>0</v>
      </c>
      <c r="G23" s="552"/>
    </row>
    <row r="24" spans="1:11" ht="15.75" customHeight="1" thickTop="1" x14ac:dyDescent="0.2">
      <c r="A24" s="2224" t="s">
        <v>1175</v>
      </c>
      <c r="B24" s="2225"/>
      <c r="C24" s="2219"/>
      <c r="D24" s="2220"/>
      <c r="E24" s="2220"/>
      <c r="F24" s="2221"/>
    </row>
    <row r="25" spans="1:11" ht="13.5" thickBot="1" x14ac:dyDescent="0.25">
      <c r="A25" s="2226" t="s">
        <v>655</v>
      </c>
      <c r="B25" s="2227"/>
      <c r="C25" s="581"/>
      <c r="D25" s="581"/>
      <c r="E25" s="581"/>
      <c r="F25" s="1777">
        <f>SUM(C25+D25)-E25</f>
        <v>0</v>
      </c>
      <c r="G25" s="552"/>
    </row>
    <row r="26" spans="1:11" ht="15.75" customHeight="1" thickTop="1" x14ac:dyDescent="0.2">
      <c r="A26" s="2230" t="s">
        <v>678</v>
      </c>
      <c r="B26" s="2225"/>
      <c r="C26" s="728"/>
      <c r="D26" s="728"/>
      <c r="E26" s="728"/>
      <c r="F26" s="729"/>
    </row>
    <row r="27" spans="1:11" ht="13.5" thickBot="1" x14ac:dyDescent="0.25">
      <c r="A27" s="2222" t="s">
        <v>1130</v>
      </c>
      <c r="B27" s="2223"/>
      <c r="C27" s="585"/>
      <c r="D27" s="585"/>
      <c r="E27" s="585"/>
      <c r="F27" s="1777">
        <f>SUM(C27+D27)-E27</f>
        <v>0</v>
      </c>
      <c r="G27" s="552"/>
    </row>
    <row r="28" spans="1:11" ht="7.5" customHeight="1" thickTop="1" x14ac:dyDescent="0.2">
      <c r="A28" s="594"/>
    </row>
    <row r="29" spans="1:11" ht="23.25" customHeight="1" x14ac:dyDescent="0.2">
      <c r="A29" s="2228" t="s">
        <v>603</v>
      </c>
      <c r="B29" s="222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2098</v>
      </c>
      <c r="B31" s="734">
        <v>41334</v>
      </c>
      <c r="C31" s="735">
        <v>50000</v>
      </c>
      <c r="D31" s="736">
        <v>4</v>
      </c>
      <c r="E31" s="735">
        <v>33169</v>
      </c>
      <c r="F31" s="735"/>
      <c r="G31" s="735"/>
      <c r="H31" s="735">
        <v>4798</v>
      </c>
      <c r="I31" s="1778">
        <f>((E31+F31)-H31)+G31</f>
        <v>28371</v>
      </c>
      <c r="J31" s="735">
        <v>27229</v>
      </c>
      <c r="K31" s="737"/>
    </row>
    <row r="32" spans="1:11" ht="12" customHeight="1" x14ac:dyDescent="0.2">
      <c r="A32" s="733" t="s">
        <v>2099</v>
      </c>
      <c r="B32" s="734">
        <v>42578</v>
      </c>
      <c r="C32" s="735">
        <v>179326</v>
      </c>
      <c r="D32" s="736">
        <v>7</v>
      </c>
      <c r="E32" s="735">
        <v>140674</v>
      </c>
      <c r="F32" s="735"/>
      <c r="G32" s="735">
        <v>-33183</v>
      </c>
      <c r="H32" s="735"/>
      <c r="I32" s="1778">
        <f>((E32+F32)-H32)+G32</f>
        <v>107491</v>
      </c>
      <c r="J32" s="735">
        <v>107491</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229326</v>
      </c>
      <c r="D49" s="746"/>
      <c r="E49" s="1778">
        <f t="shared" ref="E49:J49" si="2">SUM(E31:E48)</f>
        <v>173843</v>
      </c>
      <c r="F49" s="1778">
        <f t="shared" si="2"/>
        <v>0</v>
      </c>
      <c r="G49" s="1778">
        <f t="shared" si="2"/>
        <v>-33183</v>
      </c>
      <c r="H49" s="1778">
        <f t="shared" si="2"/>
        <v>4798</v>
      </c>
      <c r="I49" s="1778">
        <f t="shared" si="2"/>
        <v>135862</v>
      </c>
      <c r="J49" s="1778">
        <f t="shared" si="2"/>
        <v>134720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1" t="s">
        <v>605</v>
      </c>
      <c r="C52" s="2212"/>
      <c r="D52" s="2212"/>
      <c r="E52" s="750" t="s">
        <v>900</v>
      </c>
      <c r="F52" s="2213" t="s">
        <v>2100</v>
      </c>
      <c r="G52" s="2214"/>
      <c r="H52" s="737"/>
      <c r="I52" s="737"/>
      <c r="J52" s="747"/>
    </row>
    <row r="53" spans="1:11" ht="11.25" customHeight="1" x14ac:dyDescent="0.2">
      <c r="A53" s="751" t="s">
        <v>969</v>
      </c>
      <c r="B53" s="752" t="s">
        <v>1008</v>
      </c>
      <c r="C53" s="747"/>
      <c r="D53" s="738"/>
      <c r="E53" s="750" t="s">
        <v>518</v>
      </c>
      <c r="F53" s="2215"/>
      <c r="G53" s="2216"/>
      <c r="H53" s="737"/>
      <c r="I53" s="737"/>
      <c r="J53" s="747"/>
    </row>
    <row r="54" spans="1:11" ht="11.25" customHeight="1" x14ac:dyDescent="0.2">
      <c r="A54" s="753" t="s">
        <v>970</v>
      </c>
      <c r="B54" s="748" t="s">
        <v>1009</v>
      </c>
      <c r="C54" s="747"/>
      <c r="D54" s="738"/>
      <c r="E54" s="750" t="s">
        <v>519</v>
      </c>
      <c r="F54" s="2215"/>
      <c r="G54" s="221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52"/>
      <c r="I1" s="761"/>
      <c r="J1" s="433"/>
    </row>
    <row r="2" spans="1:11" ht="26.25" x14ac:dyDescent="0.2">
      <c r="A2" s="2259" t="s">
        <v>1776</v>
      </c>
      <c r="B2" s="2260"/>
      <c r="C2" s="2260"/>
      <c r="D2" s="2260"/>
      <c r="E2" s="2261"/>
      <c r="F2" s="762" t="s">
        <v>960</v>
      </c>
      <c r="G2" s="763" t="s">
        <v>1773</v>
      </c>
      <c r="H2" s="763" t="s">
        <v>430</v>
      </c>
      <c r="I2" s="763" t="s">
        <v>1220</v>
      </c>
      <c r="J2" s="763" t="s">
        <v>1919</v>
      </c>
      <c r="K2" s="763" t="s">
        <v>140</v>
      </c>
    </row>
    <row r="3" spans="1:11" x14ac:dyDescent="0.2">
      <c r="A3" s="2262" t="s">
        <v>1698</v>
      </c>
      <c r="B3" s="2263"/>
      <c r="C3" s="2263"/>
      <c r="D3" s="2263"/>
      <c r="E3" s="2264"/>
      <c r="F3" s="764"/>
      <c r="G3" s="765">
        <v>0</v>
      </c>
      <c r="H3" s="765">
        <v>0</v>
      </c>
      <c r="I3" s="765">
        <v>0</v>
      </c>
      <c r="J3" s="766">
        <v>0</v>
      </c>
      <c r="K3" s="766">
        <v>0</v>
      </c>
    </row>
    <row r="4" spans="1:11" x14ac:dyDescent="0.2">
      <c r="A4" s="2265" t="s">
        <v>387</v>
      </c>
      <c r="B4" s="2266"/>
      <c r="C4" s="2266"/>
      <c r="D4" s="2266"/>
      <c r="E4" s="2212"/>
      <c r="F4" s="767"/>
      <c r="G4" s="768"/>
      <c r="H4" s="769"/>
      <c r="I4" s="768"/>
      <c r="J4" s="770"/>
      <c r="K4" s="770"/>
    </row>
    <row r="5" spans="1:11" x14ac:dyDescent="0.2">
      <c r="A5" s="2243" t="s">
        <v>1129</v>
      </c>
      <c r="B5" s="2244"/>
      <c r="C5" s="2244"/>
      <c r="D5" s="2244"/>
      <c r="E5" s="2245"/>
      <c r="F5" s="771" t="s">
        <v>903</v>
      </c>
      <c r="G5" s="772"/>
      <c r="H5" s="765">
        <v>2016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3" t="s">
        <v>1920</v>
      </c>
      <c r="B10" s="2244"/>
      <c r="C10" s="2244"/>
      <c r="D10" s="2244"/>
      <c r="E10" s="2246"/>
      <c r="F10" s="784" t="s">
        <v>917</v>
      </c>
      <c r="G10" s="783"/>
      <c r="H10" s="785"/>
      <c r="I10" s="765"/>
      <c r="J10" s="766"/>
      <c r="K10" s="766"/>
    </row>
    <row r="11" spans="1:11" x14ac:dyDescent="0.2">
      <c r="A11" s="2243" t="s">
        <v>162</v>
      </c>
      <c r="B11" s="2244"/>
      <c r="C11" s="2244"/>
      <c r="D11" s="2244"/>
      <c r="E11" s="2245"/>
      <c r="F11" s="771" t="s">
        <v>907</v>
      </c>
      <c r="G11" s="772"/>
      <c r="H11" s="765"/>
      <c r="I11" s="765"/>
      <c r="J11" s="766"/>
      <c r="K11" s="774"/>
    </row>
    <row r="12" spans="1:11" ht="13.5" thickBot="1" x14ac:dyDescent="0.25">
      <c r="A12" s="2270" t="s">
        <v>961</v>
      </c>
      <c r="B12" s="2271"/>
      <c r="C12" s="2271"/>
      <c r="D12" s="2271"/>
      <c r="E12" s="2272"/>
      <c r="F12" s="1779"/>
      <c r="G12" s="1780">
        <f>SUM(G5:G11)</f>
        <v>0</v>
      </c>
      <c r="H12" s="1780">
        <f>SUM(H5:H11)</f>
        <v>2016</v>
      </c>
      <c r="I12" s="1780">
        <f>SUM(I5:I11)</f>
        <v>0</v>
      </c>
      <c r="J12" s="1780">
        <f>SUM(J5:J11)</f>
        <v>0</v>
      </c>
      <c r="K12" s="1780">
        <f>SUM(K5:K11)</f>
        <v>0</v>
      </c>
    </row>
    <row r="13" spans="1:11" ht="13.5" thickTop="1" x14ac:dyDescent="0.2">
      <c r="A13" s="2267" t="s">
        <v>388</v>
      </c>
      <c r="B13" s="2268"/>
      <c r="C13" s="2268"/>
      <c r="D13" s="2268"/>
      <c r="E13" s="2269"/>
      <c r="F13" s="786"/>
      <c r="G13" s="787"/>
      <c r="H13" s="788"/>
      <c r="I13" s="789"/>
      <c r="J13" s="789"/>
      <c r="K13" s="789"/>
    </row>
    <row r="14" spans="1:11" x14ac:dyDescent="0.2">
      <c r="A14" s="2250" t="s">
        <v>476</v>
      </c>
      <c r="B14" s="2250"/>
      <c r="C14" s="2250"/>
      <c r="D14" s="2250"/>
      <c r="E14" s="2251"/>
      <c r="F14" s="790" t="s">
        <v>909</v>
      </c>
      <c r="G14" s="783"/>
      <c r="H14" s="765">
        <v>2016</v>
      </c>
      <c r="I14" s="772"/>
      <c r="J14" s="774"/>
      <c r="K14" s="766"/>
    </row>
    <row r="15" spans="1:11" x14ac:dyDescent="0.2">
      <c r="A15" s="2244" t="s">
        <v>4</v>
      </c>
      <c r="B15" s="2244"/>
      <c r="C15" s="2244"/>
      <c r="D15" s="2244"/>
      <c r="E15" s="2245"/>
      <c r="F15" s="790" t="s">
        <v>910</v>
      </c>
      <c r="G15" s="772"/>
      <c r="H15" s="765"/>
      <c r="I15" s="765"/>
      <c r="J15" s="766"/>
      <c r="K15" s="766"/>
    </row>
    <row r="16" spans="1:11" x14ac:dyDescent="0.2">
      <c r="A16" s="2244" t="s">
        <v>316</v>
      </c>
      <c r="B16" s="2244"/>
      <c r="C16" s="2244"/>
      <c r="D16" s="2244"/>
      <c r="E16" s="2245"/>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52" t="s">
        <v>1916</v>
      </c>
      <c r="B19" s="2252"/>
      <c r="C19" s="2252"/>
      <c r="D19" s="2252"/>
      <c r="E19" s="2253"/>
      <c r="F19" s="790" t="s">
        <v>990</v>
      </c>
      <c r="G19" s="783"/>
      <c r="H19" s="783"/>
      <c r="I19" s="783"/>
      <c r="J19" s="766"/>
      <c r="K19" s="796"/>
    </row>
    <row r="20" spans="1:11" x14ac:dyDescent="0.2">
      <c r="A20" s="2254" t="s">
        <v>1921</v>
      </c>
      <c r="B20" s="2255"/>
      <c r="C20" s="2255"/>
      <c r="D20" s="2255"/>
      <c r="E20" s="2256"/>
      <c r="F20" s="790" t="s">
        <v>991</v>
      </c>
      <c r="G20" s="783"/>
      <c r="H20" s="783"/>
      <c r="I20" s="783"/>
      <c r="J20" s="766"/>
      <c r="K20" s="796"/>
    </row>
    <row r="21" spans="1:11" ht="13.5" thickBot="1" x14ac:dyDescent="0.25">
      <c r="A21" s="2273" t="s">
        <v>659</v>
      </c>
      <c r="B21" s="2273"/>
      <c r="C21" s="2273"/>
      <c r="D21" s="2273"/>
      <c r="E21" s="2273"/>
      <c r="F21" s="1781"/>
      <c r="G21" s="793"/>
      <c r="H21" s="797"/>
      <c r="I21" s="797"/>
      <c r="J21" s="1782">
        <f>SUM(J18:J20)</f>
        <v>0</v>
      </c>
      <c r="K21" s="794"/>
    </row>
    <row r="22" spans="1:11" ht="13.5" thickTop="1" x14ac:dyDescent="0.2">
      <c r="A22" s="2244" t="s">
        <v>1922</v>
      </c>
      <c r="B22" s="2244"/>
      <c r="C22" s="2244"/>
      <c r="D22" s="2244"/>
      <c r="E22" s="2245"/>
      <c r="F22" s="790" t="s">
        <v>917</v>
      </c>
      <c r="G22" s="783"/>
      <c r="H22" s="765"/>
      <c r="I22" s="765"/>
      <c r="J22" s="798"/>
      <c r="K22" s="766"/>
    </row>
    <row r="23" spans="1:11" ht="13.5" thickBot="1" x14ac:dyDescent="0.25">
      <c r="A23" s="2274" t="s">
        <v>962</v>
      </c>
      <c r="B23" s="2273"/>
      <c r="C23" s="2273"/>
      <c r="D23" s="2273"/>
      <c r="E23" s="2273"/>
      <c r="F23" s="1783"/>
      <c r="G23" s="1780">
        <f>SUM(G14:G16,G21,G22)</f>
        <v>0</v>
      </c>
      <c r="H23" s="1780">
        <f>SUM(H14:H16,H21,H22)</f>
        <v>2016</v>
      </c>
      <c r="I23" s="1780">
        <f>SUM(I14:I16,I21,I22)</f>
        <v>0</v>
      </c>
      <c r="J23" s="1780">
        <f>SUM(J14:J16,J21,J22)</f>
        <v>0</v>
      </c>
      <c r="K23" s="1780">
        <f>SUM(K14:K16,K21,K22)</f>
        <v>0</v>
      </c>
    </row>
    <row r="24" spans="1:11" ht="14.25" thickTop="1" thickBot="1" x14ac:dyDescent="0.25">
      <c r="A24" s="2274" t="s">
        <v>2026</v>
      </c>
      <c r="B24" s="2273"/>
      <c r="C24" s="2273"/>
      <c r="D24" s="2273"/>
      <c r="E24" s="227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7"/>
      <c r="I31" s="2248"/>
      <c r="J31" s="2248"/>
      <c r="K31" s="2248"/>
    </row>
    <row r="32" spans="1:11" x14ac:dyDescent="0.2">
      <c r="A32" s="810"/>
      <c r="B32" s="237"/>
      <c r="C32" s="237"/>
      <c r="D32" s="237"/>
      <c r="E32" s="806"/>
      <c r="F32" s="812" t="s">
        <v>561</v>
      </c>
      <c r="G32" s="765"/>
      <c r="H32" s="2249"/>
      <c r="I32" s="2248"/>
      <c r="J32" s="2248"/>
      <c r="K32" s="2248"/>
    </row>
    <row r="33" spans="1:11" ht="1.5" customHeight="1" x14ac:dyDescent="0.2">
      <c r="A33" s="813" t="s">
        <v>1231</v>
      </c>
      <c r="B33" s="364"/>
      <c r="C33" s="364"/>
      <c r="D33" s="364"/>
      <c r="E33" s="364"/>
      <c r="F33" s="364"/>
      <c r="G33" s="814"/>
      <c r="H33" s="2249"/>
      <c r="I33" s="2248"/>
      <c r="J33" s="2248"/>
      <c r="K33" s="224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57"/>
      <c r="C41" s="2257"/>
      <c r="D41" s="2257"/>
      <c r="E41" s="2257"/>
      <c r="F41" s="225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2035</v>
      </c>
      <c r="B1" s="2280"/>
      <c r="C1" s="2281"/>
      <c r="D1" s="827"/>
      <c r="E1" s="828"/>
      <c r="F1" s="828"/>
      <c r="G1" s="829"/>
      <c r="H1" s="830"/>
      <c r="I1" s="831"/>
      <c r="J1" s="2277"/>
      <c r="K1" s="2278"/>
      <c r="L1" s="227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5500</v>
      </c>
      <c r="D5" s="842"/>
      <c r="E5" s="842"/>
      <c r="F5" s="1782">
        <f>(C5+D5)-E5</f>
        <v>5500</v>
      </c>
      <c r="G5" s="838"/>
      <c r="H5" s="843"/>
      <c r="I5" s="843"/>
      <c r="J5" s="843"/>
      <c r="K5" s="794"/>
      <c r="L5" s="1791">
        <f>F5-K5</f>
        <v>5500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683858</v>
      </c>
      <c r="D8" s="845"/>
      <c r="E8" s="845"/>
      <c r="F8" s="1782">
        <f>(C8+D8)-E8</f>
        <v>683858</v>
      </c>
      <c r="G8" s="844">
        <v>50</v>
      </c>
      <c r="H8" s="766">
        <v>330584</v>
      </c>
      <c r="I8" s="766">
        <v>13073</v>
      </c>
      <c r="J8" s="766"/>
      <c r="K8" s="1791">
        <f>(H8+I8)-J8</f>
        <v>343657</v>
      </c>
      <c r="L8" s="1791">
        <f>F8-K8</f>
        <v>340201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3389</v>
      </c>
      <c r="D10" s="847"/>
      <c r="E10" s="847"/>
      <c r="F10" s="1786">
        <f>(C10+D10)-E10</f>
        <v>3389</v>
      </c>
      <c r="G10" s="844">
        <v>20</v>
      </c>
      <c r="H10" s="848">
        <v>2270</v>
      </c>
      <c r="I10" s="848">
        <v>169</v>
      </c>
      <c r="J10" s="848"/>
      <c r="K10" s="1791">
        <f>(H10+I10)-J10</f>
        <v>2439</v>
      </c>
      <c r="L10" s="1791">
        <f>F10-K10</f>
        <v>950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337907</v>
      </c>
      <c r="D12" s="845">
        <v>32586</v>
      </c>
      <c r="E12" s="845"/>
      <c r="F12" s="1782">
        <f>(C12+D12)-E12</f>
        <v>370493</v>
      </c>
      <c r="G12" s="844">
        <v>10</v>
      </c>
      <c r="H12" s="766">
        <v>285324</v>
      </c>
      <c r="I12" s="766">
        <v>14049</v>
      </c>
      <c r="J12" s="766"/>
      <c r="K12" s="1791">
        <f>(H12+I12)-J12</f>
        <v>299373</v>
      </c>
      <c r="L12" s="1791">
        <f>F12-K12</f>
        <v>71120</v>
      </c>
    </row>
    <row r="13" spans="1:14" ht="14.25" thickTop="1" thickBot="1" x14ac:dyDescent="0.25">
      <c r="A13" s="849" t="s">
        <v>1184</v>
      </c>
      <c r="B13" s="841">
        <v>252</v>
      </c>
      <c r="C13" s="845">
        <v>182356</v>
      </c>
      <c r="D13" s="845"/>
      <c r="E13" s="845"/>
      <c r="F13" s="1782">
        <f>(C13+D13)-E13</f>
        <v>182356</v>
      </c>
      <c r="G13" s="844">
        <v>5</v>
      </c>
      <c r="H13" s="766">
        <v>33381</v>
      </c>
      <c r="I13" s="766">
        <v>36471</v>
      </c>
      <c r="J13" s="766"/>
      <c r="K13" s="1791">
        <f>(H13+I13)-J13</f>
        <v>69852</v>
      </c>
      <c r="L13" s="1791">
        <f>F13-K13</f>
        <v>112504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44910</v>
      </c>
      <c r="E15" s="845"/>
      <c r="F15" s="1782">
        <f>(C15+D15)-E15</f>
        <v>44910</v>
      </c>
      <c r="G15" s="850" t="s">
        <v>917</v>
      </c>
      <c r="H15" s="782"/>
      <c r="I15" s="782"/>
      <c r="J15" s="782"/>
      <c r="K15" s="782"/>
      <c r="L15" s="1791">
        <f>F15-K15</f>
        <v>44910</v>
      </c>
    </row>
    <row r="16" spans="1:14" ht="15" customHeight="1" thickTop="1" thickBot="1" x14ac:dyDescent="0.25">
      <c r="A16" s="1787" t="s">
        <v>664</v>
      </c>
      <c r="B16" s="1788">
        <v>200</v>
      </c>
      <c r="C16" s="1782">
        <f>SUM(C3,C5:C6,C8:C10,C12:C15)</f>
        <v>1213010</v>
      </c>
      <c r="D16" s="1782">
        <f>SUM(D3,D5:D6,D8:D10,D12:D15)</f>
        <v>77496</v>
      </c>
      <c r="E16" s="1782">
        <f>SUM(E3,E5:E6,E8:E10,E12:E15)</f>
        <v>0</v>
      </c>
      <c r="F16" s="1782">
        <f>SUM(F3,F5:F6,F8:F10,F12:F15)</f>
        <v>1290506</v>
      </c>
      <c r="G16" s="844"/>
      <c r="H16" s="1782">
        <f>SUM(H3,H6,H8:H10,H12:H14,)</f>
        <v>651559</v>
      </c>
      <c r="I16" s="1782">
        <f>SUM(I3,I6,I8:I10,I12:I14,)</f>
        <v>63762</v>
      </c>
      <c r="J16" s="1782">
        <f>SUM(J3,J6,J8:J10,J12:J14,)</f>
        <v>0</v>
      </c>
      <c r="K16" s="1782">
        <f>(H16+I16)-J16</f>
        <v>715321</v>
      </c>
      <c r="L16" s="1782">
        <f>F16-K16</f>
        <v>575185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63762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564397</v>
      </c>
      <c r="G8" s="866"/>
    </row>
    <row r="9" spans="1:7" x14ac:dyDescent="0.2">
      <c r="A9" s="870" t="s">
        <v>480</v>
      </c>
      <c r="B9" s="871" t="s">
        <v>1989</v>
      </c>
      <c r="C9" s="872"/>
      <c r="D9" s="870" t="s">
        <v>522</v>
      </c>
      <c r="E9" s="869"/>
      <c r="F9" s="1935">
        <f>'Expenditures 15-22'!K151</f>
        <v>92642</v>
      </c>
      <c r="G9" s="873"/>
    </row>
    <row r="10" spans="1:7" x14ac:dyDescent="0.2">
      <c r="A10" s="870" t="s">
        <v>520</v>
      </c>
      <c r="B10" s="871" t="s">
        <v>1990</v>
      </c>
      <c r="C10" s="872"/>
      <c r="D10" s="870" t="s">
        <v>522</v>
      </c>
      <c r="E10" s="869"/>
      <c r="F10" s="1935">
        <f>'Expenditures 15-22'!K174</f>
        <v>6633</v>
      </c>
      <c r="G10" s="873"/>
    </row>
    <row r="11" spans="1:7" x14ac:dyDescent="0.2">
      <c r="A11" s="870" t="s">
        <v>481</v>
      </c>
      <c r="B11" s="871" t="s">
        <v>1991</v>
      </c>
      <c r="C11" s="872"/>
      <c r="D11" s="870" t="s">
        <v>522</v>
      </c>
      <c r="E11" s="869"/>
      <c r="F11" s="1935">
        <f>'Expenditures 15-22'!K210</f>
        <v>73537</v>
      </c>
      <c r="G11" s="873"/>
    </row>
    <row r="12" spans="1:7" x14ac:dyDescent="0.2">
      <c r="A12" s="870" t="s">
        <v>482</v>
      </c>
      <c r="B12" s="871" t="s">
        <v>1992</v>
      </c>
      <c r="C12" s="872"/>
      <c r="D12" s="870" t="s">
        <v>522</v>
      </c>
      <c r="E12" s="869"/>
      <c r="F12" s="1935">
        <f>'Expenditures 15-22'!K295</f>
        <v>21713</v>
      </c>
      <c r="G12" s="873"/>
    </row>
    <row r="13" spans="1:7" x14ac:dyDescent="0.2">
      <c r="A13" s="870" t="s">
        <v>108</v>
      </c>
      <c r="B13" s="871" t="s">
        <v>1993</v>
      </c>
      <c r="C13" s="872"/>
      <c r="D13" s="870" t="s">
        <v>522</v>
      </c>
      <c r="E13" s="869"/>
      <c r="F13" s="1935">
        <f>'Expenditures 15-22'!K342</f>
        <v>11906</v>
      </c>
      <c r="G13" s="874"/>
    </row>
    <row r="14" spans="1:7" ht="12" customHeight="1" thickBot="1" x14ac:dyDescent="0.25">
      <c r="A14" s="1792"/>
      <c r="B14" s="1793"/>
      <c r="C14" s="1794"/>
      <c r="D14" s="1795" t="s">
        <v>522</v>
      </c>
      <c r="E14" s="1796" t="s">
        <v>1015</v>
      </c>
      <c r="F14" s="1797">
        <f>SUM(F8:F13)</f>
        <v>770828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15073</v>
      </c>
      <c r="G53" s="866"/>
    </row>
    <row r="54" spans="1:7" x14ac:dyDescent="0.2">
      <c r="A54" s="870" t="s">
        <v>479</v>
      </c>
      <c r="B54" s="870" t="s">
        <v>1552</v>
      </c>
      <c r="C54" s="890" t="s">
        <v>1039</v>
      </c>
      <c r="D54" s="886" t="s">
        <v>1157</v>
      </c>
      <c r="E54" s="869"/>
      <c r="F54" s="1939">
        <f>'Expenditures 15-22'!G114</f>
        <v>32586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44910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4798</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33183</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130550</v>
      </c>
      <c r="G76" s="866"/>
    </row>
    <row r="77" spans="1:8" s="894" customFormat="1" ht="12" customHeight="1" thickTop="1" thickBot="1" x14ac:dyDescent="0.25">
      <c r="A77" s="1801"/>
      <c r="B77" s="1798"/>
      <c r="C77" s="1794"/>
      <c r="D77" s="1799" t="s">
        <v>2012</v>
      </c>
      <c r="E77" s="1796"/>
      <c r="F77" s="1802">
        <f>(F14-F76)</f>
        <v>640278</v>
      </c>
      <c r="G77" s="870"/>
    </row>
    <row r="78" spans="1:8" s="894" customFormat="1" ht="12" customHeight="1" thickTop="1" x14ac:dyDescent="0.2">
      <c r="A78" s="1803"/>
      <c r="B78" s="1798"/>
      <c r="C78" s="1794"/>
      <c r="D78" s="1799" t="s">
        <v>2059</v>
      </c>
      <c r="E78" s="1796"/>
      <c r="F78" s="899">
        <v>67.98</v>
      </c>
      <c r="G78" s="900"/>
      <c r="H78" s="870"/>
    </row>
    <row r="79" spans="1:8" s="894" customFormat="1" ht="12" customHeight="1" thickBot="1" x14ac:dyDescent="0.25">
      <c r="A79" s="1804"/>
      <c r="B79" s="1798"/>
      <c r="C79" s="1794"/>
      <c r="D79" s="1799" t="s">
        <v>2013</v>
      </c>
      <c r="E79" s="1796" t="s">
        <v>1015</v>
      </c>
      <c r="F79" s="1805">
        <f>IF(F78&gt;0,F77/F78," Complete Line 78")</f>
        <v>9418.6231244483661</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16213</v>
      </c>
      <c r="G94" s="913"/>
    </row>
    <row r="95" spans="1:7" x14ac:dyDescent="0.2">
      <c r="A95" s="909" t="s">
        <v>142</v>
      </c>
      <c r="B95" s="909" t="s">
        <v>177</v>
      </c>
      <c r="C95" s="911">
        <v>1700</v>
      </c>
      <c r="D95" s="919" t="str">
        <f>'Revenues 9-14'!A82</f>
        <v>Total District/School Activity Income</v>
      </c>
      <c r="E95" s="907"/>
      <c r="F95" s="1811">
        <f>SUM('Revenues 9-14'!C82,'Revenues 9-14'!D82)</f>
        <v>1643</v>
      </c>
      <c r="G95" s="913"/>
    </row>
    <row r="96" spans="1:7" x14ac:dyDescent="0.2">
      <c r="A96" s="909" t="s">
        <v>479</v>
      </c>
      <c r="B96" s="909" t="s">
        <v>178</v>
      </c>
      <c r="C96" s="911">
        <f>'Revenues 9-14'!B84</f>
        <v>1811</v>
      </c>
      <c r="D96" s="912" t="str">
        <f>'Revenues 9-14'!A84</f>
        <v>Rentals - Regular Textbooks</v>
      </c>
      <c r="E96" s="907"/>
      <c r="F96" s="1811">
        <f>'Revenues 9-14'!C84</f>
        <v>1450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18690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393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84923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18949</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56196</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3739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2843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580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969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3079</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210517</v>
      </c>
    </row>
    <row r="179" spans="1:7" ht="12" customHeight="1" x14ac:dyDescent="0.2">
      <c r="A179" s="1792"/>
      <c r="B179" s="1806"/>
      <c r="C179" s="1807"/>
      <c r="D179" s="1808" t="s">
        <v>2015</v>
      </c>
      <c r="E179" s="1809"/>
      <c r="F179" s="1811">
        <f>'PCTC-OEPP 27-28'!F77-F178</f>
        <v>429761</v>
      </c>
    </row>
    <row r="180" spans="1:7" ht="12" customHeight="1" x14ac:dyDescent="0.2">
      <c r="A180" s="1792"/>
      <c r="B180" s="1806"/>
      <c r="C180" s="1807"/>
      <c r="D180" s="1808" t="s">
        <v>1924</v>
      </c>
      <c r="E180" s="1809"/>
      <c r="F180" s="1811">
        <f>'Cap Outlay Deprec 26'!I18</f>
        <v>63762</v>
      </c>
    </row>
    <row r="181" spans="1:7" ht="12" customHeight="1" x14ac:dyDescent="0.2">
      <c r="A181" s="1792"/>
      <c r="B181" s="1806"/>
      <c r="C181" s="1807"/>
      <c r="D181" s="1808" t="s">
        <v>2016</v>
      </c>
      <c r="E181" s="1809"/>
      <c r="F181" s="1811">
        <f>F179+F180</f>
        <v>493523</v>
      </c>
    </row>
    <row r="182" spans="1:7" ht="12" customHeight="1" x14ac:dyDescent="0.2">
      <c r="A182" s="1792"/>
      <c r="B182" s="1812"/>
      <c r="C182" s="1807"/>
      <c r="D182" s="1808" t="str">
        <f>D78</f>
        <v>9 Month ADA from District Average Daily Attendance/Prior General State Aid Inquiry 2017-2018</v>
      </c>
      <c r="E182" s="1809"/>
      <c r="F182" s="1813">
        <f>'PCTC-OEPP 27-28'!F78</f>
        <v>67.98</v>
      </c>
      <c r="G182" s="931"/>
    </row>
    <row r="183" spans="1:7" ht="12" customHeight="1" thickBot="1" x14ac:dyDescent="0.25">
      <c r="A183" s="1792"/>
      <c r="B183" s="1812"/>
      <c r="C183" s="1807"/>
      <c r="D183" s="1808" t="s">
        <v>2017</v>
      </c>
      <c r="E183" s="1809" t="s">
        <v>1626</v>
      </c>
      <c r="F183" s="1814">
        <f>F181/F182</f>
        <v>7259.8264195351567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 zoomScaleNormal="100" workbookViewId="0">
      <selection activeCell="B19" sqref="B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6" t="s">
        <v>1926</v>
      </c>
      <c r="B6" s="1557"/>
      <c r="C6" s="1557"/>
      <c r="D6" s="1557"/>
      <c r="E6" s="1557"/>
      <c r="F6" s="1557"/>
      <c r="G6" s="1558"/>
    </row>
    <row r="7" spans="1:7" ht="30.75" customHeight="1" x14ac:dyDescent="0.25">
      <c r="A7" s="2302" t="s">
        <v>2075</v>
      </c>
      <c r="B7" s="2303"/>
      <c r="C7" s="2303"/>
      <c r="D7" s="2303"/>
      <c r="E7" s="2303"/>
      <c r="F7" s="2303"/>
      <c r="G7" s="2304"/>
    </row>
    <row r="8" spans="1:7" ht="15.75" customHeight="1" x14ac:dyDescent="0.25">
      <c r="A8" s="2305" t="s">
        <v>2024</v>
      </c>
      <c r="B8" s="2306"/>
      <c r="C8" s="2306"/>
      <c r="D8" s="2306"/>
      <c r="E8" s="2306"/>
      <c r="F8" s="2306"/>
      <c r="G8" s="2307"/>
    </row>
    <row r="9" spans="1:7" ht="35.25" customHeight="1" x14ac:dyDescent="0.25">
      <c r="A9" s="2302" t="s">
        <v>2023</v>
      </c>
      <c r="B9" s="2303"/>
      <c r="C9" s="2303"/>
      <c r="D9" s="2303"/>
      <c r="E9" s="2303"/>
      <c r="F9" s="2303"/>
      <c r="G9" s="2304"/>
    </row>
    <row r="10" spans="1:7" ht="15" customHeight="1" x14ac:dyDescent="0.25">
      <c r="A10" s="1559" t="s">
        <v>1927</v>
      </c>
      <c r="B10" s="1560"/>
      <c r="C10" s="1560"/>
      <c r="D10" s="1560"/>
      <c r="E10" s="1560"/>
      <c r="F10" s="1560"/>
      <c r="G10" s="1561"/>
    </row>
    <row r="11" spans="1:7" ht="17.25" customHeight="1" x14ac:dyDescent="0.25">
      <c r="A11" s="2302" t="s">
        <v>1941</v>
      </c>
      <c r="B11" s="2303"/>
      <c r="C11" s="2303"/>
      <c r="D11" s="2303"/>
      <c r="E11" s="2303"/>
      <c r="F11" s="2303"/>
      <c r="G11" s="2304"/>
    </row>
    <row r="12" spans="1:7" ht="15" customHeight="1" x14ac:dyDescent="0.25">
      <c r="A12" s="1559" t="s">
        <v>1932</v>
      </c>
      <c r="B12" s="1560"/>
      <c r="C12" s="1560"/>
      <c r="D12" s="1560"/>
      <c r="E12" s="1560"/>
      <c r="F12" s="1560"/>
      <c r="G12" s="1561"/>
    </row>
    <row r="13" spans="1:7" ht="32.25" customHeight="1" x14ac:dyDescent="0.25">
      <c r="A13" s="2293" t="s">
        <v>1933</v>
      </c>
      <c r="B13" s="2294"/>
      <c r="C13" s="2294"/>
      <c r="D13" s="2294"/>
      <c r="E13" s="2294"/>
      <c r="F13" s="2294"/>
      <c r="G13" s="229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2109</v>
      </c>
      <c r="B17" s="1966" t="s">
        <v>2118</v>
      </c>
      <c r="C17" s="1956" t="s">
        <v>2110</v>
      </c>
      <c r="D17" s="1867">
        <v>6689</v>
      </c>
      <c r="E17" s="1562">
        <f t="shared" ref="E17:E141" si="1">IF(D17&lt;=25000,D17,IF(D17&gt;25000,25000,0))</f>
        <v>6689</v>
      </c>
      <c r="F17" s="1815">
        <f t="shared" si="0"/>
        <v>6689</v>
      </c>
      <c r="G17" s="1816">
        <f>IF(F17=0,0,D17-F17)</f>
        <v>0</v>
      </c>
      <c r="H17" s="1669"/>
    </row>
    <row r="18" spans="1:8" x14ac:dyDescent="0.25">
      <c r="A18" s="1960" t="s">
        <v>2111</v>
      </c>
      <c r="B18" s="1966" t="s">
        <v>2119</v>
      </c>
      <c r="C18" s="1956" t="s">
        <v>2113</v>
      </c>
      <c r="D18" s="1867">
        <v>4670</v>
      </c>
      <c r="E18" s="1562">
        <f t="shared" ref="E18:E140" si="2">IF(D18&lt;=25000,D18,IF(D18&gt;25000,25000,0))</f>
        <v>4670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4670</v>
      </c>
      <c r="G18" s="1816">
        <f t="shared" ref="G18:G140" si="4">IF(F18=0,0,D18-F18)</f>
        <v>0</v>
      </c>
    </row>
    <row r="19" spans="1:8" x14ac:dyDescent="0.25">
      <c r="A19" s="1965" t="s">
        <v>2117</v>
      </c>
      <c r="B19" s="1957" t="s">
        <v>2114</v>
      </c>
      <c r="C19" s="1956" t="s">
        <v>2112</v>
      </c>
      <c r="D19" s="1867">
        <v>2069</v>
      </c>
      <c r="E19" s="1562">
        <f t="shared" si="2"/>
        <v>2069</v>
      </c>
      <c r="F19" s="1815">
        <f t="shared" si="3"/>
        <v>2069</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13428</v>
      </c>
      <c r="E141" s="1563">
        <f t="shared" si="1"/>
        <v>13428</v>
      </c>
      <c r="F141" s="1817">
        <f>SUM(F17:F140)</f>
        <v>13428</v>
      </c>
      <c r="G141" s="1818">
        <f>SUM(G17:G140)</f>
        <v>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22" colorId="8" zoomScaleNormal="110" workbookViewId="0">
      <selection activeCell="E30" sqref="E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29516</v>
      </c>
      <c r="F10" s="975"/>
      <c r="G10" s="976"/>
      <c r="H10" s="162"/>
      <c r="I10" s="162"/>
    </row>
    <row r="11" spans="1:9" s="669" customFormat="1" ht="22.5" customHeight="1" x14ac:dyDescent="0.2">
      <c r="A11" s="2313" t="s">
        <v>1945</v>
      </c>
      <c r="B11" s="2314"/>
      <c r="C11" s="2314"/>
      <c r="D11" s="2315"/>
      <c r="E11" s="978">
        <v>3810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349923</v>
      </c>
      <c r="F19" s="1822"/>
      <c r="G19" s="1824">
        <f>'Expenditures 15-22'!K33-SUM('Expenditures 15-22'!G33,'Expenditures 15-22'!I33)+'Expenditures 15-22'!D229</f>
        <v>349923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86737</v>
      </c>
      <c r="F23" s="1825"/>
      <c r="G23" s="1827">
        <f>'Expenditures 15-22'!K53-SUM('Expenditures 15-22'!G53,'Expenditures 15-22'!I53)+'Expenditures 15-22'!D257+'Expenditures 15-22'!K330-SUM('Expenditures 15-22'!G330,'Expenditures 15-22'!I330)</f>
        <v>86737</v>
      </c>
      <c r="H23" s="988"/>
      <c r="I23" s="162"/>
    </row>
    <row r="24" spans="1:9" s="669" customFormat="1" ht="12" customHeight="1" x14ac:dyDescent="0.2">
      <c r="A24" s="995" t="s">
        <v>587</v>
      </c>
      <c r="B24" s="996"/>
      <c r="C24" s="994">
        <v>2400</v>
      </c>
      <c r="D24" s="1825"/>
      <c r="E24" s="1827">
        <f>'Expenditures 15-22'!K57-SUM('Expenditures 15-22'!G57,'Expenditures 15-22'!I57)+'Expenditures 15-22'!D261</f>
        <v>21183</v>
      </c>
      <c r="F24" s="1825"/>
      <c r="G24" s="1828">
        <f>'Expenditures 15-22'!K57-SUM('Expenditures 15-22'!G57,'Expenditures 15-22'!I57)+'Expenditures 15-22'!D261</f>
        <v>21183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30373</v>
      </c>
      <c r="E26" s="1827">
        <f>'Expenditures 15-22'!K122-SUM('Expenditures 15-22'!G122,'Expenditures 15-22'!I122)+E7</f>
        <v>0</v>
      </c>
      <c r="F26" s="1827">
        <f>'Expenditures 15-22'!K59-SUM('Expenditures 15-22'!G59,'Expenditures 15-22'!I59)+'Expenditures 15-22'!D263-E7</f>
        <v>30373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5611</v>
      </c>
      <c r="E27" s="1827">
        <f>E8</f>
        <v>0</v>
      </c>
      <c r="F27" s="1827">
        <f>'Expenditures 15-22'!K60-SUM('Expenditures 15-22'!G60,'Expenditures 15-22'!I60)+'Expenditures 15-22'!D264-E8</f>
        <v>5611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49739</v>
      </c>
      <c r="F28" s="1829">
        <f>'Expenditures 15-22'!K61-SUM('Expenditures 15-22'!G61,'Expenditures 15-22'!I61)+'Expenditures 15-22'!K124-SUM('Expenditures 15-22'!G124,'Expenditures 15-22'!I124)+'Expenditures 15-22'!D266-E9</f>
        <v>49739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37274</v>
      </c>
      <c r="F29" s="1825"/>
      <c r="G29" s="1828">
        <f>'Expenditures 15-22'!K62-SUM('Expenditures 15-22'!G62,'Expenditures 15-22'!I62)+'Expenditures 15-22'!K125-SUM('Expenditures 15-22'!G125,'Expenditures 15-22'!I125)+'Expenditures 15-22'!K182-SUM('Expenditures 15-22'!G182,'Expenditures 15-22'!I182)+'Expenditures 15-22'!D267</f>
        <v>37274</v>
      </c>
      <c r="H29" s="986"/>
    </row>
    <row r="30" spans="1:9" ht="12" customHeight="1" x14ac:dyDescent="0.2">
      <c r="A30" s="995" t="s">
        <v>102</v>
      </c>
      <c r="B30" s="998"/>
      <c r="C30" s="994">
        <v>2560</v>
      </c>
      <c r="D30" s="1825"/>
      <c r="E30" s="1827">
        <f>'Expenditures 15-22'!K63-SUM('Expenditures 15-22'!G63,'Expenditures 15-22'!I63)+'Expenditures 15-22'!D268-E10</f>
        <v>22618</v>
      </c>
      <c r="F30" s="1825"/>
      <c r="G30" s="1827">
        <f>'Expenditures 15-22'!K63-SUM('Expenditures 15-22'!G63,'Expenditures 15-22'!I63)+'Expenditures 15-22'!D268-E10</f>
        <v>22618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35984</v>
      </c>
      <c r="E41" s="1829">
        <f>SUM(E19:E40)</f>
        <v>567474</v>
      </c>
      <c r="F41" s="1829">
        <f>SUM(F19:F39)</f>
        <v>85723</v>
      </c>
      <c r="G41" s="1829">
        <f>SUM(G19:G40)</f>
        <v>517735</v>
      </c>
    </row>
    <row r="42" spans="1:7" x14ac:dyDescent="0.2">
      <c r="A42" s="988"/>
      <c r="B42" s="162"/>
      <c r="C42" s="1002"/>
      <c r="D42" s="2311" t="s">
        <v>543</v>
      </c>
      <c r="E42" s="2312"/>
      <c r="F42" s="1003" t="s">
        <v>544</v>
      </c>
      <c r="G42" s="1004"/>
    </row>
    <row r="43" spans="1:7" ht="12" customHeight="1" x14ac:dyDescent="0.2">
      <c r="A43" s="988"/>
      <c r="B43" s="162"/>
      <c r="C43" s="1002"/>
      <c r="D43" s="1830" t="s">
        <v>493</v>
      </c>
      <c r="E43" s="1831">
        <f>D41</f>
        <v>35984</v>
      </c>
      <c r="F43" s="1830" t="s">
        <v>495</v>
      </c>
      <c r="G43" s="1831">
        <f>F41</f>
        <v>85723</v>
      </c>
    </row>
    <row r="44" spans="1:7" ht="12" customHeight="1" x14ac:dyDescent="0.2">
      <c r="A44" s="988"/>
      <c r="B44" s="162"/>
      <c r="C44" s="1002"/>
      <c r="D44" s="1830" t="s">
        <v>494</v>
      </c>
      <c r="E44" s="1831">
        <f>E41</f>
        <v>567474</v>
      </c>
      <c r="F44" s="1830" t="s">
        <v>494</v>
      </c>
      <c r="G44" s="1831">
        <f>G41</f>
        <v>517735</v>
      </c>
    </row>
    <row r="45" spans="1:7" ht="12" customHeight="1" x14ac:dyDescent="0.2">
      <c r="A45" s="988"/>
      <c r="B45" s="162"/>
      <c r="C45" s="162"/>
      <c r="D45" s="1832" t="s">
        <v>1063</v>
      </c>
      <c r="E45" s="1833">
        <f>(E43/E44)</f>
        <v>6.3410834681412717E-2</v>
      </c>
      <c r="F45" s="1832" t="s">
        <v>1063</v>
      </c>
      <c r="G45" s="1833">
        <f>(G43/G44)</f>
        <v>0.16557312138449207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B27" sqref="B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1" t="s">
        <v>1446</v>
      </c>
      <c r="B1" s="2331"/>
      <c r="C1" s="2331"/>
      <c r="D1" s="2331"/>
      <c r="E1" s="2331"/>
      <c r="F1" s="233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2" t="s">
        <v>1627</v>
      </c>
      <c r="B5" s="2333"/>
      <c r="C5" s="2334"/>
      <c r="D5" s="2334"/>
      <c r="E5" s="2334"/>
      <c r="F5" s="2334"/>
    </row>
    <row r="6" spans="1:10" ht="12" customHeight="1" x14ac:dyDescent="0.25">
      <c r="A6" s="1875"/>
      <c r="B6" s="1876"/>
      <c r="C6" s="2335" t="str">
        <f>COVER!A17</f>
        <v>Oakdale CCSD 1</v>
      </c>
      <c r="D6" s="2335"/>
      <c r="E6" s="2335"/>
      <c r="F6" s="1877"/>
    </row>
    <row r="7" spans="1:10" ht="11.25" customHeight="1" thickBot="1" x14ac:dyDescent="0.3">
      <c r="A7" s="1875"/>
      <c r="B7" s="1876"/>
      <c r="C7" s="2336">
        <f>COVER!A13</f>
        <v>13095001004</v>
      </c>
      <c r="D7" s="2336"/>
      <c r="E7" s="233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t="s">
        <v>2077</v>
      </c>
      <c r="F11" s="1892" t="s">
        <v>2101</v>
      </c>
      <c r="H11" s="1903">
        <f>IF(C11="X",5,0)</f>
        <v>5</v>
      </c>
      <c r="I11" s="1903">
        <f>IF(D11="X",5,0)</f>
        <v>5</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t="s">
        <v>2077</v>
      </c>
      <c r="F24" s="1892" t="s">
        <v>2101</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37"/>
      <c r="D35" s="2337"/>
      <c r="E35" s="2337"/>
      <c r="F35" s="2338"/>
    </row>
    <row r="36" spans="1:11" ht="12" customHeight="1" x14ac:dyDescent="0.2">
      <c r="A36" s="2330"/>
      <c r="B36" s="2320"/>
      <c r="C36" s="2320"/>
      <c r="D36" s="2320"/>
      <c r="E36" s="2320"/>
      <c r="F36" s="2321"/>
    </row>
    <row r="37" spans="1:11" ht="12" customHeight="1" x14ac:dyDescent="0.2">
      <c r="A37" s="2319" t="s">
        <v>2103</v>
      </c>
      <c r="B37" s="2320"/>
      <c r="C37" s="2320"/>
      <c r="D37" s="2320"/>
      <c r="E37" s="2320"/>
      <c r="F37" s="2321"/>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6"/>
      <c r="B43" s="2317"/>
      <c r="C43" s="2317"/>
      <c r="D43" s="2317"/>
      <c r="E43" s="2317"/>
      <c r="F43" s="2318"/>
      <c r="H43" s="1904"/>
      <c r="I43" s="1904"/>
      <c r="J43" s="1904"/>
      <c r="K43" s="1904"/>
    </row>
    <row r="44" spans="1:11" s="1895" customFormat="1" ht="12" hidden="1" customHeight="1" x14ac:dyDescent="0.25">
      <c r="A44" s="2316"/>
      <c r="B44" s="2317"/>
      <c r="C44" s="2317"/>
      <c r="D44" s="2317"/>
      <c r="E44" s="2317"/>
      <c r="F44" s="231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4"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4" t="str">
        <f>COVER!A17</f>
        <v>Oakdale CCSD 1</v>
      </c>
      <c r="J6" s="2345"/>
      <c r="Q6" s="1686"/>
    </row>
    <row r="7" spans="1:17" x14ac:dyDescent="0.2">
      <c r="A7" s="2346" t="s">
        <v>924</v>
      </c>
      <c r="B7" s="2347"/>
      <c r="C7" s="2347"/>
      <c r="D7" s="2347"/>
      <c r="E7" s="2348"/>
      <c r="F7" s="1018"/>
      <c r="G7" s="1010"/>
      <c r="H7" s="1017" t="s">
        <v>390</v>
      </c>
      <c r="I7" s="2349">
        <f>COVER!A13</f>
        <v>13095001004</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66011</v>
      </c>
      <c r="F12" s="1040"/>
      <c r="G12" s="1834">
        <f t="shared" ref="G12:G18" si="0">SUM(E12:F12)</f>
        <v>66011</v>
      </c>
      <c r="H12" s="1041">
        <v>68320</v>
      </c>
      <c r="I12" s="1040"/>
      <c r="J12" s="1834">
        <f t="shared" ref="J12:J18" si="1">SUM(H12:I12)</f>
        <v>68320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26816</v>
      </c>
      <c r="F15" s="1834">
        <f>'Expenditures 15-22'!K122</f>
        <v>0</v>
      </c>
      <c r="G15" s="1834">
        <f t="shared" si="0"/>
        <v>26816</v>
      </c>
      <c r="H15" s="1041">
        <v>27797</v>
      </c>
      <c r="I15" s="1041"/>
      <c r="J15" s="1834">
        <f t="shared" si="1"/>
        <v>27797</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92827</v>
      </c>
      <c r="F19" s="1836">
        <f t="shared" si="2"/>
        <v>0</v>
      </c>
      <c r="G19" s="1836">
        <f t="shared" si="2"/>
        <v>92827</v>
      </c>
      <c r="H19" s="1836">
        <f t="shared" si="2"/>
        <v>96117</v>
      </c>
      <c r="I19" s="1836">
        <f t="shared" si="2"/>
        <v>0</v>
      </c>
      <c r="J19" s="1836">
        <f t="shared" si="2"/>
        <v>96117</v>
      </c>
    </row>
    <row r="20" spans="1:10" ht="13.5" thickTop="1" x14ac:dyDescent="0.2">
      <c r="A20" s="1036">
        <v>9</v>
      </c>
      <c r="B20" s="2356" t="s">
        <v>1703</v>
      </c>
      <c r="C20" s="2356"/>
      <c r="D20" s="2357"/>
      <c r="E20" s="1047"/>
      <c r="F20" s="1047"/>
      <c r="G20" s="1047"/>
      <c r="H20" s="1047"/>
      <c r="I20" s="1047"/>
      <c r="J20" s="1837">
        <f>IF(AND(G19&gt;0,J19&gt;0),(((J19-G19)/G19)),"Enter Budget Data")</f>
        <v>3.5442274338285194E-2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67"/>
  <sheetViews>
    <sheetView showGridLines="0" zoomScale="110" zoomScaleNormal="110" workbookViewId="0">
      <selection activeCell="J21" sqref="I21:J21"/>
    </sheetView>
  </sheetViews>
  <sheetFormatPr defaultColWidth="9.140625" defaultRowHeight="12.75" x14ac:dyDescent="0.2"/>
  <cols>
    <col min="1" max="1" width="3" style="329" customWidth="1"/>
    <col min="2" max="2" width="10.28515625" style="329" customWidth="1"/>
    <col min="3" max="3" width="3.140625" style="329" customWidth="1"/>
    <col min="4" max="7" width="9.140625" style="329"/>
    <col min="8" max="8" width="48.28515625" style="329" customWidth="1"/>
    <col min="9" max="16384" width="9.140625" style="329"/>
  </cols>
  <sheetData>
    <row r="2" spans="1:10" x14ac:dyDescent="0.2">
      <c r="A2" s="389" t="s">
        <v>276</v>
      </c>
    </row>
    <row r="3" spans="1:10" x14ac:dyDescent="0.2">
      <c r="A3" s="329" t="s">
        <v>277</v>
      </c>
    </row>
    <row r="4" spans="1:10" x14ac:dyDescent="0.2">
      <c r="B4" s="1963" t="s">
        <v>2104</v>
      </c>
      <c r="C4" s="1961"/>
      <c r="D4" s="1963" t="s">
        <v>396</v>
      </c>
      <c r="E4" s="1961"/>
      <c r="F4" s="1963" t="s">
        <v>1137</v>
      </c>
      <c r="G4" s="1961"/>
      <c r="H4" s="1963" t="s">
        <v>502</v>
      </c>
      <c r="I4" s="1961"/>
      <c r="J4" s="1963" t="s">
        <v>920</v>
      </c>
    </row>
    <row r="5" spans="1:10" ht="9.6" customHeight="1" x14ac:dyDescent="0.2">
      <c r="B5" s="1964"/>
      <c r="C5" s="1962"/>
      <c r="D5" s="1964"/>
      <c r="E5" s="1962"/>
      <c r="F5" s="1964"/>
      <c r="G5" s="1962"/>
      <c r="H5" s="1964"/>
      <c r="I5" s="1962"/>
      <c r="J5" s="1964"/>
    </row>
    <row r="6" spans="1:10" x14ac:dyDescent="0.2">
      <c r="A6" s="1069"/>
      <c r="B6" s="1958">
        <v>16</v>
      </c>
      <c r="D6" s="1958">
        <v>1999</v>
      </c>
      <c r="F6" s="329" t="s">
        <v>1217</v>
      </c>
      <c r="H6" s="329" t="s">
        <v>2105</v>
      </c>
      <c r="J6" s="1959">
        <v>2186</v>
      </c>
    </row>
    <row r="7" spans="1:10" ht="8.4499999999999993" customHeight="1" x14ac:dyDescent="0.2">
      <c r="A7" s="1069"/>
    </row>
    <row r="8" spans="1:10" x14ac:dyDescent="0.2">
      <c r="A8" s="1069"/>
      <c r="B8" s="1958">
        <v>17</v>
      </c>
      <c r="D8" s="1958">
        <v>4090</v>
      </c>
      <c r="F8" s="329" t="s">
        <v>1217</v>
      </c>
      <c r="H8" s="329" t="s">
        <v>2106</v>
      </c>
      <c r="J8" s="1959">
        <v>18949</v>
      </c>
    </row>
    <row r="9" spans="1:10" ht="7.9" customHeight="1" x14ac:dyDescent="0.2">
      <c r="A9" s="1069"/>
    </row>
    <row r="10" spans="1:10" x14ac:dyDescent="0.2">
      <c r="A10" s="1069"/>
      <c r="B10" s="1958">
        <v>18</v>
      </c>
      <c r="D10" s="1958">
        <v>4299</v>
      </c>
      <c r="F10" s="329" t="s">
        <v>1217</v>
      </c>
      <c r="H10" s="329" t="s">
        <v>2107</v>
      </c>
      <c r="J10" s="1959">
        <v>32586</v>
      </c>
    </row>
    <row r="11" spans="1:10" ht="8.4499999999999993" customHeight="1" x14ac:dyDescent="0.2">
      <c r="A11" s="1070"/>
    </row>
    <row r="12" spans="1:10" ht="13.9" customHeight="1" x14ac:dyDescent="0.2">
      <c r="A12" s="1070"/>
      <c r="B12" s="1958">
        <v>19</v>
      </c>
      <c r="D12" s="1958">
        <v>4999</v>
      </c>
      <c r="F12" s="329" t="s">
        <v>1217</v>
      </c>
      <c r="H12" s="329" t="s">
        <v>2115</v>
      </c>
      <c r="J12" s="1959">
        <v>3079</v>
      </c>
    </row>
    <row r="13" spans="1:10" ht="8.4499999999999993" customHeight="1" x14ac:dyDescent="0.2">
      <c r="A13" s="1070"/>
    </row>
    <row r="14" spans="1:10" x14ac:dyDescent="0.2">
      <c r="A14" s="1070"/>
      <c r="B14" s="1958">
        <v>16</v>
      </c>
      <c r="D14" s="1958">
        <v>1999</v>
      </c>
      <c r="F14" s="329" t="s">
        <v>157</v>
      </c>
      <c r="H14" s="329" t="s">
        <v>2108</v>
      </c>
      <c r="J14" s="1959">
        <v>377</v>
      </c>
    </row>
    <row r="15" spans="1:10" ht="8.4499999999999993" customHeight="1" x14ac:dyDescent="0.2">
      <c r="A15" s="1070"/>
    </row>
    <row r="16" spans="1:10" x14ac:dyDescent="0.2">
      <c r="A16" s="1070"/>
      <c r="B16" s="1958">
        <v>29</v>
      </c>
      <c r="D16" s="1958">
        <v>5300</v>
      </c>
      <c r="F16" s="329" t="s">
        <v>157</v>
      </c>
      <c r="H16" s="329" t="s">
        <v>2116</v>
      </c>
      <c r="J16" s="1959">
        <v>-33183</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Oakdale CCSD 1</v>
      </c>
    </row>
    <row r="67" spans="1:2" x14ac:dyDescent="0.2">
      <c r="B67" s="1071">
        <f>COVER!A13</f>
        <v>13095001004</v>
      </c>
    </row>
  </sheetData>
  <phoneticPr fontId="16"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3" t="s">
        <v>1784</v>
      </c>
      <c r="B18" s="236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12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L13" sqref="L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5"/>
      <c r="H2" s="1075"/>
    </row>
    <row r="3" spans="1:8" ht="57" customHeight="1" x14ac:dyDescent="0.2">
      <c r="A3" s="2377" t="s">
        <v>1786</v>
      </c>
      <c r="B3" s="2378"/>
      <c r="C3" s="2378"/>
      <c r="D3" s="2378"/>
      <c r="E3" s="2378"/>
      <c r="F3" s="2379"/>
      <c r="G3" s="1075"/>
      <c r="H3" s="1075"/>
    </row>
    <row r="4" spans="1:8" ht="14.25" customHeight="1" x14ac:dyDescent="0.2">
      <c r="A4" s="2383" t="s">
        <v>2056</v>
      </c>
      <c r="B4" s="2384"/>
      <c r="C4" s="2384"/>
      <c r="D4" s="2384"/>
      <c r="E4" s="2384"/>
      <c r="F4" s="2385"/>
      <c r="G4" s="1075"/>
      <c r="H4" s="1075"/>
    </row>
    <row r="5" spans="1:8" ht="14.25" customHeight="1" x14ac:dyDescent="0.2">
      <c r="A5" s="2386" t="s">
        <v>2057</v>
      </c>
      <c r="B5" s="2387"/>
      <c r="C5" s="2387"/>
      <c r="D5" s="2387"/>
      <c r="E5" s="2387"/>
      <c r="F5" s="2388"/>
      <c r="G5" s="1075"/>
      <c r="H5" s="1075"/>
    </row>
    <row r="6" spans="1:8" s="1076" customFormat="1" ht="41.25" customHeight="1" x14ac:dyDescent="0.2">
      <c r="A6" s="2380" t="s">
        <v>1792</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661031</v>
      </c>
      <c r="C8" s="1838">
        <f>'Acct Summary 7-8'!D8</f>
        <v>72505</v>
      </c>
      <c r="D8" s="1838">
        <f>'Acct Summary 7-8'!F8</f>
        <v>100423</v>
      </c>
      <c r="E8" s="1838">
        <f>'Acct Summary 7-8'!I8</f>
        <v>5041</v>
      </c>
      <c r="F8" s="1838">
        <f>SUM(B8:E8)</f>
        <v>839000</v>
      </c>
    </row>
    <row r="9" spans="1:8" s="1080" customFormat="1" ht="14.25" customHeight="1" thickBot="1" x14ac:dyDescent="0.25">
      <c r="A9" s="1079" t="s">
        <v>1436</v>
      </c>
      <c r="B9" s="1839">
        <f>'Acct Summary 7-8'!C17</f>
        <v>564397</v>
      </c>
      <c r="C9" s="1839">
        <f>'Acct Summary 7-8'!D17</f>
        <v>92642</v>
      </c>
      <c r="D9" s="1839">
        <f>'Acct Summary 7-8'!F17</f>
        <v>73537</v>
      </c>
      <c r="E9" s="1838"/>
      <c r="F9" s="1838">
        <f>SUM(B9:E9)</f>
        <v>730576</v>
      </c>
    </row>
    <row r="10" spans="1:8" s="1080" customFormat="1" ht="14.25" thickTop="1" thickBot="1" x14ac:dyDescent="0.25">
      <c r="A10" s="1081" t="s">
        <v>1437</v>
      </c>
      <c r="B10" s="1840">
        <f>(B8-B9)</f>
        <v>96634</v>
      </c>
      <c r="C10" s="1840">
        <f>(C8-C9)</f>
        <v>-20137</v>
      </c>
      <c r="D10" s="1840">
        <f>(D8-D9)</f>
        <v>26886</v>
      </c>
      <c r="E10" s="1839">
        <f>(E8-E9)</f>
        <v>5041</v>
      </c>
      <c r="F10" s="1841">
        <f>SUM(F8-F9)</f>
        <v>108424</v>
      </c>
    </row>
    <row r="11" spans="1:8" s="1080" customFormat="1" ht="14.25" thickTop="1" thickBot="1" x14ac:dyDescent="0.25">
      <c r="A11" s="1082" t="s">
        <v>1785</v>
      </c>
      <c r="B11" s="1842">
        <f>'Acct Summary 7-8'!C81</f>
        <v>286574</v>
      </c>
      <c r="C11" s="1842">
        <f>'Acct Summary 7-8'!D81</f>
        <v>31467</v>
      </c>
      <c r="D11" s="1842">
        <f>'Acct Summary 7-8'!F81</f>
        <v>64116</v>
      </c>
      <c r="E11" s="1842">
        <f>'Acct Summary 7-8'!I81</f>
        <v>22707</v>
      </c>
      <c r="F11" s="1843">
        <f>SUM(B11:E11)</f>
        <v>404864</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1787</v>
      </c>
      <c r="B16" s="2367"/>
      <c r="C16" s="2367"/>
      <c r="D16" s="2367"/>
      <c r="E16" s="236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9" sqref="D7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686</v>
      </c>
      <c r="B3" s="2390"/>
      <c r="C3" s="2390"/>
      <c r="D3" s="239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8" t="s">
        <v>1797</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13095001004</v>
      </c>
    </row>
    <row r="3" spans="1:2" x14ac:dyDescent="0.2">
      <c r="A3" t="s">
        <v>1013</v>
      </c>
      <c r="B3" s="138" t="str">
        <f>COVER!A15</f>
        <v>WASHINGTON</v>
      </c>
    </row>
    <row r="4" spans="1:2" x14ac:dyDescent="0.2">
      <c r="A4" t="s">
        <v>1064</v>
      </c>
      <c r="B4" s="138" t="str">
        <f>COVER!A17</f>
        <v>Oakdale CCSD 1</v>
      </c>
    </row>
    <row r="5" spans="1:2" x14ac:dyDescent="0.2">
      <c r="A5" t="s">
        <v>728</v>
      </c>
      <c r="B5" s="138" t="str">
        <f>COVER!A38</f>
        <v>CHARLES PETERSON</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BRIAN OTTEN</v>
      </c>
    </row>
    <row r="18" spans="1:2" x14ac:dyDescent="0.2">
      <c r="A18" t="s">
        <v>1212</v>
      </c>
      <c r="B18" s="138" t="str">
        <f>COVER!T17</f>
        <v>222 EAST MAIN STREET</v>
      </c>
    </row>
    <row r="19" spans="1:2" x14ac:dyDescent="0.2">
      <c r="A19" t="s">
        <v>941</v>
      </c>
      <c r="B19" s="138" t="str">
        <f>COVER!T25</f>
        <v>brian.otten@scheffelboyle.com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121881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286574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286574</v>
      </c>
      <c r="D92" s="2" t="str">
        <f t="shared" si="0"/>
        <v>Error?</v>
      </c>
    </row>
    <row r="93" spans="1:4" x14ac:dyDescent="0.2">
      <c r="A93" s="5">
        <v>32</v>
      </c>
      <c r="B93" s="138">
        <f>'Assets-Liab 5-6'!C41</f>
        <v>286574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31467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31467</v>
      </c>
      <c r="D123" s="2" t="str">
        <f t="shared" si="0"/>
        <v>Error?</v>
      </c>
    </row>
    <row r="124" spans="1:4" x14ac:dyDescent="0.2">
      <c r="A124" s="5">
        <v>63</v>
      </c>
      <c r="B124" s="138">
        <f>'Assets-Liab 5-6'!D41</f>
        <v>31467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1142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1142</v>
      </c>
      <c r="D140" s="2" t="str">
        <f t="shared" si="1"/>
        <v>Error?</v>
      </c>
    </row>
    <row r="141" spans="1:4" x14ac:dyDescent="0.2">
      <c r="A141" s="5">
        <v>80</v>
      </c>
      <c r="B141" s="138">
        <f>'Assets-Liab 5-6'!E41</f>
        <v>1142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64116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64116</v>
      </c>
      <c r="D170" s="2" t="str">
        <f t="shared" si="1"/>
        <v>Error?</v>
      </c>
    </row>
    <row r="171" spans="1:4" x14ac:dyDescent="0.2">
      <c r="A171" s="5">
        <v>110</v>
      </c>
      <c r="B171" s="138">
        <f>'Assets-Liab 5-6'!F41</f>
        <v>64116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29460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8140</v>
      </c>
      <c r="D189" s="2" t="str">
        <f t="shared" si="1"/>
        <v>Error?</v>
      </c>
    </row>
    <row r="190" spans="1:4" x14ac:dyDescent="0.2">
      <c r="A190" s="5">
        <v>129</v>
      </c>
      <c r="B190" s="138">
        <f>'Assets-Liab 5-6'!G41</f>
        <v>29460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5500</v>
      </c>
      <c r="D273" s="2" t="str">
        <f t="shared" si="3"/>
        <v>Error?</v>
      </c>
    </row>
    <row r="274" spans="1:4" x14ac:dyDescent="0.2">
      <c r="A274" s="5">
        <v>213</v>
      </c>
      <c r="B274" s="138">
        <f>'Assets-Liab 5-6'!M17</f>
        <v>683858</v>
      </c>
      <c r="D274" s="2" t="str">
        <f t="shared" si="3"/>
        <v>Error?</v>
      </c>
    </row>
    <row r="275" spans="1:4" x14ac:dyDescent="0.2">
      <c r="A275" s="5">
        <v>214</v>
      </c>
      <c r="B275" s="138">
        <f>'Assets-Liab 5-6'!M18</f>
        <v>3389</v>
      </c>
      <c r="D275" s="2" t="str">
        <f t="shared" si="3"/>
        <v>Error?</v>
      </c>
    </row>
    <row r="276" spans="1:4" x14ac:dyDescent="0.2">
      <c r="A276" s="5">
        <v>215</v>
      </c>
      <c r="B276" s="138">
        <f>'Assets-Liab 5-6'!M19</f>
        <v>552849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1290506</v>
      </c>
      <c r="C279" s="2" t="s">
        <v>594</v>
      </c>
      <c r="D279" s="2" t="str">
        <f t="shared" si="3"/>
        <v>Error?</v>
      </c>
    </row>
    <row r="280" spans="1:4" x14ac:dyDescent="0.2">
      <c r="A280" s="5">
        <v>219</v>
      </c>
      <c r="B280" s="138">
        <f>'Assets-Liab 5-6'!M40</f>
        <v>1290506</v>
      </c>
      <c r="D280" s="2" t="str">
        <f t="shared" si="3"/>
        <v>Error?</v>
      </c>
    </row>
    <row r="281" spans="1:4" x14ac:dyDescent="0.2">
      <c r="A281" s="5">
        <v>220</v>
      </c>
      <c r="B281" s="138">
        <f>'Assets-Liab 5-6'!M41</f>
        <v>1290506</v>
      </c>
      <c r="C281" s="2" t="s">
        <v>594</v>
      </c>
      <c r="D281" s="2" t="str">
        <f t="shared" si="3"/>
        <v>Error?</v>
      </c>
    </row>
    <row r="282" spans="1:4" x14ac:dyDescent="0.2">
      <c r="A282" s="5">
        <v>221</v>
      </c>
      <c r="B282" s="138">
        <f>'Assets-Liab 5-6'!N21</f>
        <v>1142</v>
      </c>
      <c r="D282" s="2" t="str">
        <f t="shared" si="3"/>
        <v>Error?</v>
      </c>
    </row>
    <row r="283" spans="1:4" x14ac:dyDescent="0.2">
      <c r="A283" s="5">
        <v>222</v>
      </c>
      <c r="B283" s="138">
        <f>'Assets-Liab 5-6'!N22</f>
        <v>134720</v>
      </c>
      <c r="D283" s="2" t="str">
        <f t="shared" si="3"/>
        <v>Error?</v>
      </c>
    </row>
    <row r="284" spans="1:4" x14ac:dyDescent="0.2">
      <c r="A284" s="5">
        <v>223</v>
      </c>
      <c r="B284" s="138">
        <f>'Assets-Liab 5-6'!N23</f>
        <v>135862</v>
      </c>
      <c r="C284" s="2" t="s">
        <v>594</v>
      </c>
      <c r="D284" s="2" t="str">
        <f t="shared" si="3"/>
        <v>Error?</v>
      </c>
    </row>
    <row r="285" spans="1:4" x14ac:dyDescent="0.2">
      <c r="A285" s="5">
        <v>224</v>
      </c>
      <c r="B285" s="138">
        <f>'Assets-Liab 5-6'!N36</f>
        <v>135862</v>
      </c>
      <c r="D285" s="2" t="str">
        <f t="shared" si="3"/>
        <v>Error?</v>
      </c>
    </row>
    <row r="286" spans="1:4" x14ac:dyDescent="0.2">
      <c r="A286" s="10">
        <v>225</v>
      </c>
      <c r="D286" s="2" t="str">
        <f t="shared" si="3"/>
        <v>OK</v>
      </c>
    </row>
    <row r="287" spans="1:4" x14ac:dyDescent="0.2">
      <c r="A287" s="5">
        <v>226</v>
      </c>
      <c r="B287" s="138">
        <f>'Assets-Liab 5-6'!N37</f>
        <v>135862</v>
      </c>
      <c r="C287" s="2" t="s">
        <v>594</v>
      </c>
      <c r="D287" s="2" t="str">
        <f t="shared" si="3"/>
        <v>Error?</v>
      </c>
    </row>
    <row r="288" spans="1:4" x14ac:dyDescent="0.2">
      <c r="A288" s="5">
        <v>227</v>
      </c>
      <c r="B288" s="138">
        <f>'Assets-Liab 5-6'!N41</f>
        <v>135862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228379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304351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1248</v>
      </c>
      <c r="D732" s="2" t="str">
        <f t="shared" si="10"/>
        <v>Error?</v>
      </c>
    </row>
    <row r="733" spans="1:4" x14ac:dyDescent="0.2">
      <c r="A733" s="5">
        <v>672</v>
      </c>
      <c r="B733" s="138">
        <f>'Expenditures 15-22'!C50</f>
        <v>56189</v>
      </c>
      <c r="D733" s="2" t="str">
        <f t="shared" si="10"/>
        <v>Error?</v>
      </c>
    </row>
    <row r="734" spans="1:4" x14ac:dyDescent="0.2">
      <c r="A734" s="5">
        <v>673</v>
      </c>
      <c r="B734" s="138">
        <f>'Expenditures 15-22'!C53</f>
        <v>57437</v>
      </c>
      <c r="C734" s="2" t="s">
        <v>594</v>
      </c>
      <c r="D734" s="2" t="str">
        <f t="shared" si="10"/>
        <v>Error?</v>
      </c>
    </row>
    <row r="735" spans="1:4" x14ac:dyDescent="0.2">
      <c r="A735" s="5">
        <v>674</v>
      </c>
      <c r="B735" s="138">
        <f>'Expenditures 15-22'!C55</f>
        <v>18000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18000</v>
      </c>
      <c r="C737" s="2" t="s">
        <v>594</v>
      </c>
      <c r="D737" s="2" t="str">
        <f t="shared" si="10"/>
        <v>Error?</v>
      </c>
    </row>
    <row r="738" spans="1:4" x14ac:dyDescent="0.2">
      <c r="A738" s="5">
        <v>677</v>
      </c>
      <c r="B738" s="138">
        <f>'Expenditures 15-22'!C59</f>
        <v>25766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19895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45661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121098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425449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4130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9123</v>
      </c>
      <c r="D791" s="2" t="str">
        <f t="shared" si="11"/>
        <v>Error?</v>
      </c>
    </row>
    <row r="792" spans="1:4" x14ac:dyDescent="0.2">
      <c r="A792" s="5">
        <v>731</v>
      </c>
      <c r="B792" s="138">
        <f>'Expenditures 15-22'!D53</f>
        <v>9123</v>
      </c>
      <c r="C792" s="2" t="s">
        <v>594</v>
      </c>
      <c r="D792" s="2" t="str">
        <f t="shared" si="11"/>
        <v>Error?</v>
      </c>
    </row>
    <row r="793" spans="1:4" x14ac:dyDescent="0.2">
      <c r="A793" s="5">
        <v>732</v>
      </c>
      <c r="B793" s="138">
        <f>'Expenditures 15-22'!D55</f>
        <v>2922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2922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12045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16175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26349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26349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5528</v>
      </c>
      <c r="D848" s="2" t="str">
        <f t="shared" si="12"/>
        <v>Error?</v>
      </c>
    </row>
    <row r="849" spans="1:4" x14ac:dyDescent="0.2">
      <c r="A849" s="5">
        <v>788</v>
      </c>
      <c r="B849" s="138">
        <f>'Expenditures 15-22'!E50</f>
        <v>699</v>
      </c>
      <c r="D849" s="2" t="str">
        <f t="shared" si="12"/>
        <v>Error?</v>
      </c>
    </row>
    <row r="850" spans="1:4" x14ac:dyDescent="0.2">
      <c r="A850" s="5">
        <v>789</v>
      </c>
      <c r="B850" s="138">
        <f>'Expenditures 15-22'!E53</f>
        <v>6227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11838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41429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3491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1075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1075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1050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29516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30566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31641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35132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32586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32586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32586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32586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11831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13626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263324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340116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7851</v>
      </c>
      <c r="C1120" s="2" t="s">
        <v>594</v>
      </c>
      <c r="D1120" s="2" t="str">
        <f t="shared" si="16"/>
        <v>Error?</v>
      </c>
    </row>
    <row r="1121" spans="1:4" x14ac:dyDescent="0.2">
      <c r="A1121" s="5">
        <v>1060</v>
      </c>
      <c r="B1121" s="138">
        <f>'Expenditures 15-22'!K50</f>
        <v>66011</v>
      </c>
      <c r="C1121" s="2" t="s">
        <v>594</v>
      </c>
      <c r="D1121" s="2" t="str">
        <f t="shared" si="16"/>
        <v>Error?</v>
      </c>
    </row>
    <row r="1122" spans="1:4" x14ac:dyDescent="0.2">
      <c r="A1122" s="5">
        <v>1061</v>
      </c>
      <c r="B1122" s="138">
        <f>'Expenditures 15-22'!K53</f>
        <v>73862</v>
      </c>
      <c r="C1122" s="2" t="s">
        <v>594</v>
      </c>
      <c r="D1122" s="2" t="str">
        <f t="shared" si="16"/>
        <v>Error?</v>
      </c>
    </row>
    <row r="1123" spans="1:4" x14ac:dyDescent="0.2">
      <c r="A1123" s="5">
        <v>1062</v>
      </c>
      <c r="B1123" s="138">
        <f>'Expenditures 15-22'!K55</f>
        <v>20922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20922</v>
      </c>
      <c r="C1125" s="2" t="s">
        <v>594</v>
      </c>
      <c r="D1125" s="2" t="str">
        <f t="shared" si="16"/>
        <v>Error?</v>
      </c>
    </row>
    <row r="1126" spans="1:4" x14ac:dyDescent="0.2">
      <c r="A1126" s="5">
        <v>1065</v>
      </c>
      <c r="B1126" s="138">
        <f>'Expenditures 15-22'!K59</f>
        <v>26816</v>
      </c>
      <c r="C1126" s="2" t="s">
        <v>594</v>
      </c>
      <c r="D1126" s="2" t="str">
        <f t="shared" si="16"/>
        <v>Error?</v>
      </c>
    </row>
    <row r="1127" spans="1:4" x14ac:dyDescent="0.2">
      <c r="A1127" s="5">
        <v>1066</v>
      </c>
      <c r="B1127" s="138">
        <f>'Expenditures 15-22'!K60</f>
        <v>5611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81997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114424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209208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15073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564397</v>
      </c>
      <c r="C1152" s="2" t="s">
        <v>594</v>
      </c>
      <c r="D1152" s="2" t="str">
        <f t="shared" si="17"/>
        <v>Error?</v>
      </c>
    </row>
    <row r="1153" spans="1:4" x14ac:dyDescent="0.2">
      <c r="A1153" s="5">
        <v>1092</v>
      </c>
      <c r="B1153" s="138">
        <f>'Expenditures 15-22'!K115</f>
        <v>96634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15224</v>
      </c>
      <c r="D1221" s="2" t="str">
        <f t="shared" si="18"/>
        <v>Error?</v>
      </c>
    </row>
    <row r="1222" spans="1:4" x14ac:dyDescent="0.2">
      <c r="A1222" s="10">
        <v>1161</v>
      </c>
      <c r="D1222" s="2" t="str">
        <f t="shared" si="18"/>
        <v>OK</v>
      </c>
    </row>
    <row r="1223" spans="1:4" x14ac:dyDescent="0.2">
      <c r="A1223" s="5">
        <v>1162</v>
      </c>
      <c r="B1223" s="138">
        <f>'Expenditures 15-22'!C127</f>
        <v>15224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15224</v>
      </c>
      <c r="C1225" s="2" t="s">
        <v>594</v>
      </c>
      <c r="D1225" s="2" t="str">
        <f t="shared" si="18"/>
        <v>Error?</v>
      </c>
    </row>
    <row r="1226" spans="1:4" x14ac:dyDescent="0.2">
      <c r="A1226" s="5">
        <v>1165</v>
      </c>
      <c r="B1226" s="138">
        <f>'Expenditures 15-22'!C151</f>
        <v>15224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9856</v>
      </c>
      <c r="D1237" s="2" t="str">
        <f t="shared" si="18"/>
        <v>Error?</v>
      </c>
    </row>
    <row r="1238" spans="1:4" x14ac:dyDescent="0.2">
      <c r="A1238" s="10">
        <v>1177</v>
      </c>
      <c r="D1238" s="2" t="str">
        <f t="shared" si="18"/>
        <v>OK</v>
      </c>
    </row>
    <row r="1239" spans="1:4" x14ac:dyDescent="0.2">
      <c r="A1239" s="5">
        <v>1178</v>
      </c>
      <c r="B1239" s="138">
        <f>'Expenditures 15-22'!E127</f>
        <v>9856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9856</v>
      </c>
      <c r="C1241" s="2" t="s">
        <v>594</v>
      </c>
      <c r="D1241" s="2" t="str">
        <f t="shared" si="18"/>
        <v>Error?</v>
      </c>
    </row>
    <row r="1242" spans="1:4" x14ac:dyDescent="0.2">
      <c r="A1242" s="5">
        <v>1181</v>
      </c>
      <c r="B1242" s="138">
        <f>'Expenditures 15-22'!E151</f>
        <v>9856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22652</v>
      </c>
      <c r="D1245" s="2" t="str">
        <f t="shared" si="18"/>
        <v>Error?</v>
      </c>
    </row>
    <row r="1246" spans="1:4" x14ac:dyDescent="0.2">
      <c r="A1246" s="10">
        <v>1185</v>
      </c>
      <c r="D1246" s="2" t="str">
        <f t="shared" si="18"/>
        <v>OK</v>
      </c>
    </row>
    <row r="1247" spans="1:4" x14ac:dyDescent="0.2">
      <c r="A1247" s="5">
        <v>1186</v>
      </c>
      <c r="B1247" s="138">
        <f>'Expenditures 15-22'!F127</f>
        <v>22652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22652</v>
      </c>
      <c r="C1249" s="2" t="s">
        <v>594</v>
      </c>
      <c r="D1249" s="2" t="str">
        <f t="shared" si="18"/>
        <v>Error?</v>
      </c>
    </row>
    <row r="1250" spans="1:4" x14ac:dyDescent="0.2">
      <c r="A1250" s="5">
        <v>1189</v>
      </c>
      <c r="B1250" s="138">
        <f>'Expenditures 15-22'!F151</f>
        <v>22652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44910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44910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44910</v>
      </c>
      <c r="C1258" s="2" t="s">
        <v>594</v>
      </c>
      <c r="D1258" s="2" t="str">
        <f t="shared" si="18"/>
        <v>Error?</v>
      </c>
    </row>
    <row r="1259" spans="1:4" x14ac:dyDescent="0.2">
      <c r="A1259" s="5">
        <v>1198</v>
      </c>
      <c r="B1259" s="138">
        <f>'Expenditures 15-22'!G151</f>
        <v>44910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92642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92642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92642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92642</v>
      </c>
      <c r="C1288" s="2" t="s">
        <v>594</v>
      </c>
      <c r="D1288" s="2" t="str">
        <f t="shared" si="19"/>
        <v>Error?</v>
      </c>
    </row>
    <row r="1289" spans="1:4" x14ac:dyDescent="0.2">
      <c r="A1289" s="5">
        <v>1228</v>
      </c>
      <c r="B1289" s="138">
        <f>'Expenditures 15-22'!K152</f>
        <v>-20137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4798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6633</v>
      </c>
      <c r="C1317" s="2" t="s">
        <v>594</v>
      </c>
      <c r="D1317" s="2" t="str">
        <f t="shared" si="19"/>
        <v>Error?</v>
      </c>
    </row>
    <row r="1318" spans="1:4" x14ac:dyDescent="0.2">
      <c r="A1318" s="5">
        <v>1257</v>
      </c>
      <c r="B1318" s="138">
        <f>'Expenditures 15-22'!H174</f>
        <v>6633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1835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4798</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6633</v>
      </c>
      <c r="C1331" s="2" t="s">
        <v>594</v>
      </c>
      <c r="D1331" s="2" t="str">
        <f t="shared" si="19"/>
        <v>Error?</v>
      </c>
    </row>
    <row r="1332" spans="1:4" x14ac:dyDescent="0.2">
      <c r="A1332" s="5">
        <v>1271</v>
      </c>
      <c r="B1332" s="138">
        <f>'Expenditures 15-22'!K174</f>
        <v>6633</v>
      </c>
      <c r="C1332" s="2" t="s">
        <v>594</v>
      </c>
      <c r="D1332" s="2" t="str">
        <f t="shared" si="19"/>
        <v>Error?</v>
      </c>
    </row>
    <row r="1333" spans="1:4" x14ac:dyDescent="0.2">
      <c r="A1333" s="5">
        <v>1272</v>
      </c>
      <c r="B1333" s="138">
        <f>'Expenditures 15-22'!K175</f>
        <v>-12</v>
      </c>
      <c r="C1333" s="2" t="s">
        <v>594</v>
      </c>
      <c r="D1333" s="2" t="str">
        <f t="shared" si="19"/>
        <v>Error?</v>
      </c>
    </row>
    <row r="1334" spans="1:4" x14ac:dyDescent="0.2">
      <c r="A1334" s="10">
        <v>1273</v>
      </c>
      <c r="D1334" s="2" t="str">
        <f t="shared" si="19"/>
        <v>OK</v>
      </c>
    </row>
    <row r="1335" spans="1:4" x14ac:dyDescent="0.2">
      <c r="A1335" s="5">
        <v>1274</v>
      </c>
      <c r="B1335" s="138">
        <f>'Expenditures 15-22'!C182</f>
        <v>21824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21824</v>
      </c>
      <c r="C1339" s="2" t="s">
        <v>594</v>
      </c>
      <c r="D1339" s="2" t="str">
        <f t="shared" si="19"/>
        <v>Error?</v>
      </c>
    </row>
    <row r="1340" spans="1:4" x14ac:dyDescent="0.2">
      <c r="A1340" s="5">
        <v>1279</v>
      </c>
      <c r="B1340" s="138">
        <f>'Expenditures 15-22'!C210</f>
        <v>21824</v>
      </c>
      <c r="C1340" s="2" t="s">
        <v>594</v>
      </c>
      <c r="D1340" s="2" t="str">
        <f t="shared" si="19"/>
        <v>Error?</v>
      </c>
    </row>
    <row r="1341" spans="1:4" x14ac:dyDescent="0.2">
      <c r="A1341" s="5">
        <v>1280</v>
      </c>
      <c r="B1341" s="138">
        <f>'Expenditures 15-22'!D182</f>
        <v>649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649</v>
      </c>
      <c r="C1345" s="2" t="s">
        <v>594</v>
      </c>
      <c r="D1345" s="2" t="str">
        <f t="shared" si="20"/>
        <v>Error?</v>
      </c>
    </row>
    <row r="1346" spans="1:4" x14ac:dyDescent="0.2">
      <c r="A1346" s="5">
        <v>1285</v>
      </c>
      <c r="B1346" s="138">
        <f>'Expenditures 15-22'!D210</f>
        <v>649</v>
      </c>
      <c r="C1346" s="2" t="s">
        <v>594</v>
      </c>
      <c r="D1346" s="2" t="str">
        <f t="shared" si="20"/>
        <v>Error?</v>
      </c>
    </row>
    <row r="1347" spans="1:4" x14ac:dyDescent="0.2">
      <c r="A1347" s="5">
        <v>1286</v>
      </c>
      <c r="B1347" s="138">
        <f>'Expenditures 15-22'!E182</f>
        <v>4292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4292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4292</v>
      </c>
      <c r="C1353" s="2" t="s">
        <v>594</v>
      </c>
      <c r="D1353" s="2" t="str">
        <f t="shared" si="20"/>
        <v>Error?</v>
      </c>
    </row>
    <row r="1354" spans="1:4" x14ac:dyDescent="0.2">
      <c r="A1354" s="5">
        <v>1293</v>
      </c>
      <c r="B1354" s="138">
        <f>'Expenditures 15-22'!F182</f>
        <v>8120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8120</v>
      </c>
      <c r="C1358" s="2" t="s">
        <v>594</v>
      </c>
      <c r="D1358" s="2" t="str">
        <f t="shared" si="20"/>
        <v>Error?</v>
      </c>
    </row>
    <row r="1359" spans="1:4" x14ac:dyDescent="0.2">
      <c r="A1359" s="5">
        <v>1298</v>
      </c>
      <c r="B1359" s="138">
        <f>'Expenditures 15-22'!F210</f>
        <v>8120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38652</v>
      </c>
      <c r="C1375" s="2" t="s">
        <v>594</v>
      </c>
      <c r="D1375" s="2" t="str">
        <f t="shared" si="20"/>
        <v>Error?</v>
      </c>
    </row>
    <row r="1376" spans="1:4" x14ac:dyDescent="0.2">
      <c r="A1376" s="5">
        <v>1315</v>
      </c>
      <c r="B1376" s="138">
        <f>'Expenditures 15-22'!H210</f>
        <v>38652</v>
      </c>
      <c r="C1376" s="2" t="s">
        <v>594</v>
      </c>
      <c r="D1376" s="2" t="str">
        <f t="shared" si="20"/>
        <v>Error?</v>
      </c>
    </row>
    <row r="1377" spans="1:4" x14ac:dyDescent="0.2">
      <c r="A1377" s="5">
        <v>1316</v>
      </c>
      <c r="B1377" s="138">
        <f>'Expenditures 15-22'!K182</f>
        <v>34885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34885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38652</v>
      </c>
      <c r="C1387" s="2" t="s">
        <v>594</v>
      </c>
      <c r="D1387" s="2" t="str">
        <f t="shared" si="20"/>
        <v>Error?</v>
      </c>
    </row>
    <row r="1388" spans="1:4" x14ac:dyDescent="0.2">
      <c r="A1388" s="5">
        <v>1327</v>
      </c>
      <c r="B1388" s="138">
        <f>'Expenditures 15-22'!K210</f>
        <v>73537</v>
      </c>
      <c r="C1388" s="2" t="s">
        <v>594</v>
      </c>
      <c r="D1388" s="2" t="str">
        <f t="shared" si="20"/>
        <v>Error?</v>
      </c>
    </row>
    <row r="1389" spans="1:4" x14ac:dyDescent="0.2">
      <c r="A1389" s="5">
        <v>1328</v>
      </c>
      <c r="B1389" s="138">
        <f>'Expenditures 15-22'!K211</f>
        <v>26886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9807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96</v>
      </c>
      <c r="D1422" s="2" t="str">
        <f t="shared" si="21"/>
        <v>Error?</v>
      </c>
    </row>
    <row r="1423" spans="1:4" x14ac:dyDescent="0.2">
      <c r="A1423" s="5">
        <v>1362</v>
      </c>
      <c r="B1423" s="138">
        <f>'Expenditures 15-22'!D246</f>
        <v>873</v>
      </c>
      <c r="D1423" s="2" t="str">
        <f t="shared" si="21"/>
        <v>Error?</v>
      </c>
    </row>
    <row r="1424" spans="1:4" x14ac:dyDescent="0.2">
      <c r="A1424" s="5">
        <v>1363</v>
      </c>
      <c r="B1424" s="138">
        <f>'Expenditures 15-22'!D257</f>
        <v>969</v>
      </c>
      <c r="C1424" s="2" t="s">
        <v>594</v>
      </c>
      <c r="D1424" s="2" t="str">
        <f t="shared" si="21"/>
        <v>Error?</v>
      </c>
    </row>
    <row r="1425" spans="1:4" x14ac:dyDescent="0.2">
      <c r="A1425" s="5">
        <v>1364</v>
      </c>
      <c r="B1425" s="138">
        <f>'Expenditures 15-22'!D259</f>
        <v>261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261</v>
      </c>
      <c r="C1427" s="2" t="s">
        <v>594</v>
      </c>
      <c r="D1427" s="2" t="str">
        <f t="shared" si="21"/>
        <v>Error?</v>
      </c>
    </row>
    <row r="1428" spans="1:4" x14ac:dyDescent="0.2">
      <c r="A1428" s="5">
        <v>1367</v>
      </c>
      <c r="B1428" s="138">
        <f>'Expenditures 15-22'!D263</f>
        <v>3557</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2007</v>
      </c>
      <c r="D1431" s="2" t="str">
        <f t="shared" si="21"/>
        <v>Error?</v>
      </c>
    </row>
    <row r="1432" spans="1:4" x14ac:dyDescent="0.2">
      <c r="A1432" s="5">
        <v>1371</v>
      </c>
      <c r="B1432" s="138">
        <f>'Expenditures 15-22'!D267</f>
        <v>2389</v>
      </c>
      <c r="D1432" s="2" t="str">
        <f t="shared" si="21"/>
        <v>Error?</v>
      </c>
    </row>
    <row r="1433" spans="1:4" x14ac:dyDescent="0.2">
      <c r="A1433" s="5">
        <v>1372</v>
      </c>
      <c r="B1433" s="138">
        <f>'Expenditures 15-22'!D268</f>
        <v>2723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11906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21713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9807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96</v>
      </c>
      <c r="C1486" s="2" t="s">
        <v>594</v>
      </c>
      <c r="D1486" s="2" t="str">
        <f t="shared" si="22"/>
        <v>Error?</v>
      </c>
    </row>
    <row r="1487" spans="1:4" x14ac:dyDescent="0.2">
      <c r="A1487" s="5">
        <v>1426</v>
      </c>
      <c r="B1487" s="138">
        <f>'Expenditures 15-22'!K246</f>
        <v>873</v>
      </c>
      <c r="C1487" s="2" t="s">
        <v>594</v>
      </c>
      <c r="D1487" s="2" t="str">
        <f t="shared" si="22"/>
        <v>Error?</v>
      </c>
    </row>
    <row r="1488" spans="1:4" x14ac:dyDescent="0.2">
      <c r="A1488" s="5">
        <v>1427</v>
      </c>
      <c r="B1488" s="138">
        <f>'Expenditures 15-22'!K257</f>
        <v>969</v>
      </c>
      <c r="C1488" s="2" t="s">
        <v>594</v>
      </c>
      <c r="D1488" s="2" t="str">
        <f t="shared" si="22"/>
        <v>Error?</v>
      </c>
    </row>
    <row r="1489" spans="1:4" x14ac:dyDescent="0.2">
      <c r="A1489" s="5">
        <v>1428</v>
      </c>
      <c r="B1489" s="138">
        <f>'Expenditures 15-22'!K259</f>
        <v>261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261</v>
      </c>
      <c r="C1491" s="2" t="s">
        <v>594</v>
      </c>
      <c r="D1491" s="2" t="str">
        <f t="shared" si="22"/>
        <v>Error?</v>
      </c>
    </row>
    <row r="1492" spans="1:4" x14ac:dyDescent="0.2">
      <c r="A1492" s="5">
        <v>1431</v>
      </c>
      <c r="B1492" s="138">
        <f>'Expenditures 15-22'!K263</f>
        <v>3557</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2007</v>
      </c>
      <c r="C1495" s="2" t="s">
        <v>594</v>
      </c>
      <c r="D1495" s="2" t="str">
        <f t="shared" si="22"/>
        <v>Error?</v>
      </c>
    </row>
    <row r="1496" spans="1:4" x14ac:dyDescent="0.2">
      <c r="A1496" s="5">
        <v>1435</v>
      </c>
      <c r="B1496" s="138">
        <f>'Expenditures 15-22'!K267</f>
        <v>2389</v>
      </c>
      <c r="C1496" s="2" t="s">
        <v>594</v>
      </c>
      <c r="D1496" s="2" t="str">
        <f t="shared" si="22"/>
        <v>Error?</v>
      </c>
    </row>
    <row r="1497" spans="1:4" x14ac:dyDescent="0.2">
      <c r="A1497" s="5">
        <v>1436</v>
      </c>
      <c r="B1497" s="138">
        <f>'Expenditures 15-22'!K268</f>
        <v>2723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10676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11906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21713</v>
      </c>
      <c r="C1517" s="2" t="s">
        <v>594</v>
      </c>
      <c r="D1517" s="2" t="str">
        <f t="shared" si="22"/>
        <v>Error?</v>
      </c>
    </row>
    <row r="1518" spans="1:4" x14ac:dyDescent="0.2">
      <c r="A1518" s="5">
        <v>1457</v>
      </c>
      <c r="B1518" s="138">
        <f>'Expenditures 15-22'!K296</f>
        <v>2476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189940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286574</v>
      </c>
      <c r="C1630" s="2" t="s">
        <v>594</v>
      </c>
      <c r="D1630" s="2" t="str">
        <f t="shared" si="24"/>
        <v>Error?</v>
      </c>
    </row>
    <row r="1631" spans="1:4" x14ac:dyDescent="0.2">
      <c r="A1631" s="5">
        <v>1570</v>
      </c>
      <c r="B1631" s="138">
        <f>'Acct Summary 7-8'!D79</f>
        <v>1605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31467</v>
      </c>
      <c r="C1644" s="2" t="s">
        <v>594</v>
      </c>
      <c r="D1644" s="2" t="str">
        <f t="shared" si="24"/>
        <v>Error?</v>
      </c>
    </row>
    <row r="1645" spans="1:4" x14ac:dyDescent="0.2">
      <c r="A1645" s="5">
        <v>1584</v>
      </c>
      <c r="B1645" s="138">
        <f>'Acct Summary 7-8'!E79</f>
        <v>1154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1142</v>
      </c>
      <c r="C1658" s="2" t="s">
        <v>594</v>
      </c>
      <c r="D1658" s="2" t="str">
        <f t="shared" si="24"/>
        <v>Error?</v>
      </c>
    </row>
    <row r="1659" spans="1:4" x14ac:dyDescent="0.2">
      <c r="A1659" s="5">
        <v>1598</v>
      </c>
      <c r="B1659" s="138">
        <f>'Acct Summary 7-8'!F79</f>
        <v>37230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64116</v>
      </c>
      <c r="C1672" s="2" t="s">
        <v>594</v>
      </c>
      <c r="D1672" s="2" t="str">
        <f t="shared" si="25"/>
        <v>Error?</v>
      </c>
    </row>
    <row r="1673" spans="1:4" x14ac:dyDescent="0.2">
      <c r="A1673" s="5">
        <v>1612</v>
      </c>
      <c r="B1673" s="138">
        <f>'Acct Summary 7-8'!G79</f>
        <v>26984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29460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215028</v>
      </c>
      <c r="C1744" s="2" t="s">
        <v>594</v>
      </c>
      <c r="D1744" s="2" t="str">
        <f t="shared" si="26"/>
        <v>Error?</v>
      </c>
    </row>
    <row r="1745" spans="1:5" x14ac:dyDescent="0.2">
      <c r="A1745" s="5">
        <v>1684</v>
      </c>
      <c r="B1745" s="138">
        <f>'Tax Sched 23'!B5</f>
        <v>35289</v>
      </c>
      <c r="C1745" s="2" t="s">
        <v>594</v>
      </c>
      <c r="D1745" s="2" t="str">
        <f t="shared" si="26"/>
        <v>Error?</v>
      </c>
    </row>
    <row r="1746" spans="1:5" x14ac:dyDescent="0.2">
      <c r="A1746" s="5">
        <v>1685</v>
      </c>
      <c r="B1746" s="138">
        <f>'Tax Sched 23'!B6</f>
        <v>6621</v>
      </c>
      <c r="C1746" s="2" t="s">
        <v>594</v>
      </c>
      <c r="D1746" s="2" t="str">
        <f t="shared" si="26"/>
        <v>Error?</v>
      </c>
    </row>
    <row r="1747" spans="1:5" x14ac:dyDescent="0.2">
      <c r="A1747" s="5">
        <v>1686</v>
      </c>
      <c r="B1747" s="138">
        <f>'Tax Sched 23'!B7</f>
        <v>15123</v>
      </c>
      <c r="C1747" s="2" t="s">
        <v>594</v>
      </c>
      <c r="D1747" s="2" t="str">
        <f t="shared" si="26"/>
        <v>Error?</v>
      </c>
    </row>
    <row r="1748" spans="1:5" x14ac:dyDescent="0.2">
      <c r="A1748" s="5">
        <v>1687</v>
      </c>
      <c r="B1748" s="138">
        <f>'Tax Sched 23'!B8</f>
        <v>6567</v>
      </c>
      <c r="C1748" s="2" t="s">
        <v>594</v>
      </c>
      <c r="D1748" s="2" t="str">
        <f t="shared" si="26"/>
        <v>Error?</v>
      </c>
    </row>
    <row r="1749" spans="1:5" x14ac:dyDescent="0.2">
      <c r="A1749" s="5">
        <v>1688</v>
      </c>
      <c r="B1749" s="138">
        <f>'Tax Sched 23'!B10</f>
        <v>5041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22370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2016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325677</v>
      </c>
      <c r="C1759" s="2" t="s">
        <v>594</v>
      </c>
      <c r="D1759" s="2" t="str">
        <f t="shared" si="26"/>
        <v>Error?</v>
      </c>
    </row>
    <row r="1760" spans="1:5" x14ac:dyDescent="0.2">
      <c r="A1760" s="5">
        <v>1699</v>
      </c>
      <c r="B1760" s="138">
        <f>'Tax Sched 23'!D4</f>
        <v>215028</v>
      </c>
      <c r="C1760" s="2" t="s">
        <v>594</v>
      </c>
      <c r="D1760" s="2" t="str">
        <f t="shared" si="26"/>
        <v>Error?</v>
      </c>
    </row>
    <row r="1761" spans="1:5" x14ac:dyDescent="0.2">
      <c r="A1761" s="5">
        <v>1700</v>
      </c>
      <c r="B1761" s="138">
        <f>'Tax Sched 23'!D5</f>
        <v>35289</v>
      </c>
      <c r="C1761" s="2" t="s">
        <v>594</v>
      </c>
      <c r="D1761" s="2" t="str">
        <f t="shared" si="26"/>
        <v>Error?</v>
      </c>
    </row>
    <row r="1762" spans="1:5" s="8" customFormat="1" x14ac:dyDescent="0.2">
      <c r="A1762" s="5">
        <v>1701</v>
      </c>
      <c r="B1762" s="138">
        <f>'Tax Sched 23'!D6</f>
        <v>6621</v>
      </c>
      <c r="C1762" s="2" t="s">
        <v>594</v>
      </c>
      <c r="D1762" s="2" t="str">
        <f t="shared" si="26"/>
        <v>Error?</v>
      </c>
      <c r="E1762" s="9"/>
    </row>
    <row r="1763" spans="1:5" x14ac:dyDescent="0.2">
      <c r="A1763" s="5">
        <v>1702</v>
      </c>
      <c r="B1763" s="138">
        <f>'Tax Sched 23'!D7</f>
        <v>15123</v>
      </c>
      <c r="C1763" s="2" t="s">
        <v>594</v>
      </c>
      <c r="D1763" s="2" t="str">
        <f t="shared" si="26"/>
        <v>Error?</v>
      </c>
    </row>
    <row r="1764" spans="1:5" x14ac:dyDescent="0.2">
      <c r="A1764" s="5">
        <v>1703</v>
      </c>
      <c r="B1764" s="138">
        <f>'Tax Sched 23'!D8</f>
        <v>6567</v>
      </c>
      <c r="C1764" s="2" t="s">
        <v>594</v>
      </c>
      <c r="D1764" s="2" t="str">
        <f t="shared" si="26"/>
        <v>Error?</v>
      </c>
    </row>
    <row r="1765" spans="1:5" x14ac:dyDescent="0.2">
      <c r="A1765" s="5">
        <v>1704</v>
      </c>
      <c r="B1765" s="138">
        <f>'Tax Sched 23'!D10</f>
        <v>5041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22370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2016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325677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226026</v>
      </c>
      <c r="C1792" s="2" t="s">
        <v>594</v>
      </c>
      <c r="D1792" s="2" t="str">
        <f t="shared" si="27"/>
        <v>Error?</v>
      </c>
    </row>
    <row r="1793" spans="1:4" x14ac:dyDescent="0.2">
      <c r="A1793" s="5">
        <v>1732</v>
      </c>
      <c r="B1793" s="138">
        <f>'Tax Sched 23'!F5</f>
        <v>37130</v>
      </c>
      <c r="C1793" s="2" t="s">
        <v>594</v>
      </c>
      <c r="D1793" s="2" t="str">
        <f t="shared" si="27"/>
        <v>Error?</v>
      </c>
    </row>
    <row r="1794" spans="1:4" x14ac:dyDescent="0.2">
      <c r="A1794" s="5">
        <v>1733</v>
      </c>
      <c r="B1794" s="138">
        <f>'Tax Sched 23'!F6</f>
        <v>6635</v>
      </c>
      <c r="C1794" s="2" t="s">
        <v>594</v>
      </c>
      <c r="D1794" s="2" t="str">
        <f t="shared" si="27"/>
        <v>Error?</v>
      </c>
    </row>
    <row r="1795" spans="1:4" x14ac:dyDescent="0.2">
      <c r="A1795" s="5">
        <v>1734</v>
      </c>
      <c r="B1795" s="138">
        <f>'Tax Sched 23'!F7</f>
        <v>15911</v>
      </c>
      <c r="C1795" s="2" t="s">
        <v>594</v>
      </c>
      <c r="D1795" s="2" t="str">
        <f t="shared" si="27"/>
        <v>Error?</v>
      </c>
    </row>
    <row r="1796" spans="1:4" x14ac:dyDescent="0.2">
      <c r="A1796" s="5">
        <v>1735</v>
      </c>
      <c r="B1796" s="138">
        <f>'Tax Sched 23'!F8</f>
        <v>6901</v>
      </c>
      <c r="C1796" s="2" t="s">
        <v>594</v>
      </c>
      <c r="D1796" s="2" t="str">
        <f t="shared" si="27"/>
        <v>Error?</v>
      </c>
    </row>
    <row r="1797" spans="1:4" x14ac:dyDescent="0.2">
      <c r="A1797" s="5">
        <v>1736</v>
      </c>
      <c r="B1797" s="138">
        <f>'Tax Sched 23'!F10</f>
        <v>5440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18357</v>
      </c>
      <c r="C1800" s="2" t="s">
        <v>594</v>
      </c>
      <c r="D1800" s="2" t="str">
        <f t="shared" si="27"/>
        <v>Error?</v>
      </c>
    </row>
    <row r="1801" spans="1:4" x14ac:dyDescent="0.2">
      <c r="A1801" s="5">
        <v>1740</v>
      </c>
      <c r="B1801" s="138">
        <f>'Tax Sched 23'!F12</f>
        <v>5440</v>
      </c>
      <c r="C1801" s="2" t="s">
        <v>594</v>
      </c>
      <c r="D1801" s="2" t="str">
        <f t="shared" si="27"/>
        <v>Error?</v>
      </c>
    </row>
    <row r="1802" spans="1:4" x14ac:dyDescent="0.2">
      <c r="A1802" s="5">
        <v>1741</v>
      </c>
      <c r="B1802" s="138">
        <f>'Tax Sched 23'!F14</f>
        <v>2176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342116</v>
      </c>
      <c r="C1807" s="2" t="s">
        <v>594</v>
      </c>
      <c r="D1807" s="2" t="str">
        <f t="shared" si="27"/>
        <v>Error?</v>
      </c>
    </row>
    <row r="1808" spans="1:4" x14ac:dyDescent="0.2">
      <c r="A1808" s="5">
        <v>1747</v>
      </c>
      <c r="B1808" s="138">
        <f>'Tax Sched 23'!E4</f>
        <v>226026</v>
      </c>
      <c r="D1808" s="2" t="str">
        <f t="shared" si="27"/>
        <v>Error?</v>
      </c>
    </row>
    <row r="1809" spans="1:4" x14ac:dyDescent="0.2">
      <c r="A1809" s="5">
        <v>1748</v>
      </c>
      <c r="B1809" s="138">
        <f>'Tax Sched 23'!E5</f>
        <v>37130</v>
      </c>
      <c r="D1809" s="2" t="str">
        <f t="shared" si="27"/>
        <v>Error?</v>
      </c>
    </row>
    <row r="1810" spans="1:4" x14ac:dyDescent="0.2">
      <c r="A1810" s="5">
        <v>1749</v>
      </c>
      <c r="B1810" s="138">
        <f>'Tax Sched 23'!E6</f>
        <v>6635</v>
      </c>
      <c r="D1810" s="2" t="str">
        <f t="shared" si="27"/>
        <v>Error?</v>
      </c>
    </row>
    <row r="1811" spans="1:4" x14ac:dyDescent="0.2">
      <c r="A1811" s="5">
        <v>1750</v>
      </c>
      <c r="B1811" s="138">
        <f>'Tax Sched 23'!E7</f>
        <v>15911</v>
      </c>
      <c r="D1811" s="2" t="str">
        <f t="shared" si="27"/>
        <v>Error?</v>
      </c>
    </row>
    <row r="1812" spans="1:4" x14ac:dyDescent="0.2">
      <c r="A1812" s="5">
        <v>1751</v>
      </c>
      <c r="B1812" s="138">
        <f>'Tax Sched 23'!E8</f>
        <v>6901</v>
      </c>
      <c r="D1812" s="2" t="str">
        <f t="shared" si="27"/>
        <v>Error?</v>
      </c>
    </row>
    <row r="1813" spans="1:4" x14ac:dyDescent="0.2">
      <c r="A1813" s="5">
        <v>1752</v>
      </c>
      <c r="B1813" s="138">
        <f>'Tax Sched 23'!E10</f>
        <v>5440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18357</v>
      </c>
      <c r="D1816" s="2" t="str">
        <f t="shared" si="27"/>
        <v>Error?</v>
      </c>
    </row>
    <row r="1817" spans="1:4" x14ac:dyDescent="0.2">
      <c r="A1817" s="5">
        <v>1756</v>
      </c>
      <c r="B1817" s="138">
        <f>'Tax Sched 23'!E12</f>
        <v>5440</v>
      </c>
      <c r="D1817" s="2" t="str">
        <f t="shared" si="27"/>
        <v>Error?</v>
      </c>
    </row>
    <row r="1818" spans="1:4" x14ac:dyDescent="0.2">
      <c r="A1818" s="5">
        <v>1757</v>
      </c>
      <c r="B1818" s="138">
        <f>'Tax Sched 23'!E14</f>
        <v>2176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342116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173843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2016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2016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5500</v>
      </c>
      <c r="D2008" s="2" t="str">
        <f t="shared" si="30"/>
        <v>Error?</v>
      </c>
    </row>
    <row r="2009" spans="1:4" x14ac:dyDescent="0.2">
      <c r="A2009" s="5">
        <v>1948</v>
      </c>
      <c r="B2009" s="138">
        <f>'Cap Outlay Deprec 26'!C8</f>
        <v>683858</v>
      </c>
      <c r="D2009" s="2" t="str">
        <f t="shared" si="30"/>
        <v>Error?</v>
      </c>
    </row>
    <row r="2010" spans="1:4" x14ac:dyDescent="0.2">
      <c r="A2010" s="5">
        <v>1949</v>
      </c>
      <c r="B2010" s="138">
        <f>'Cap Outlay Deprec 26'!C10</f>
        <v>3389</v>
      </c>
      <c r="D2010" s="2" t="str">
        <f t="shared" si="30"/>
        <v>Error?</v>
      </c>
    </row>
    <row r="2011" spans="1:4" x14ac:dyDescent="0.2">
      <c r="A2011" s="5">
        <v>1950</v>
      </c>
      <c r="B2011" s="138">
        <f>'Cap Outlay Deprec 26'!C12</f>
        <v>337907</v>
      </c>
      <c r="D2011" s="2" t="str">
        <f t="shared" si="30"/>
        <v>Error?</v>
      </c>
    </row>
    <row r="2012" spans="1:4" x14ac:dyDescent="0.2">
      <c r="A2012" s="5">
        <v>1951</v>
      </c>
      <c r="B2012" s="138">
        <f>'Cap Outlay Deprec 26'!C13</f>
        <v>182356</v>
      </c>
      <c r="D2012" s="2" t="str">
        <f t="shared" si="30"/>
        <v>Error?</v>
      </c>
    </row>
    <row r="2013" spans="1:4" x14ac:dyDescent="0.2">
      <c r="A2013" s="5">
        <v>1952</v>
      </c>
      <c r="B2013" s="138">
        <f>'Cap Outlay Deprec 26'!C16</f>
        <v>1213010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32586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77496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5500</v>
      </c>
      <c r="C2026" s="2" t="s">
        <v>594</v>
      </c>
      <c r="D2026" s="2" t="str">
        <f t="shared" si="30"/>
        <v>Error?</v>
      </c>
    </row>
    <row r="2027" spans="1:4" x14ac:dyDescent="0.2">
      <c r="A2027" s="5">
        <v>1966</v>
      </c>
      <c r="B2027" s="138">
        <f>'Cap Outlay Deprec 26'!F8</f>
        <v>683858</v>
      </c>
      <c r="C2027" s="2" t="s">
        <v>594</v>
      </c>
      <c r="D2027" s="2" t="str">
        <f t="shared" si="30"/>
        <v>Error?</v>
      </c>
    </row>
    <row r="2028" spans="1:4" x14ac:dyDescent="0.2">
      <c r="A2028" s="5">
        <v>1967</v>
      </c>
      <c r="B2028" s="138">
        <f>'Cap Outlay Deprec 26'!F10</f>
        <v>3389</v>
      </c>
      <c r="C2028" s="2" t="s">
        <v>594</v>
      </c>
      <c r="D2028" s="2" t="str">
        <f t="shared" si="30"/>
        <v>Error?</v>
      </c>
    </row>
    <row r="2029" spans="1:4" x14ac:dyDescent="0.2">
      <c r="A2029" s="5">
        <v>1968</v>
      </c>
      <c r="B2029" s="138">
        <f>'Cap Outlay Deprec 26'!F12</f>
        <v>370493</v>
      </c>
      <c r="C2029" s="2" t="s">
        <v>594</v>
      </c>
      <c r="D2029" s="2" t="str">
        <f t="shared" si="30"/>
        <v>Error?</v>
      </c>
    </row>
    <row r="2030" spans="1:4" x14ac:dyDescent="0.2">
      <c r="A2030" s="5">
        <v>1969</v>
      </c>
      <c r="B2030" s="138">
        <f>'Cap Outlay Deprec 26'!F13</f>
        <v>182356</v>
      </c>
      <c r="C2030" s="2" t="s">
        <v>594</v>
      </c>
      <c r="D2030" s="2" t="str">
        <f t="shared" si="30"/>
        <v>Error?</v>
      </c>
    </row>
    <row r="2031" spans="1:4" x14ac:dyDescent="0.2">
      <c r="A2031" s="5">
        <v>1970</v>
      </c>
      <c r="B2031" s="138">
        <f>'Cap Outlay Deprec 26'!F16</f>
        <v>1290506</v>
      </c>
      <c r="C2031" s="2" t="s">
        <v>594</v>
      </c>
      <c r="D2031" s="2" t="str">
        <f t="shared" si="30"/>
        <v>Error?</v>
      </c>
    </row>
    <row r="2032" spans="1:4" x14ac:dyDescent="0.2">
      <c r="A2032" s="10">
        <v>1971</v>
      </c>
      <c r="D2032" s="2" t="str">
        <f t="shared" si="30"/>
        <v>OK</v>
      </c>
    </row>
    <row r="2033" spans="1:4" x14ac:dyDescent="0.2">
      <c r="A2033" s="5">
        <v>1972</v>
      </c>
      <c r="B2033" s="138">
        <f>'Cap Outlay Deprec 26'!H8</f>
        <v>330584</v>
      </c>
      <c r="D2033" s="2" t="str">
        <f t="shared" si="30"/>
        <v>Error?</v>
      </c>
    </row>
    <row r="2034" spans="1:4" x14ac:dyDescent="0.2">
      <c r="A2034" s="5">
        <v>1973</v>
      </c>
      <c r="B2034" s="138">
        <f>'Cap Outlay Deprec 26'!H10</f>
        <v>2270</v>
      </c>
      <c r="D2034" s="2" t="str">
        <f t="shared" si="30"/>
        <v>Error?</v>
      </c>
    </row>
    <row r="2035" spans="1:4" x14ac:dyDescent="0.2">
      <c r="A2035" s="5">
        <v>1974</v>
      </c>
      <c r="B2035" s="138">
        <f>'Cap Outlay Deprec 26'!H12</f>
        <v>285324</v>
      </c>
      <c r="D2035" s="2" t="str">
        <f t="shared" si="30"/>
        <v>Error?</v>
      </c>
    </row>
    <row r="2036" spans="1:4" x14ac:dyDescent="0.2">
      <c r="A2036" s="5">
        <v>1975</v>
      </c>
      <c r="B2036" s="138">
        <f>'Cap Outlay Deprec 26'!H13</f>
        <v>33381</v>
      </c>
      <c r="D2036" s="2" t="str">
        <f t="shared" si="30"/>
        <v>Error?</v>
      </c>
    </row>
    <row r="2037" spans="1:4" x14ac:dyDescent="0.2">
      <c r="A2037" s="5">
        <v>1976</v>
      </c>
      <c r="B2037" s="138">
        <f>'Cap Outlay Deprec 26'!H16</f>
        <v>651559</v>
      </c>
      <c r="C2037" s="2" t="s">
        <v>594</v>
      </c>
      <c r="D2037" s="2" t="str">
        <f t="shared" si="30"/>
        <v>Error?</v>
      </c>
    </row>
    <row r="2038" spans="1:4" x14ac:dyDescent="0.2">
      <c r="A2038" s="10">
        <v>1977</v>
      </c>
      <c r="D2038" s="2" t="str">
        <f t="shared" si="30"/>
        <v>OK</v>
      </c>
    </row>
    <row r="2039" spans="1:4" x14ac:dyDescent="0.2">
      <c r="A2039" s="5">
        <v>1978</v>
      </c>
      <c r="B2039" s="138">
        <f>'Cap Outlay Deprec 26'!I8</f>
        <v>13073</v>
      </c>
      <c r="D2039" s="2" t="str">
        <f t="shared" si="30"/>
        <v>Error?</v>
      </c>
    </row>
    <row r="2040" spans="1:4" x14ac:dyDescent="0.2">
      <c r="A2040" s="5">
        <v>1979</v>
      </c>
      <c r="B2040" s="138">
        <f>'Cap Outlay Deprec 26'!I10</f>
        <v>169</v>
      </c>
      <c r="D2040" s="2" t="str">
        <f t="shared" si="30"/>
        <v>Error?</v>
      </c>
    </row>
    <row r="2041" spans="1:4" x14ac:dyDescent="0.2">
      <c r="A2041" s="5">
        <v>1980</v>
      </c>
      <c r="B2041" s="138">
        <f>'Cap Outlay Deprec 26'!I12</f>
        <v>14049</v>
      </c>
      <c r="D2041" s="2" t="str">
        <f t="shared" si="30"/>
        <v>Error?</v>
      </c>
    </row>
    <row r="2042" spans="1:4" x14ac:dyDescent="0.2">
      <c r="A2042" s="5">
        <v>1981</v>
      </c>
      <c r="B2042" s="138">
        <f>'Cap Outlay Deprec 26'!I13</f>
        <v>36471</v>
      </c>
      <c r="D2042" s="2" t="str">
        <f t="shared" si="30"/>
        <v>Error?</v>
      </c>
    </row>
    <row r="2043" spans="1:4" x14ac:dyDescent="0.2">
      <c r="A2043" s="5">
        <v>1982</v>
      </c>
      <c r="B2043" s="138">
        <f>'Cap Outlay Deprec 26'!I16</f>
        <v>63762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343657</v>
      </c>
      <c r="C2051" s="2" t="s">
        <v>594</v>
      </c>
      <c r="D2051" s="2" t="str">
        <f t="shared" si="31"/>
        <v>Error?</v>
      </c>
    </row>
    <row r="2052" spans="1:4" x14ac:dyDescent="0.2">
      <c r="A2052" s="5">
        <v>1991</v>
      </c>
      <c r="B2052" s="138">
        <f>'Cap Outlay Deprec 26'!K10</f>
        <v>2439</v>
      </c>
      <c r="C2052" s="2" t="s">
        <v>594</v>
      </c>
      <c r="D2052" s="2" t="str">
        <f t="shared" si="31"/>
        <v>Error?</v>
      </c>
    </row>
    <row r="2053" spans="1:4" x14ac:dyDescent="0.2">
      <c r="A2053" s="5">
        <v>1992</v>
      </c>
      <c r="B2053" s="138">
        <f>'Cap Outlay Deprec 26'!K12</f>
        <v>299373</v>
      </c>
      <c r="C2053" s="2" t="s">
        <v>594</v>
      </c>
      <c r="D2053" s="2" t="str">
        <f t="shared" si="31"/>
        <v>Error?</v>
      </c>
    </row>
    <row r="2054" spans="1:4" x14ac:dyDescent="0.2">
      <c r="A2054" s="5">
        <v>1993</v>
      </c>
      <c r="B2054" s="138">
        <f>'Cap Outlay Deprec 26'!K13</f>
        <v>69852</v>
      </c>
      <c r="C2054" s="2" t="s">
        <v>594</v>
      </c>
      <c r="D2054" s="2" t="str">
        <f t="shared" si="31"/>
        <v>Error?</v>
      </c>
    </row>
    <row r="2055" spans="1:4" x14ac:dyDescent="0.2">
      <c r="A2055" s="5">
        <v>1994</v>
      </c>
      <c r="B2055" s="138">
        <f>'Cap Outlay Deprec 26'!K16</f>
        <v>715321</v>
      </c>
      <c r="C2055" s="2" t="s">
        <v>594</v>
      </c>
      <c r="D2055" s="2" t="str">
        <f t="shared" si="31"/>
        <v>Error?</v>
      </c>
    </row>
    <row r="2056" spans="1:4" x14ac:dyDescent="0.2">
      <c r="A2056" s="5">
        <v>1995</v>
      </c>
      <c r="B2056" s="138">
        <f>'Cap Outlay Deprec 26'!L5</f>
        <v>5500</v>
      </c>
      <c r="C2056" s="2" t="s">
        <v>594</v>
      </c>
      <c r="D2056" s="2" t="str">
        <f t="shared" si="31"/>
        <v>Error?</v>
      </c>
    </row>
    <row r="2057" spans="1:4" x14ac:dyDescent="0.2">
      <c r="A2057" s="5">
        <v>1996</v>
      </c>
      <c r="B2057" s="138">
        <f>'Cap Outlay Deprec 26'!L8</f>
        <v>340201</v>
      </c>
      <c r="C2057" s="2" t="s">
        <v>594</v>
      </c>
      <c r="D2057" s="2" t="str">
        <f t="shared" si="31"/>
        <v>Error?</v>
      </c>
    </row>
    <row r="2058" spans="1:4" x14ac:dyDescent="0.2">
      <c r="A2058" s="5">
        <v>1997</v>
      </c>
      <c r="B2058" s="138">
        <f>'Cap Outlay Deprec 26'!L10</f>
        <v>950</v>
      </c>
      <c r="C2058" s="2" t="s">
        <v>594</v>
      </c>
      <c r="D2058" s="2" t="str">
        <f t="shared" si="31"/>
        <v>Error?</v>
      </c>
    </row>
    <row r="2059" spans="1:4" x14ac:dyDescent="0.2">
      <c r="A2059" s="5">
        <v>1998</v>
      </c>
      <c r="B2059" s="138">
        <f>'Cap Outlay Deprec 26'!L12</f>
        <v>71120</v>
      </c>
      <c r="C2059" s="2" t="s">
        <v>594</v>
      </c>
      <c r="D2059" s="2" t="str">
        <f t="shared" si="31"/>
        <v>Error?</v>
      </c>
    </row>
    <row r="2060" spans="1:4" x14ac:dyDescent="0.2">
      <c r="A2060" s="5">
        <v>1999</v>
      </c>
      <c r="B2060" s="138">
        <f>'Cap Outlay Deprec 26'!L13</f>
        <v>112504</v>
      </c>
      <c r="C2060" s="2" t="s">
        <v>594</v>
      </c>
      <c r="D2060" s="2" t="str">
        <f t="shared" si="31"/>
        <v>Error?</v>
      </c>
    </row>
    <row r="2061" spans="1:4" x14ac:dyDescent="0.2">
      <c r="A2061" s="5">
        <v>2000</v>
      </c>
      <c r="B2061" s="138">
        <f>'Cap Outlay Deprec 26'!L16</f>
        <v>575185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3242</v>
      </c>
      <c r="C2088" s="2" t="s">
        <v>594</v>
      </c>
      <c r="D2088" s="2" t="str">
        <f t="shared" si="31"/>
        <v>Error?</v>
      </c>
    </row>
    <row r="2089" spans="1:4" x14ac:dyDescent="0.2">
      <c r="A2089" s="5">
        <v>2028</v>
      </c>
      <c r="B2089" s="138">
        <f>'Expenditures 15-22'!K92</f>
        <v>11831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49999</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21320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260264</v>
      </c>
      <c r="C2551" s="2" t="s">
        <v>594</v>
      </c>
      <c r="D2551" s="2" t="str">
        <f t="shared" si="38"/>
        <v>Error?</v>
      </c>
    </row>
    <row r="2552" spans="1:4" x14ac:dyDescent="0.2">
      <c r="A2552" s="10">
        <v>2491</v>
      </c>
      <c r="D2552" s="2" t="str">
        <f t="shared" si="38"/>
        <v>OK</v>
      </c>
    </row>
    <row r="2553" spans="1:4" x14ac:dyDescent="0.2">
      <c r="A2553" s="5">
        <v>2492</v>
      </c>
      <c r="B2553" s="138">
        <f>'Acct Summary 7-8'!C6</f>
        <v>314412</v>
      </c>
      <c r="C2553" s="2" t="s">
        <v>594</v>
      </c>
      <c r="D2553" s="2" t="str">
        <f t="shared" si="38"/>
        <v>Error?</v>
      </c>
    </row>
    <row r="2554" spans="1:4" x14ac:dyDescent="0.2">
      <c r="A2554" s="5">
        <v>2493</v>
      </c>
      <c r="B2554" s="138">
        <f>'Acct Summary 7-8'!C7</f>
        <v>86355</v>
      </c>
      <c r="C2554" s="2" t="s">
        <v>594</v>
      </c>
      <c r="D2554" s="2" t="str">
        <f t="shared" si="38"/>
        <v>Error?</v>
      </c>
    </row>
    <row r="2555" spans="1:4" x14ac:dyDescent="0.2">
      <c r="A2555" s="5">
        <v>2494</v>
      </c>
      <c r="B2555" s="138">
        <f>'Acct Summary 7-8'!C8</f>
        <v>661031</v>
      </c>
      <c r="C2555" s="2" t="s">
        <v>594</v>
      </c>
      <c r="D2555" s="2" t="str">
        <f t="shared" si="38"/>
        <v>Error?</v>
      </c>
    </row>
    <row r="2556" spans="1:4" x14ac:dyDescent="0.2">
      <c r="A2556" s="5">
        <v>2495</v>
      </c>
      <c r="B2556" s="138">
        <f>'Acct Summary 7-8'!C12</f>
        <v>340116</v>
      </c>
      <c r="C2556" s="2" t="s">
        <v>594</v>
      </c>
      <c r="D2556" s="2" t="str">
        <f t="shared" si="38"/>
        <v>Error?</v>
      </c>
    </row>
    <row r="2557" spans="1:4" x14ac:dyDescent="0.2">
      <c r="A2557" s="5">
        <v>2496</v>
      </c>
      <c r="B2557" s="138">
        <f>'Acct Summary 7-8'!C13</f>
        <v>209208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15073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564397</v>
      </c>
      <c r="C2561" s="2" t="s">
        <v>594</v>
      </c>
      <c r="D2561" s="2" t="str">
        <f t="shared" si="39"/>
        <v>Error?</v>
      </c>
    </row>
    <row r="2562" spans="1:4" x14ac:dyDescent="0.2">
      <c r="A2562" s="5">
        <v>2501</v>
      </c>
      <c r="B2562" s="138">
        <f>'Acct Summary 7-8'!C20</f>
        <v>96634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40139</v>
      </c>
      <c r="C2564" s="2" t="s">
        <v>594</v>
      </c>
      <c r="D2564" s="2" t="str">
        <f t="shared" si="39"/>
        <v>Error?</v>
      </c>
    </row>
    <row r="2565" spans="1:4" x14ac:dyDescent="0.2">
      <c r="A2565" s="10">
        <v>2504</v>
      </c>
      <c r="D2565" s="2" t="str">
        <f t="shared" si="39"/>
        <v>OK</v>
      </c>
    </row>
    <row r="2566" spans="1:4" x14ac:dyDescent="0.2">
      <c r="A2566" s="5">
        <v>2505</v>
      </c>
      <c r="B2566" s="138">
        <f>'Acct Summary 7-8'!D6</f>
        <v>32366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72505</v>
      </c>
      <c r="C2568" s="2" t="s">
        <v>594</v>
      </c>
      <c r="D2568" s="2" t="str">
        <f t="shared" si="39"/>
        <v>Error?</v>
      </c>
    </row>
    <row r="2569" spans="1:4" x14ac:dyDescent="0.2">
      <c r="A2569" s="5">
        <v>2508</v>
      </c>
      <c r="B2569" s="138">
        <f>'Acct Summary 7-8'!D13</f>
        <v>92642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92642</v>
      </c>
      <c r="C2573" s="2" t="s">
        <v>594</v>
      </c>
      <c r="D2573" s="2" t="str">
        <f t="shared" si="39"/>
        <v>Error?</v>
      </c>
    </row>
    <row r="2574" spans="1:4" x14ac:dyDescent="0.2">
      <c r="A2574" s="5">
        <v>2513</v>
      </c>
      <c r="B2574" s="138">
        <f>'Acct Summary 7-8'!D20</f>
        <v>-20137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15500</v>
      </c>
      <c r="C2591" s="2" t="s">
        <v>594</v>
      </c>
      <c r="D2591" s="2" t="str">
        <f t="shared" si="39"/>
        <v>Error?</v>
      </c>
    </row>
    <row r="2592" spans="1:4" x14ac:dyDescent="0.2">
      <c r="A2592" s="10">
        <v>2531</v>
      </c>
      <c r="D2592" s="2" t="str">
        <f t="shared" si="39"/>
        <v>OK</v>
      </c>
    </row>
    <row r="2593" spans="1:4" x14ac:dyDescent="0.2">
      <c r="A2593" s="5">
        <v>2532</v>
      </c>
      <c r="B2593" s="138">
        <f>'Acct Summary 7-8'!F6</f>
        <v>84923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100423</v>
      </c>
      <c r="C2595" s="2" t="s">
        <v>594</v>
      </c>
      <c r="D2595" s="2" t="str">
        <f t="shared" si="39"/>
        <v>Error?</v>
      </c>
    </row>
    <row r="2596" spans="1:4" x14ac:dyDescent="0.2">
      <c r="A2596" s="5">
        <v>2535</v>
      </c>
      <c r="B2596" s="138">
        <f>'Acct Summary 7-8'!F13</f>
        <v>34885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38652</v>
      </c>
      <c r="C2599" s="2" t="s">
        <v>594</v>
      </c>
      <c r="D2599" s="2" t="str">
        <f t="shared" si="39"/>
        <v>Error?</v>
      </c>
    </row>
    <row r="2600" spans="1:4" x14ac:dyDescent="0.2">
      <c r="A2600" s="5">
        <v>2539</v>
      </c>
      <c r="B2600" s="138">
        <f>'Acct Summary 7-8'!F17</f>
        <v>73537</v>
      </c>
      <c r="C2600" s="2" t="s">
        <v>594</v>
      </c>
      <c r="D2600" s="2" t="str">
        <f t="shared" si="39"/>
        <v>Error?</v>
      </c>
    </row>
    <row r="2601" spans="1:4" x14ac:dyDescent="0.2">
      <c r="A2601" s="5">
        <v>2540</v>
      </c>
      <c r="B2601" s="138">
        <f>'Acct Summary 7-8'!F20</f>
        <v>26886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24189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24189</v>
      </c>
      <c r="C2606" s="2" t="s">
        <v>594</v>
      </c>
      <c r="D2606" s="2" t="str">
        <f t="shared" si="39"/>
        <v>Error?</v>
      </c>
    </row>
    <row r="2607" spans="1:4" x14ac:dyDescent="0.2">
      <c r="A2607" s="5">
        <v>2546</v>
      </c>
      <c r="B2607" s="138">
        <f>'Acct Summary 7-8'!G12</f>
        <v>9807</v>
      </c>
      <c r="C2607" s="2" t="s">
        <v>594</v>
      </c>
      <c r="D2607" s="2" t="str">
        <f t="shared" si="39"/>
        <v>Error?</v>
      </c>
    </row>
    <row r="2608" spans="1:4" x14ac:dyDescent="0.2">
      <c r="A2608" s="5">
        <v>2547</v>
      </c>
      <c r="B2608" s="138">
        <f>'Acct Summary 7-8'!G13</f>
        <v>11906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21713</v>
      </c>
      <c r="C2612" s="2" t="s">
        <v>594</v>
      </c>
      <c r="D2612" s="2" t="str">
        <f t="shared" si="39"/>
        <v>Error?</v>
      </c>
    </row>
    <row r="2613" spans="1:4" x14ac:dyDescent="0.2">
      <c r="A2613" s="5">
        <v>2552</v>
      </c>
      <c r="B2613" s="138">
        <f>'Acct Summary 7-8'!G20</f>
        <v>2476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6621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6621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6633</v>
      </c>
      <c r="C2634" s="2" t="s">
        <v>594</v>
      </c>
      <c r="D2634" s="2" t="str">
        <f t="shared" si="40"/>
        <v>Error?</v>
      </c>
    </row>
    <row r="2635" spans="1:4" x14ac:dyDescent="0.2">
      <c r="A2635" s="5">
        <v>2574</v>
      </c>
      <c r="B2635" s="138">
        <f>'Acct Summary 7-8'!E17</f>
        <v>6633</v>
      </c>
      <c r="C2635" s="2" t="s">
        <v>594</v>
      </c>
      <c r="D2635" s="2" t="str">
        <f t="shared" si="40"/>
        <v>Error?</v>
      </c>
    </row>
    <row r="2636" spans="1:4" x14ac:dyDescent="0.2">
      <c r="A2636" s="5">
        <v>2575</v>
      </c>
      <c r="B2636" s="138">
        <f>'Acct Summary 7-8'!E20</f>
        <v>-12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3242</v>
      </c>
      <c r="C2789" s="2" t="s">
        <v>594</v>
      </c>
      <c r="D2789" s="2" t="str">
        <f t="shared" si="42"/>
        <v>Error?</v>
      </c>
    </row>
    <row r="2790" spans="1:4" x14ac:dyDescent="0.2">
      <c r="A2790" s="5">
        <v>2729</v>
      </c>
      <c r="B2790" s="138">
        <f>'Expenditures 15-22'!E102</f>
        <v>3242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44910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22707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22707</v>
      </c>
      <c r="D2912" s="2" t="str">
        <f t="shared" si="44"/>
        <v>Error?</v>
      </c>
    </row>
    <row r="2913" spans="1:4" x14ac:dyDescent="0.2">
      <c r="A2913" s="5">
        <v>2852</v>
      </c>
      <c r="B2913" s="138">
        <f>'Assets-Liab 5-6'!I41</f>
        <v>22707</v>
      </c>
      <c r="C2913" s="2" t="s">
        <v>594</v>
      </c>
      <c r="D2913" s="2" t="str">
        <f t="shared" si="44"/>
        <v>Error?</v>
      </c>
    </row>
    <row r="2914" spans="1:4" x14ac:dyDescent="0.2">
      <c r="A2914" s="5">
        <v>2853</v>
      </c>
      <c r="B2914" s="138">
        <f>'Assets-Liab 5-6'!L33</f>
        <v>4148</v>
      </c>
      <c r="D2914" s="2" t="str">
        <f t="shared" si="44"/>
        <v>Error?</v>
      </c>
    </row>
    <row r="2915" spans="1:4" x14ac:dyDescent="0.2">
      <c r="A2915" s="10">
        <v>2854</v>
      </c>
      <c r="D2915" s="2" t="str">
        <f t="shared" si="44"/>
        <v>OK</v>
      </c>
    </row>
    <row r="2916" spans="1:4" x14ac:dyDescent="0.2">
      <c r="A2916" s="5">
        <v>2855</v>
      </c>
      <c r="B2916" s="138">
        <f>'Assets-Liab 5-6'!L34</f>
        <v>4148</v>
      </c>
      <c r="C2916" s="2" t="s">
        <v>594</v>
      </c>
      <c r="D2916" s="2" t="str">
        <f t="shared" si="44"/>
        <v>Error?</v>
      </c>
    </row>
    <row r="2917" spans="1:4" x14ac:dyDescent="0.2">
      <c r="A2917" s="5">
        <v>2856</v>
      </c>
      <c r="B2917" s="138">
        <f>'Assets-Liab 5-6'!L41</f>
        <v>4148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3242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5041</v>
      </c>
      <c r="C3225" s="2" t="s">
        <v>594</v>
      </c>
      <c r="D3225" s="2" t="str">
        <f t="shared" si="49"/>
        <v>Error?</v>
      </c>
    </row>
    <row r="3226" spans="1:4" x14ac:dyDescent="0.2">
      <c r="A3226" s="5">
        <v>3165</v>
      </c>
      <c r="B3226" s="138">
        <f>'Acct Summary 7-8'!I8</f>
        <v>5041</v>
      </c>
      <c r="C3226" s="2" t="s">
        <v>594</v>
      </c>
      <c r="D3226" s="2" t="str">
        <f t="shared" si="49"/>
        <v>Error?</v>
      </c>
    </row>
    <row r="3227" spans="1:4" x14ac:dyDescent="0.2">
      <c r="A3227" s="5">
        <v>3166</v>
      </c>
      <c r="B3227" s="138">
        <f>'Acct Summary 7-8'!I20</f>
        <v>5041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96634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49999</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49999</v>
      </c>
      <c r="C3238" s="2" t="s">
        <v>594</v>
      </c>
      <c r="D3238" s="2" t="str">
        <f t="shared" si="49"/>
        <v>Error?</v>
      </c>
    </row>
    <row r="3239" spans="1:4" x14ac:dyDescent="0.2">
      <c r="A3239" s="5">
        <v>3178</v>
      </c>
      <c r="B3239" s="138">
        <f>'Acct Summary 7-8'!D78</f>
        <v>29862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26886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2476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49999</v>
      </c>
      <c r="C3318" s="2" t="s">
        <v>594</v>
      </c>
      <c r="D3318" s="2" t="str">
        <f t="shared" si="50"/>
        <v>Error?</v>
      </c>
    </row>
    <row r="3319" spans="1:4" x14ac:dyDescent="0.2">
      <c r="A3319" s="5">
        <v>3258</v>
      </c>
      <c r="B3319" s="138">
        <f>'Acct Summary 7-8'!I77</f>
        <v>-49999</v>
      </c>
      <c r="C3319" s="2" t="s">
        <v>594</v>
      </c>
      <c r="D3319" s="2" t="str">
        <f t="shared" si="50"/>
        <v>Error?</v>
      </c>
    </row>
    <row r="3320" spans="1:4" x14ac:dyDescent="0.2">
      <c r="A3320" s="5">
        <v>3259</v>
      </c>
      <c r="B3320" s="138">
        <f>'Acct Summary 7-8'!I78</f>
        <v>-44958</v>
      </c>
      <c r="C3320" s="2" t="s">
        <v>594</v>
      </c>
      <c r="D3320" s="2" t="str">
        <f t="shared" si="50"/>
        <v>Error?</v>
      </c>
    </row>
    <row r="3321" spans="1:4" x14ac:dyDescent="0.2">
      <c r="A3321" s="5">
        <v>3260</v>
      </c>
      <c r="B3321" s="138">
        <f>'Acct Summary 7-8'!I79</f>
        <v>67665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22707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75972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76792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3401</v>
      </c>
      <c r="D3387" s="2" t="str">
        <f t="shared" si="51"/>
        <v>Error?</v>
      </c>
    </row>
    <row r="3388" spans="1:4" x14ac:dyDescent="0.2">
      <c r="A3388" s="5">
        <v>3327</v>
      </c>
      <c r="B3388" s="138">
        <f>'Expenditures 15-22'!D217</f>
        <v>6406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3401</v>
      </c>
      <c r="C3390" s="2" t="s">
        <v>594</v>
      </c>
      <c r="D3390" s="2" t="str">
        <f t="shared" si="51"/>
        <v>Error?</v>
      </c>
    </row>
    <row r="3391" spans="1:4" x14ac:dyDescent="0.2">
      <c r="A3391" s="5">
        <v>3330</v>
      </c>
      <c r="B3391" s="138">
        <f>'Expenditures 15-22'!K217</f>
        <v>6406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164677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31467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1142</v>
      </c>
      <c r="D3417" s="2" t="str">
        <f t="shared" si="52"/>
        <v>Error?</v>
      </c>
    </row>
    <row r="3418" spans="1:4" x14ac:dyDescent="0.2">
      <c r="A3418" s="10">
        <v>3357</v>
      </c>
      <c r="D3418" s="2" t="str">
        <f t="shared" si="52"/>
        <v>OK</v>
      </c>
    </row>
    <row r="3419" spans="1:4" x14ac:dyDescent="0.2">
      <c r="A3419" s="5">
        <v>3358</v>
      </c>
      <c r="B3419" s="138">
        <f>'Assets-Liab 5-6'!F4</f>
        <v>64116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29460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22707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17622</v>
      </c>
      <c r="C3446" s="2" t="s">
        <v>594</v>
      </c>
      <c r="D3446" s="2" t="str">
        <f t="shared" si="52"/>
        <v>Error?</v>
      </c>
    </row>
    <row r="3447" spans="1:4" x14ac:dyDescent="0.2">
      <c r="A3447" s="5">
        <v>3386</v>
      </c>
      <c r="B3447" s="138">
        <f>'Tax Sched 23'!D16</f>
        <v>17622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18100</v>
      </c>
      <c r="C3449" s="2" t="s">
        <v>594</v>
      </c>
      <c r="D3449" s="2" t="str">
        <f t="shared" si="52"/>
        <v>Error?</v>
      </c>
    </row>
    <row r="3450" spans="1:4" x14ac:dyDescent="0.2">
      <c r="A3450" s="5">
        <v>3389</v>
      </c>
      <c r="B3450" s="138">
        <f>'Tax Sched 23'!E16</f>
        <v>18100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44910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44910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44910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567</v>
      </c>
      <c r="D3567" s="2" t="str">
        <f t="shared" si="54"/>
        <v>Error?</v>
      </c>
    </row>
    <row r="3568" spans="1:4" x14ac:dyDescent="0.2">
      <c r="A3568" s="5">
        <v>3507</v>
      </c>
      <c r="B3568" s="138">
        <f>'Assets-Liab 5-6'!K41</f>
        <v>567</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567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29516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1357759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2018790</v>
      </c>
      <c r="C4122" s="2" t="s">
        <v>594</v>
      </c>
      <c r="D4122" s="2" t="str">
        <f t="shared" si="63"/>
        <v>Error?</v>
      </c>
    </row>
    <row r="4123" spans="1:4" x14ac:dyDescent="0.2">
      <c r="A4123" s="5">
        <v>4062</v>
      </c>
      <c r="B4123" s="138">
        <f>'Acct Summary 7-8'!D10</f>
        <v>72505</v>
      </c>
      <c r="C4123" s="2" t="s">
        <v>594</v>
      </c>
      <c r="D4123" s="2" t="str">
        <f t="shared" si="63"/>
        <v>Error?</v>
      </c>
    </row>
    <row r="4124" spans="1:4" x14ac:dyDescent="0.2">
      <c r="A4124" s="5">
        <v>4063</v>
      </c>
      <c r="B4124" s="138">
        <f>'Acct Summary 7-8'!E10</f>
        <v>6621</v>
      </c>
      <c r="C4124" s="2" t="s">
        <v>594</v>
      </c>
      <c r="D4124" s="2" t="str">
        <f t="shared" si="63"/>
        <v>Error?</v>
      </c>
    </row>
    <row r="4125" spans="1:4" x14ac:dyDescent="0.2">
      <c r="A4125" s="5">
        <v>4064</v>
      </c>
      <c r="B4125" s="138">
        <f>'Acct Summary 7-8'!F10</f>
        <v>100423</v>
      </c>
      <c r="C4125" s="2" t="s">
        <v>594</v>
      </c>
      <c r="D4125" s="2" t="str">
        <f t="shared" si="63"/>
        <v>Error?</v>
      </c>
    </row>
    <row r="4126" spans="1:4" x14ac:dyDescent="0.2">
      <c r="A4126" s="5">
        <v>4065</v>
      </c>
      <c r="B4126" s="138">
        <f>'Acct Summary 7-8'!G10</f>
        <v>24189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5041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1357759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1922156</v>
      </c>
      <c r="C4136" s="2" t="s">
        <v>594</v>
      </c>
      <c r="D4136" s="2" t="str">
        <f t="shared" si="63"/>
        <v>Error?</v>
      </c>
    </row>
    <row r="4137" spans="1:4" x14ac:dyDescent="0.2">
      <c r="A4137" s="5">
        <v>4076</v>
      </c>
      <c r="B4137" s="138">
        <f>'Acct Summary 7-8'!D19</f>
        <v>92642</v>
      </c>
      <c r="C4137" s="2" t="s">
        <v>594</v>
      </c>
      <c r="D4137" s="2" t="str">
        <f t="shared" si="63"/>
        <v>Error?</v>
      </c>
    </row>
    <row r="4138" spans="1:4" x14ac:dyDescent="0.2">
      <c r="A4138" s="5">
        <v>4077</v>
      </c>
      <c r="B4138" s="138">
        <f>'Acct Summary 7-8'!E19</f>
        <v>6633</v>
      </c>
      <c r="C4138" s="2" t="s">
        <v>594</v>
      </c>
      <c r="D4138" s="2" t="str">
        <f t="shared" si="63"/>
        <v>Error?</v>
      </c>
    </row>
    <row r="4139" spans="1:4" x14ac:dyDescent="0.2">
      <c r="A4139" s="5">
        <v>4078</v>
      </c>
      <c r="B4139" s="138">
        <f>'Acct Summary 7-8'!F19</f>
        <v>73537</v>
      </c>
      <c r="C4139" s="2" t="s">
        <v>594</v>
      </c>
      <c r="D4139" s="2" t="str">
        <f t="shared" si="63"/>
        <v>Error?</v>
      </c>
    </row>
    <row r="4140" spans="1:4" x14ac:dyDescent="0.2">
      <c r="A4140" s="5">
        <v>4079</v>
      </c>
      <c r="B4140" s="138">
        <f>'Acct Summary 7-8'!G19</f>
        <v>21713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135862</v>
      </c>
      <c r="C4171" s="2" t="s">
        <v>594</v>
      </c>
      <c r="D4171" s="2" t="str">
        <f t="shared" si="64"/>
        <v>Error?</v>
      </c>
    </row>
    <row r="4172" spans="1:4" x14ac:dyDescent="0.2">
      <c r="A4172" s="5">
        <v>4111</v>
      </c>
      <c r="B4172" s="138">
        <f>'Short-Term Long-Term Debt 24'!J49</f>
        <v>134720</v>
      </c>
      <c r="C4172" s="2" t="s">
        <v>594</v>
      </c>
      <c r="D4172" s="2" t="str">
        <f t="shared" si="64"/>
        <v>Error?</v>
      </c>
    </row>
    <row r="4173" spans="1:4" x14ac:dyDescent="0.2">
      <c r="A4173" s="5">
        <v>4112</v>
      </c>
      <c r="B4173" s="138">
        <f>'Short-Term Long-Term Debt 24'!H49</f>
        <v>4798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-33183</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33183</v>
      </c>
      <c r="D4210" s="2" t="str">
        <f t="shared" si="64"/>
        <v>Error?</v>
      </c>
    </row>
    <row r="4211" spans="1:4" x14ac:dyDescent="0.2">
      <c r="A4211" s="5">
        <v>4150</v>
      </c>
      <c r="B4211" s="138">
        <f>'Expenditures 15-22'!K206</f>
        <v>33183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1911.0800000000002</v>
      </c>
      <c r="C4265" s="2" t="s">
        <v>594</v>
      </c>
      <c r="D4265" s="2" t="str">
        <f t="shared" si="65"/>
        <v>Error?</v>
      </c>
      <c r="E4265" s="128"/>
    </row>
    <row r="4266" spans="1:5" x14ac:dyDescent="0.2">
      <c r="A4266" s="12">
        <v>4205</v>
      </c>
      <c r="B4266" s="138">
        <f>('FP Info 3'!F10)*100000</f>
        <v>313.93100000000004</v>
      </c>
      <c r="C4266" s="2" t="s">
        <v>594</v>
      </c>
      <c r="D4266" s="2" t="str">
        <f t="shared" si="65"/>
        <v>Error?</v>
      </c>
      <c r="E4266" s="128"/>
    </row>
    <row r="4267" spans="1:5" x14ac:dyDescent="0.2">
      <c r="A4267" s="12">
        <v>4206</v>
      </c>
      <c r="B4267" s="138">
        <f>('FP Info 3'!H10)*100000</f>
        <v>134.53</v>
      </c>
      <c r="C4267" s="2" t="s">
        <v>594</v>
      </c>
      <c r="D4267" s="2" t="str">
        <f t="shared" si="65"/>
        <v>Error?</v>
      </c>
      <c r="E4267" s="128"/>
    </row>
    <row r="4268" spans="1:5" x14ac:dyDescent="0.2">
      <c r="A4268" s="12">
        <v>4207</v>
      </c>
      <c r="B4268" s="138">
        <f>('FP Info 3'!J10)*100000</f>
        <v>2360</v>
      </c>
      <c r="C4268" s="2" t="s">
        <v>594</v>
      </c>
      <c r="D4268" s="2" t="str">
        <f t="shared" si="65"/>
        <v>Error?</v>
      </c>
    </row>
    <row r="4269" spans="1:5" x14ac:dyDescent="0.2">
      <c r="A4269" s="12">
        <v>4208</v>
      </c>
      <c r="B4269" s="138">
        <f>'FP Info 3'!J16</f>
        <v>404864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32586</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2843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18949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3079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11827126</v>
      </c>
      <c r="D4995" s="2" t="str">
        <f t="shared" si="77"/>
        <v>Error?</v>
      </c>
    </row>
    <row r="4996" spans="1:4" x14ac:dyDescent="0.2">
      <c r="A4996" s="12">
        <v>4935</v>
      </c>
      <c r="B4996" s="138">
        <f>'FP Info 3'!H31</f>
        <v>816071.69400000002</v>
      </c>
      <c r="D4996" s="2" t="str">
        <f t="shared" si="77"/>
        <v>Error?</v>
      </c>
    </row>
    <row r="4997" spans="1:4" x14ac:dyDescent="0.2">
      <c r="A4997" s="12">
        <v>4936</v>
      </c>
      <c r="B4997" s="138">
        <f>'FP Info 3'!H37</f>
        <v>135862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215028</v>
      </c>
      <c r="D5061" s="2" t="str">
        <f t="shared" si="78"/>
        <v>Error?</v>
      </c>
    </row>
    <row r="5062" spans="1:4" x14ac:dyDescent="0.2">
      <c r="A5062" s="10">
        <v>5001</v>
      </c>
      <c r="D5062" s="2" t="str">
        <f t="shared" si="78"/>
        <v>OK</v>
      </c>
    </row>
    <row r="5063" spans="1:4" x14ac:dyDescent="0.2">
      <c r="A5063" s="5">
        <v>5002</v>
      </c>
      <c r="B5063" s="138">
        <f>'Revenues 9-14'!C7</f>
        <v>2016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217044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20081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20081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16213</v>
      </c>
      <c r="C5096" s="2" t="s">
        <v>594</v>
      </c>
      <c r="D5096" s="2" t="str">
        <f t="shared" si="78"/>
        <v>Error?</v>
      </c>
    </row>
    <row r="5097" spans="1:4" x14ac:dyDescent="0.2">
      <c r="A5097" s="5">
        <v>5036</v>
      </c>
      <c r="B5097" s="138">
        <f>'Revenues 9-14'!C77</f>
        <v>940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1643</v>
      </c>
      <c r="C5102" s="2" t="s">
        <v>594</v>
      </c>
      <c r="D5102" s="2" t="str">
        <f t="shared" si="78"/>
        <v>Error?</v>
      </c>
    </row>
    <row r="5103" spans="1:4" x14ac:dyDescent="0.2">
      <c r="A5103" s="5">
        <v>5042</v>
      </c>
      <c r="B5103" s="138">
        <f>'Revenues 9-14'!C84</f>
        <v>1450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2186</v>
      </c>
      <c r="D5119" s="2" t="str">
        <f t="shared" ref="D5119:D5182" si="79">IF(ISBLANK(B5119),"OK",IF(A5119-B5119=0,"OK","Error?"))</f>
        <v>Error?</v>
      </c>
    </row>
    <row r="5120" spans="1:4" x14ac:dyDescent="0.2">
      <c r="A5120" s="5">
        <v>5059</v>
      </c>
      <c r="B5120" s="138">
        <f>'Revenues 9-14'!C108</f>
        <v>2411</v>
      </c>
      <c r="C5120" s="2" t="s">
        <v>594</v>
      </c>
      <c r="D5120" s="2" t="str">
        <f t="shared" si="79"/>
        <v>Error?</v>
      </c>
    </row>
    <row r="5121" spans="1:4" x14ac:dyDescent="0.2">
      <c r="A5121" s="5">
        <v>5060</v>
      </c>
      <c r="B5121" s="138">
        <f>'Revenues 9-14'!C109</f>
        <v>260264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295329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295329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5543</v>
      </c>
      <c r="D5134" s="2" t="str">
        <f t="shared" si="79"/>
        <v>Error?</v>
      </c>
    </row>
    <row r="5135" spans="1:4" x14ac:dyDescent="0.2">
      <c r="A5135" s="5">
        <v>5074</v>
      </c>
      <c r="B5135" s="138">
        <f>'Revenues 9-14'!C126</f>
        <v>12473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674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18690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393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19083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314412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18949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15726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7884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56196</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3739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67406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86355</v>
      </c>
      <c r="C5326" s="2" t="s">
        <v>594</v>
      </c>
      <c r="D5326" s="2" t="str">
        <f t="shared" si="82"/>
        <v>Error?</v>
      </c>
    </row>
    <row r="5327" spans="1:4" x14ac:dyDescent="0.2">
      <c r="A5327" s="5">
        <v>5266</v>
      </c>
      <c r="B5327" s="138">
        <f>'Revenues 9-14'!C275</f>
        <v>661031</v>
      </c>
      <c r="C5327" s="2" t="s">
        <v>594</v>
      </c>
      <c r="D5327" s="2" t="str">
        <f t="shared" si="82"/>
        <v>Error?</v>
      </c>
    </row>
    <row r="5328" spans="1:4" x14ac:dyDescent="0.2">
      <c r="A5328" s="5">
        <v>5267</v>
      </c>
      <c r="B5328" s="138">
        <f>'Revenues 9-14'!D5</f>
        <v>35289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35289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850</v>
      </c>
      <c r="D5349" s="2" t="str">
        <f t="shared" si="82"/>
        <v>Error?</v>
      </c>
    </row>
    <row r="5350" spans="1:4" x14ac:dyDescent="0.2">
      <c r="A5350" s="5">
        <v>5289</v>
      </c>
      <c r="B5350" s="138">
        <f>'Revenues 9-14'!D96</f>
        <v>4000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4850</v>
      </c>
      <c r="C5355" s="2" t="s">
        <v>594</v>
      </c>
      <c r="D5355" s="2" t="str">
        <f t="shared" si="82"/>
        <v>Error?</v>
      </c>
    </row>
    <row r="5356" spans="1:4" x14ac:dyDescent="0.2">
      <c r="A5356" s="5">
        <v>5295</v>
      </c>
      <c r="B5356" s="138">
        <f>'Revenues 9-14'!D109</f>
        <v>40139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32366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32366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32366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72505</v>
      </c>
      <c r="C5508" s="2" t="s">
        <v>594</v>
      </c>
      <c r="D5508" s="2" t="str">
        <f t="shared" si="85"/>
        <v>Error?</v>
      </c>
    </row>
    <row r="5509" spans="1:4" x14ac:dyDescent="0.2">
      <c r="A5509" s="5">
        <v>5448</v>
      </c>
      <c r="B5509" s="138">
        <f>'Revenues 9-14'!E5</f>
        <v>6621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6621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6621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6621</v>
      </c>
      <c r="C5552" s="2" t="s">
        <v>594</v>
      </c>
      <c r="D5552" s="2" t="str">
        <f t="shared" si="85"/>
        <v>Error?</v>
      </c>
    </row>
    <row r="5553" spans="1:4" x14ac:dyDescent="0.2">
      <c r="A5553" s="5">
        <v>5492</v>
      </c>
      <c r="B5553" s="138">
        <f>'Revenues 9-14'!F5</f>
        <v>15123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15123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377</v>
      </c>
      <c r="D5586" s="2" t="str">
        <f t="shared" si="86"/>
        <v>Error?</v>
      </c>
    </row>
    <row r="5587" spans="1:4" x14ac:dyDescent="0.2">
      <c r="A5587" s="5">
        <v>5526</v>
      </c>
      <c r="B5587" s="138">
        <f>'Revenues 9-14'!F108</f>
        <v>377</v>
      </c>
      <c r="C5587" s="2" t="s">
        <v>594</v>
      </c>
      <c r="D5587" s="2" t="str">
        <f t="shared" si="86"/>
        <v>Error?</v>
      </c>
    </row>
    <row r="5588" spans="1:4" x14ac:dyDescent="0.2">
      <c r="A5588" s="5">
        <v>5527</v>
      </c>
      <c r="B5588" s="138">
        <f>'Revenues 9-14'!F109</f>
        <v>15500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77484</v>
      </c>
      <c r="D5615" s="2" t="str">
        <f t="shared" si="86"/>
        <v>Error?</v>
      </c>
    </row>
    <row r="5616" spans="1:4" x14ac:dyDescent="0.2">
      <c r="A5616" s="10">
        <v>5555</v>
      </c>
      <c r="D5616" s="2" t="str">
        <f t="shared" si="86"/>
        <v>OK</v>
      </c>
    </row>
    <row r="5617" spans="1:4" x14ac:dyDescent="0.2">
      <c r="A5617" s="5">
        <v>5556</v>
      </c>
      <c r="B5617" s="138">
        <f>'Revenues 9-14'!F152</f>
        <v>7439</v>
      </c>
      <c r="D5617" s="2" t="str">
        <f t="shared" si="86"/>
        <v>Error?</v>
      </c>
    </row>
    <row r="5618" spans="1:4" x14ac:dyDescent="0.2">
      <c r="A5618" s="5">
        <v>5557</v>
      </c>
      <c r="B5618" s="138">
        <f>'Revenues 9-14'!F154</f>
        <v>84923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84923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84923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100423</v>
      </c>
      <c r="C5720" s="2" t="s">
        <v>594</v>
      </c>
      <c r="D5720" s="2" t="str">
        <f t="shared" si="88"/>
        <v>Error?</v>
      </c>
    </row>
    <row r="5721" spans="1:4" x14ac:dyDescent="0.2">
      <c r="A5721" s="5">
        <v>5660</v>
      </c>
      <c r="B5721" s="138">
        <f>'Revenues 9-14'!G5</f>
        <v>6567</v>
      </c>
      <c r="D5721" s="2" t="str">
        <f t="shared" si="88"/>
        <v>Error?</v>
      </c>
    </row>
    <row r="5722" spans="1:4" x14ac:dyDescent="0.2">
      <c r="A5722" s="5">
        <v>5661</v>
      </c>
      <c r="B5722" s="138">
        <f>'Revenues 9-14'!G7</f>
        <v>0</v>
      </c>
      <c r="D5722" s="2" t="str">
        <f t="shared" si="88"/>
        <v>Error?</v>
      </c>
    </row>
    <row r="5723" spans="1:4" x14ac:dyDescent="0.2">
      <c r="A5723" s="5">
        <v>5662</v>
      </c>
      <c r="B5723" s="138">
        <f>'Revenues 9-14'!G8</f>
        <v>17622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24189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24189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5041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5041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24189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5041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16213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67.98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16</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26297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26297</v>
      </c>
      <c r="D6215" s="2" t="str">
        <f t="shared" si="96"/>
        <v>Error?</v>
      </c>
      <c r="E6215" s="2" t="s">
        <v>199</v>
      </c>
    </row>
    <row r="6216" spans="1:5" x14ac:dyDescent="0.2">
      <c r="A6216">
        <v>6155</v>
      </c>
      <c r="B6216" s="138">
        <f>'Assets-Liab 5-6'!J41</f>
        <v>26297</v>
      </c>
      <c r="D6216" s="2" t="str">
        <f t="shared" si="96"/>
        <v>Error?</v>
      </c>
      <c r="E6216" s="2" t="s">
        <v>199</v>
      </c>
    </row>
    <row r="6217" spans="1:5" x14ac:dyDescent="0.2">
      <c r="A6217">
        <v>6156</v>
      </c>
      <c r="B6217" s="138">
        <f>'Assets-Liab 5-6'!J4</f>
        <v>26297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22370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22370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22370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11906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11906</v>
      </c>
      <c r="D6229" s="2" t="str">
        <f t="shared" si="96"/>
        <v>Error?</v>
      </c>
      <c r="E6229" s="2" t="s">
        <v>199</v>
      </c>
    </row>
    <row r="6230" spans="1:5" x14ac:dyDescent="0.2">
      <c r="A6230">
        <v>6169</v>
      </c>
      <c r="B6230" s="138">
        <f>'Acct Summary 7-8'!J20</f>
        <v>10464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10464</v>
      </c>
      <c r="D6263" s="2" t="str">
        <f t="shared" si="96"/>
        <v>Error?</v>
      </c>
      <c r="E6263" s="2" t="s">
        <v>199</v>
      </c>
    </row>
    <row r="6264" spans="1:5" x14ac:dyDescent="0.2">
      <c r="A6264">
        <v>6203</v>
      </c>
      <c r="B6264" s="138">
        <f>'Acct Summary 7-8'!J79</f>
        <v>15833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26297</v>
      </c>
      <c r="D6266" s="2" t="str">
        <f t="shared" si="96"/>
        <v>Error?</v>
      </c>
      <c r="E6266" s="2" t="s">
        <v>199</v>
      </c>
    </row>
    <row r="6267" spans="1:5" x14ac:dyDescent="0.2">
      <c r="A6267">
        <v>6206</v>
      </c>
      <c r="B6267" s="138">
        <f>'Acct Summary 7-8'!C82</f>
        <v>96634</v>
      </c>
      <c r="D6267" s="2" t="str">
        <f t="shared" si="96"/>
        <v>Error?</v>
      </c>
      <c r="E6267" s="2" t="s">
        <v>199</v>
      </c>
    </row>
    <row r="6268" spans="1:5" x14ac:dyDescent="0.2">
      <c r="A6268">
        <v>6207</v>
      </c>
      <c r="B6268" s="138">
        <f>'Acct Summary 7-8'!D82</f>
        <v>29862</v>
      </c>
      <c r="D6268" s="2" t="str">
        <f t="shared" si="96"/>
        <v>Error?</v>
      </c>
      <c r="E6268" s="2" t="s">
        <v>199</v>
      </c>
    </row>
    <row r="6269" spans="1:5" x14ac:dyDescent="0.2">
      <c r="A6269">
        <v>6208</v>
      </c>
      <c r="B6269" s="138">
        <f>'Acct Summary 7-8'!E82</f>
        <v>-12</v>
      </c>
      <c r="D6269" s="2" t="str">
        <f t="shared" si="96"/>
        <v>Error?</v>
      </c>
      <c r="E6269" s="2" t="s">
        <v>199</v>
      </c>
    </row>
    <row r="6270" spans="1:5" x14ac:dyDescent="0.2">
      <c r="A6270">
        <v>6209</v>
      </c>
      <c r="B6270" s="138">
        <f>'Acct Summary 7-8'!F82</f>
        <v>26886</v>
      </c>
      <c r="D6270" s="2" t="str">
        <f t="shared" si="96"/>
        <v>Error?</v>
      </c>
      <c r="E6270" s="2" t="s">
        <v>199</v>
      </c>
    </row>
    <row r="6271" spans="1:5" x14ac:dyDescent="0.2">
      <c r="A6271">
        <v>6210</v>
      </c>
      <c r="B6271" s="138">
        <f>'Acct Summary 7-8'!G82</f>
        <v>2476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-44958</v>
      </c>
      <c r="D6273" s="2" t="str">
        <f t="shared" si="97"/>
        <v>Error?</v>
      </c>
      <c r="E6273" s="2" t="s">
        <v>199</v>
      </c>
    </row>
    <row r="6274" spans="1:5" x14ac:dyDescent="0.2">
      <c r="A6274">
        <v>6213</v>
      </c>
      <c r="B6274" s="138">
        <f>'Acct Summary 7-8'!J82</f>
        <v>10464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0.33720435210451749</v>
      </c>
      <c r="D6276" s="2" t="str">
        <f t="shared" si="97"/>
        <v>Error?</v>
      </c>
      <c r="E6276" s="2" t="s">
        <v>199</v>
      </c>
    </row>
    <row r="6277" spans="1:5" x14ac:dyDescent="0.2">
      <c r="A6277">
        <v>6216</v>
      </c>
      <c r="B6277" s="138">
        <f>'Acct Summary 7-8'!D83</f>
        <v>0.94899418438364003</v>
      </c>
      <c r="D6277" s="2" t="str">
        <f t="shared" si="97"/>
        <v>Error?</v>
      </c>
      <c r="E6277" s="2" t="s">
        <v>199</v>
      </c>
    </row>
    <row r="6278" spans="1:5" x14ac:dyDescent="0.2">
      <c r="A6278">
        <v>6217</v>
      </c>
      <c r="B6278" s="138">
        <f>'Acct Summary 7-8'!E83</f>
        <v>-1.0507880910683012E-2</v>
      </c>
      <c r="D6278" s="2" t="str">
        <f t="shared" si="97"/>
        <v>Error?</v>
      </c>
      <c r="E6278" s="2" t="s">
        <v>199</v>
      </c>
    </row>
    <row r="6279" spans="1:5" x14ac:dyDescent="0.2">
      <c r="A6279">
        <v>6218</v>
      </c>
      <c r="B6279" s="138">
        <f>'Acct Summary 7-8'!F83</f>
        <v>0.41933370765487554</v>
      </c>
      <c r="D6279" s="2" t="str">
        <f t="shared" si="97"/>
        <v>Error?</v>
      </c>
      <c r="E6279" s="2" t="s">
        <v>199</v>
      </c>
    </row>
    <row r="6280" spans="1:5" x14ac:dyDescent="0.2">
      <c r="A6280">
        <v>6219</v>
      </c>
      <c r="B6280" s="138">
        <f>'Acct Summary 7-8'!G83</f>
        <v>8.4046164290563483E-2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-1.9799180869335447</v>
      </c>
      <c r="D6282" s="2" t="str">
        <f t="shared" si="97"/>
        <v>Error?</v>
      </c>
      <c r="E6282" s="2" t="s">
        <v>199</v>
      </c>
    </row>
    <row r="6283" spans="1:5" x14ac:dyDescent="0.2">
      <c r="A6283">
        <v>6222</v>
      </c>
      <c r="B6283" s="138">
        <f>'Acct Summary 7-8'!J83</f>
        <v>0.39791611210404226</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22370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22370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22370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11831</v>
      </c>
      <c r="D6983" s="2" t="str">
        <f t="shared" si="108"/>
        <v>Error?</v>
      </c>
    </row>
    <row r="6984" spans="1:4" x14ac:dyDescent="0.2">
      <c r="A6984">
        <v>6923</v>
      </c>
      <c r="B6984" s="138">
        <f>'Expenditures 15-22'!K86</f>
        <v>11831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11831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11906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22370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5469</v>
      </c>
      <c r="D7067" s="2" t="str">
        <f t="shared" si="109"/>
        <v>Error?</v>
      </c>
    </row>
    <row r="7068" spans="1:4" x14ac:dyDescent="0.2">
      <c r="A7068">
        <v>7007</v>
      </c>
      <c r="B7068" s="138">
        <f>'Expenditures 15-22'!K205</f>
        <v>5469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4298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4298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6580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6580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970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11906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11906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11906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11906</v>
      </c>
      <c r="D7224" s="2" t="str">
        <f t="shared" si="111"/>
        <v>Error?</v>
      </c>
    </row>
    <row r="7225" spans="1:4" x14ac:dyDescent="0.2">
      <c r="A7225">
        <v>7164</v>
      </c>
      <c r="B7225" s="138">
        <f>'Expenditures 15-22'!K343</f>
        <v>10464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63762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2016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49999</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13428</v>
      </c>
      <c r="D7797" s="2" t="str">
        <f t="shared" si="127"/>
        <v>Error?</v>
      </c>
      <c r="E7797" s="4" t="s">
        <v>2020</v>
      </c>
    </row>
    <row r="7798" spans="1:5" x14ac:dyDescent="0.2">
      <c r="A7798">
        <v>7737</v>
      </c>
      <c r="B7798" s="138">
        <f>'Contracts Paid in CY 29'!F141</f>
        <v>13428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7" t="s">
        <v>1252</v>
      </c>
      <c r="B3" s="2417"/>
      <c r="C3" s="2417"/>
      <c r="D3" s="2417"/>
      <c r="E3" s="2417"/>
      <c r="F3" s="2417"/>
      <c r="G3" s="2417"/>
      <c r="H3" s="2417"/>
      <c r="I3" s="2417"/>
      <c r="J3" s="2417"/>
      <c r="K3" s="2417"/>
      <c r="L3" s="2417"/>
    </row>
    <row r="4" spans="1:29" ht="13.5" customHeight="1" x14ac:dyDescent="0.2">
      <c r="A4" s="2431" t="s">
        <v>1799</v>
      </c>
      <c r="B4" s="2448"/>
      <c r="C4" s="2448"/>
      <c r="D4" s="2448"/>
      <c r="E4" s="2448"/>
      <c r="F4" s="2448"/>
      <c r="G4" s="2448"/>
      <c r="H4" s="2448"/>
      <c r="I4" s="2448"/>
      <c r="J4" s="2448"/>
      <c r="K4" s="2448"/>
      <c r="L4" s="244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1" t="str">
        <f>COVER!A17</f>
        <v>Oakdale CCSD 1</v>
      </c>
      <c r="B7" s="2412"/>
      <c r="C7" s="2412"/>
      <c r="D7" s="2449"/>
      <c r="E7" s="2450">
        <f>COVER!A13</f>
        <v>13095001004</v>
      </c>
      <c r="F7" s="2451"/>
      <c r="G7" s="2418" t="str">
        <f>COVER!T23</f>
        <v>065-023476</v>
      </c>
      <c r="H7" s="2419"/>
      <c r="I7" s="2419"/>
      <c r="J7" s="2419"/>
      <c r="K7" s="2419"/>
      <c r="L7" s="242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1"/>
      <c r="B9" s="2422"/>
      <c r="C9" s="2422"/>
      <c r="D9" s="2422"/>
      <c r="E9" s="2422"/>
      <c r="F9" s="2423"/>
      <c r="G9" s="2424" t="str">
        <f>COVER!T13</f>
        <v>SCHEFFEL BOYLE</v>
      </c>
      <c r="H9" s="2425"/>
      <c r="I9" s="2425"/>
      <c r="J9" s="2425"/>
      <c r="K9" s="2425"/>
      <c r="L9" s="2426"/>
    </row>
    <row r="10" spans="1:29" ht="13.5" customHeight="1" x14ac:dyDescent="0.2">
      <c r="A10" s="2408" t="str">
        <f>COVER!A38</f>
        <v>CHARLES PETERSON</v>
      </c>
      <c r="B10" s="2409"/>
      <c r="C10" s="2409"/>
      <c r="D10" s="2409"/>
      <c r="E10" s="2409"/>
      <c r="F10" s="2410"/>
      <c r="G10" s="2424" t="str">
        <f>COVER!T17</f>
        <v>222 EAST MAIN STREET</v>
      </c>
      <c r="H10" s="2437"/>
      <c r="I10" s="2437"/>
      <c r="J10" s="2437"/>
      <c r="K10" s="2437"/>
      <c r="L10" s="2438"/>
    </row>
    <row r="11" spans="1:29" ht="13.5" customHeight="1" x14ac:dyDescent="0.2">
      <c r="A11" s="1185" t="s">
        <v>1599</v>
      </c>
      <c r="B11" s="1186"/>
      <c r="C11" s="1187"/>
      <c r="D11" s="1192"/>
      <c r="E11" s="1187"/>
      <c r="F11" s="1191"/>
      <c r="G11" s="2424" t="str">
        <f>COVER!T19</f>
        <v>BELLEVILLE</v>
      </c>
      <c r="H11" s="2437"/>
      <c r="I11" s="2437"/>
      <c r="J11" s="2437"/>
      <c r="K11" s="2437"/>
      <c r="L11" s="2438"/>
    </row>
    <row r="12" spans="1:29" ht="13.5" customHeight="1" x14ac:dyDescent="0.2">
      <c r="A12" s="2442" t="s">
        <v>1598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1600</v>
      </c>
      <c r="H13" s="2433"/>
      <c r="I13" s="2445" t="str">
        <f>COVER!T25</f>
        <v>brian.otten@scheffelboyle.com</v>
      </c>
      <c r="J13" s="2446"/>
      <c r="K13" s="2446"/>
      <c r="L13" s="2447"/>
    </row>
    <row r="14" spans="1:29" ht="13.5" customHeight="1" x14ac:dyDescent="0.2">
      <c r="A14" s="2424" t="str">
        <f>COVER!A19</f>
        <v>280 EAST MAIN</v>
      </c>
      <c r="B14" s="2437"/>
      <c r="C14" s="2437"/>
      <c r="D14" s="2437"/>
      <c r="E14" s="2437"/>
      <c r="F14" s="2438"/>
      <c r="G14" s="1196" t="s">
        <v>1247</v>
      </c>
      <c r="H14" s="1194"/>
      <c r="I14" s="1194"/>
      <c r="J14" s="1194"/>
      <c r="K14" s="1194"/>
      <c r="L14" s="1195"/>
    </row>
    <row r="15" spans="1:29" ht="13.5" customHeight="1" x14ac:dyDescent="0.2">
      <c r="A15" s="2424" t="str">
        <f>COVER!A21</f>
        <v xml:space="preserve">OAKDALE </v>
      </c>
      <c r="B15" s="2437"/>
      <c r="C15" s="2437"/>
      <c r="D15" s="2437"/>
      <c r="E15" s="2437"/>
      <c r="F15" s="2438"/>
      <c r="G15" s="2434" t="str">
        <f>COVER!T15</f>
        <v>BRIAN OTTEN</v>
      </c>
      <c r="H15" s="2435"/>
      <c r="I15" s="2435"/>
      <c r="J15" s="2435"/>
      <c r="K15" s="2435"/>
      <c r="L15" s="2436"/>
    </row>
    <row r="16" spans="1:29" ht="12.2" customHeight="1" x14ac:dyDescent="0.2">
      <c r="A16" s="2414">
        <f>COVER!A25</f>
        <v>62268</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6" t="s">
        <v>1246</v>
      </c>
      <c r="H17" s="1194"/>
      <c r="I17" s="1194"/>
      <c r="J17" s="1194"/>
      <c r="K17" s="1198" t="s">
        <v>1245</v>
      </c>
      <c r="L17" s="1191"/>
      <c r="M17" s="1184"/>
    </row>
    <row r="18" spans="1:13" ht="12.2" customHeight="1" x14ac:dyDescent="0.2">
      <c r="A18" s="2408"/>
      <c r="B18" s="2409"/>
      <c r="C18" s="2409"/>
      <c r="D18" s="2409"/>
      <c r="E18" s="2409"/>
      <c r="F18" s="2410"/>
      <c r="G18" s="2411" t="str">
        <f>COVER!T21</f>
        <v>618-277-8100</v>
      </c>
      <c r="H18" s="2412"/>
      <c r="I18" s="2412"/>
      <c r="J18" s="2412"/>
      <c r="K18" s="2411" t="str">
        <f>COVER!X21</f>
        <v>618-277-9307</v>
      </c>
      <c r="L18" s="241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Oakdale CCSD 1</v>
      </c>
      <c r="B1" s="2448"/>
      <c r="C1" s="2448"/>
      <c r="D1" s="2448"/>
    </row>
    <row r="2" spans="1:11" s="1215" customFormat="1" ht="12.75" x14ac:dyDescent="0.2">
      <c r="A2" s="2453">
        <f>'Single Audit Cover'!E7</f>
        <v>13095001004</v>
      </c>
      <c r="B2" s="2454"/>
      <c r="C2" s="2454"/>
      <c r="D2" s="2454"/>
    </row>
    <row r="3" spans="1:11" s="1215" customFormat="1" ht="12.75" x14ac:dyDescent="0.2">
      <c r="A3" s="2452" t="s">
        <v>1593</v>
      </c>
      <c r="B3" s="2448"/>
      <c r="C3" s="2448"/>
      <c r="D3" s="244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Oakdale CCSD 1</v>
      </c>
      <c r="B1" s="2456"/>
      <c r="C1" s="2456"/>
      <c r="D1" s="2456"/>
      <c r="E1" s="2456"/>
    </row>
    <row r="2" spans="1:5" x14ac:dyDescent="0.2">
      <c r="A2" s="2457">
        <f>'Single Audit Cover'!E7</f>
        <v>13095001004</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86355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3810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-969</v>
      </c>
    </row>
    <row r="19" spans="1:4" ht="13.5" thickBot="1" x14ac:dyDescent="0.25">
      <c r="A19" s="1265" t="s">
        <v>1297</v>
      </c>
      <c r="D19" s="1266">
        <f>SUM(D10:D17)</f>
        <v>89196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89196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0</v>
      </c>
    </row>
    <row r="49" spans="2:4" x14ac:dyDescent="0.2">
      <c r="B49" s="1272" t="s">
        <v>1288</v>
      </c>
      <c r="C49" s="1272"/>
      <c r="D49" s="1273">
        <f>D32-D47</f>
        <v>89196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Oakdale CCSD 1</v>
      </c>
      <c r="B1" s="2461"/>
      <c r="C1" s="2461"/>
      <c r="D1" s="2461"/>
      <c r="E1" s="2461"/>
      <c r="F1" s="2461"/>
    </row>
    <row r="2" spans="1:7" ht="13.5" customHeight="1" x14ac:dyDescent="0.2">
      <c r="A2" s="2462">
        <f>'Single Audit Cover'!E7</f>
        <v>13095001004</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66" t="s">
        <v>1331</v>
      </c>
      <c r="E15" s="2466"/>
      <c r="F15" s="2466"/>
    </row>
    <row r="16" spans="1:7" ht="13.5" customHeight="1" x14ac:dyDescent="0.2">
      <c r="A16" s="1282"/>
      <c r="B16" s="1276" t="s">
        <v>1330</v>
      </c>
      <c r="C16" s="1871" t="s">
        <v>1329</v>
      </c>
      <c r="D16" s="2467" t="s">
        <v>1670</v>
      </c>
      <c r="E16" s="2467"/>
      <c r="F16" s="2467"/>
    </row>
    <row r="17" spans="1:6" ht="20.45" customHeight="1" x14ac:dyDescent="0.2">
      <c r="A17" s="1283"/>
      <c r="B17" s="1284"/>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1835</v>
      </c>
      <c r="B32" s="2469"/>
      <c r="C32" s="2469"/>
      <c r="D32" s="2469"/>
      <c r="E32" s="2469"/>
      <c r="F32" s="246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0">
        <f>+C33+C34</f>
        <v>0</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70"/>
      <c r="C50" s="1870"/>
      <c r="D50" s="1870"/>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Oakdale CCSD 1</v>
      </c>
      <c r="C1" s="2473"/>
      <c r="D1" s="2473"/>
      <c r="E1" s="2473"/>
      <c r="F1" s="2473"/>
      <c r="G1" s="2473"/>
      <c r="H1" s="2473"/>
      <c r="I1" s="2473"/>
      <c r="J1" s="2473"/>
      <c r="K1" s="2473"/>
      <c r="L1" s="2473"/>
      <c r="M1" s="2473"/>
    </row>
    <row r="2" spans="2:14" ht="15" x14ac:dyDescent="0.2">
      <c r="B2" s="2462">
        <f>'Single Audit Cover'!E7</f>
        <v>13095001004</v>
      </c>
      <c r="C2" s="2462"/>
      <c r="D2" s="2462"/>
      <c r="E2" s="2462"/>
      <c r="F2" s="2462"/>
      <c r="G2" s="2462"/>
      <c r="H2" s="2462"/>
      <c r="I2" s="2462"/>
      <c r="J2" s="2462"/>
      <c r="K2" s="2462"/>
      <c r="L2" s="2462"/>
      <c r="M2" s="2462"/>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2085</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Oakdale CCSD 1</v>
      </c>
      <c r="C1" s="2481"/>
      <c r="D1" s="2481"/>
      <c r="E1" s="2481"/>
      <c r="F1" s="2481"/>
      <c r="G1" s="2481"/>
      <c r="H1" s="2481"/>
      <c r="I1" s="2481"/>
      <c r="J1" s="1422"/>
    </row>
    <row r="2" spans="2:10" s="317" customFormat="1" ht="12.75" customHeight="1" x14ac:dyDescent="0.2">
      <c r="B2" s="2482">
        <f>'Single Audit Cover'!E7</f>
        <v>13095001004</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94" t="s">
        <v>1675</v>
      </c>
      <c r="D43" s="2495"/>
      <c r="E43" s="2495"/>
      <c r="F43" s="2496"/>
      <c r="G43" s="2497">
        <f>SUM(G38:I42)</f>
        <v>0</v>
      </c>
      <c r="H43" s="2497"/>
      <c r="I43" s="2497"/>
    </row>
    <row r="44" spans="2:9" ht="12.75" customHeight="1" x14ac:dyDescent="0.2"/>
    <row r="45" spans="2:9" ht="12.75" customHeight="1" x14ac:dyDescent="0.2">
      <c r="B45" s="1435" t="s">
        <v>1952</v>
      </c>
      <c r="D45" s="2498">
        <v>0</v>
      </c>
      <c r="E45" s="249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0"/>
      <c r="F49" s="2500"/>
      <c r="G49" s="250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Oakdale CCSD 1</v>
      </c>
      <c r="C1" s="2480"/>
      <c r="D1" s="2480"/>
      <c r="E1" s="2480"/>
      <c r="F1" s="2480"/>
      <c r="G1" s="2480"/>
      <c r="H1" s="2480"/>
      <c r="I1" s="2480"/>
      <c r="J1" s="2480"/>
      <c r="K1" s="2480"/>
      <c r="L1" s="1374"/>
      <c r="M1" s="1374"/>
    </row>
    <row r="2" spans="1:13" ht="12" customHeight="1" x14ac:dyDescent="0.2">
      <c r="B2" s="2482">
        <f>'Single Audit Cover'!E7</f>
        <v>13095001004</v>
      </c>
      <c r="C2" s="2482"/>
      <c r="D2" s="2482"/>
      <c r="E2" s="2482"/>
      <c r="F2" s="2482"/>
      <c r="G2" s="2482"/>
      <c r="H2" s="2482"/>
      <c r="I2" s="2482"/>
      <c r="J2" s="2482"/>
      <c r="K2" s="2482"/>
      <c r="L2" s="1375"/>
      <c r="M2" s="1376"/>
    </row>
    <row r="3" spans="1:13" ht="10.35" customHeight="1" x14ac:dyDescent="0.2">
      <c r="B3" s="2503" t="s">
        <v>1347</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2"/>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2"/>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6"/>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2"/>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2"/>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1"/>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1"/>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Oakdale CCSD 1</v>
      </c>
      <c r="C1" s="2507"/>
      <c r="D1" s="2507"/>
      <c r="E1" s="2507"/>
      <c r="F1" s="2507"/>
      <c r="G1" s="2507"/>
      <c r="H1" s="2507"/>
      <c r="I1" s="2507"/>
      <c r="J1" s="2507"/>
      <c r="K1" s="2507"/>
      <c r="L1" s="1465"/>
    </row>
    <row r="2" spans="1:12" ht="12.75" customHeight="1" x14ac:dyDescent="0.2">
      <c r="B2" s="2508">
        <f>'Single Audit Cover'!E7</f>
        <v>13095001004</v>
      </c>
      <c r="C2" s="2508"/>
      <c r="D2" s="2508"/>
      <c r="E2" s="2508"/>
      <c r="F2" s="2508"/>
      <c r="G2" s="2508"/>
      <c r="H2" s="2508"/>
      <c r="I2" s="2508"/>
      <c r="J2" s="2508"/>
      <c r="K2" s="2508"/>
      <c r="L2" s="1466"/>
    </row>
    <row r="3" spans="1:12" ht="12.75" customHeight="1" x14ac:dyDescent="0.2">
      <c r="B3" s="2503" t="s">
        <v>1347</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0"/>
      <c r="E14" s="2510"/>
      <c r="F14" s="2510"/>
      <c r="H14" s="1475" t="s">
        <v>1370</v>
      </c>
      <c r="I14" s="2511"/>
      <c r="J14" s="2511"/>
      <c r="K14" s="251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1"/>
      <c r="E16" s="2511"/>
      <c r="F16" s="2511"/>
      <c r="G16" s="2511"/>
      <c r="H16" s="2511"/>
      <c r="I16" s="2511"/>
      <c r="J16" s="2511"/>
      <c r="K16" s="2511"/>
      <c r="L16" s="322"/>
    </row>
    <row r="17" spans="2:12" ht="13.5" customHeight="1" x14ac:dyDescent="0.2">
      <c r="B17" s="1387" t="s">
        <v>1368</v>
      </c>
      <c r="C17" s="1387"/>
      <c r="D17" s="2512"/>
      <c r="E17" s="2512"/>
      <c r="F17" s="2512"/>
      <c r="G17" s="2512"/>
      <c r="H17" s="2512"/>
      <c r="I17" s="2512"/>
      <c r="J17" s="2512"/>
      <c r="K17" s="251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2"/>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Oakdale CCSD 1</v>
      </c>
      <c r="C1" s="2480"/>
      <c r="D1" s="2480"/>
      <c r="E1" s="1491"/>
    </row>
    <row r="2" spans="2:5" s="1282" customFormat="1" ht="12.75" customHeight="1" x14ac:dyDescent="0.2">
      <c r="B2" s="2482">
        <f>'Single Audit Cover'!E7</f>
        <v>13095001004</v>
      </c>
      <c r="C2" s="2482"/>
      <c r="D2" s="2482"/>
      <c r="E2" s="1492"/>
    </row>
    <row r="3" spans="2:5" ht="12.75" customHeight="1" x14ac:dyDescent="0.2">
      <c r="B3" s="2503" t="s">
        <v>1869</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4" sqref="L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11827126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1.9110800000000001E-2</v>
      </c>
      <c r="E10" s="356" t="s">
        <v>1062</v>
      </c>
      <c r="F10" s="355">
        <v>3.1393100000000002E-3</v>
      </c>
      <c r="G10" s="356" t="s">
        <v>1062</v>
      </c>
      <c r="H10" s="355">
        <v>1.3453E-3</v>
      </c>
      <c r="I10" s="356" t="s">
        <v>1063</v>
      </c>
      <c r="J10" s="1754">
        <f>ROUND(D10+F10+H10,5)</f>
        <v>2.3599999999999999E-2</v>
      </c>
      <c r="K10" s="222"/>
      <c r="L10" s="355">
        <v>4.6000000000000001E-4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839000</v>
      </c>
      <c r="E16" s="356"/>
      <c r="F16" s="1755">
        <f>SUM('Acct Summary 7-8'!C17,'Acct Summary 7-8'!D17,'Acct Summary 7-8'!F17)</f>
        <v>730576</v>
      </c>
      <c r="G16" s="356"/>
      <c r="H16" s="1755">
        <f>SUM(D16-F16)</f>
        <v>108424</v>
      </c>
      <c r="I16" s="222"/>
      <c r="J16" s="1755">
        <f>SUM('Acct Summary 7-8'!C81,'Acct Summary 7-8'!D81,'Acct Summary 7-8'!F81,'Acct Summary 7-8'!I81)</f>
        <v>404864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816071.69400000002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135862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2" sqref="D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Oakdale CCSD 1</v>
      </c>
      <c r="E7" s="391"/>
      <c r="G7" s="252"/>
      <c r="H7" s="387"/>
      <c r="I7" s="387"/>
      <c r="J7" s="387"/>
      <c r="K7" s="387"/>
      <c r="L7" s="329"/>
      <c r="M7" s="329"/>
      <c r="N7" s="329"/>
      <c r="O7" s="329"/>
      <c r="P7" s="329"/>
    </row>
    <row r="8" spans="1:18" ht="12.75" x14ac:dyDescent="0.2">
      <c r="A8" s="329"/>
      <c r="B8" s="329"/>
      <c r="C8" s="389" t="s">
        <v>1187</v>
      </c>
      <c r="D8" s="392">
        <f>COVER!A13</f>
        <v>13095001004</v>
      </c>
      <c r="E8" s="393"/>
      <c r="G8" s="329"/>
      <c r="H8" s="329"/>
      <c r="I8" s="329"/>
      <c r="J8" s="329"/>
      <c r="K8" s="329"/>
      <c r="L8" s="329"/>
      <c r="M8" s="329"/>
      <c r="N8" s="329"/>
      <c r="O8" s="329"/>
      <c r="P8" s="329"/>
    </row>
    <row r="9" spans="1:18" ht="12.75" x14ac:dyDescent="0.2">
      <c r="A9" s="329"/>
      <c r="B9" s="329"/>
      <c r="C9" s="389" t="s">
        <v>737</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404864</v>
      </c>
      <c r="I12" s="404"/>
      <c r="J12" s="404"/>
      <c r="K12" s="405">
        <f>TRUNC((H12/H13*100000),5)/100000</f>
        <v>0.48255542309999999</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839000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730576</v>
      </c>
      <c r="I17" s="404"/>
      <c r="J17" s="416"/>
      <c r="K17" s="405">
        <f>TRUNC((H17/H18*100000),5)/100000</f>
        <v>0.87076996419999997</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839000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404848</v>
      </c>
      <c r="I24" s="422"/>
      <c r="J24" s="422"/>
      <c r="K24" s="423">
        <f>TRUNC(((H24/H25*100000)/100000),2)</f>
        <v>199.49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2029.37778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237252.14756000001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135862</v>
      </c>
      <c r="I32" s="420"/>
      <c r="J32" s="420"/>
      <c r="K32" s="423">
        <f>TRUNC(100-((((H32/H33*100))*100)/100),2)</f>
        <v>83.35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816071.69400000002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5" activePane="bottomLeft" state="frozen"/>
      <selection activeCell="A7" sqref="A7:D7"/>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1750</v>
      </c>
      <c r="B4" s="464"/>
      <c r="C4" s="465">
        <v>164677</v>
      </c>
      <c r="D4" s="466">
        <v>31467</v>
      </c>
      <c r="E4" s="466">
        <v>1142</v>
      </c>
      <c r="F4" s="466">
        <v>64116</v>
      </c>
      <c r="G4" s="466">
        <v>29460</v>
      </c>
      <c r="H4" s="466">
        <v>0</v>
      </c>
      <c r="I4" s="466">
        <v>22707</v>
      </c>
      <c r="J4" s="467">
        <v>26297</v>
      </c>
      <c r="K4" s="466">
        <v>567</v>
      </c>
      <c r="L4" s="466">
        <v>4148</v>
      </c>
      <c r="M4" s="468"/>
      <c r="N4" s="469"/>
    </row>
    <row r="5" spans="1:14" x14ac:dyDescent="0.2">
      <c r="A5" s="463" t="s">
        <v>1049</v>
      </c>
      <c r="B5" s="470">
        <v>120</v>
      </c>
      <c r="C5" s="465">
        <v>121881</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16</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286574</v>
      </c>
      <c r="D13" s="1759">
        <f t="shared" ref="D13:L13" si="0">SUM(D4:D12)</f>
        <v>31467</v>
      </c>
      <c r="E13" s="1759">
        <f t="shared" si="0"/>
        <v>1142</v>
      </c>
      <c r="F13" s="1759">
        <f t="shared" si="0"/>
        <v>64116</v>
      </c>
      <c r="G13" s="1759">
        <f t="shared" si="0"/>
        <v>29460</v>
      </c>
      <c r="H13" s="1759">
        <f t="shared" si="0"/>
        <v>0</v>
      </c>
      <c r="I13" s="1759">
        <f t="shared" si="0"/>
        <v>22707</v>
      </c>
      <c r="J13" s="1759">
        <f t="shared" si="0"/>
        <v>26297</v>
      </c>
      <c r="K13" s="1759">
        <f t="shared" si="0"/>
        <v>567</v>
      </c>
      <c r="L13" s="1759">
        <f t="shared" si="0"/>
        <v>4148</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5500</v>
      </c>
      <c r="N16" s="484"/>
    </row>
    <row r="17" spans="1:14" s="485" customFormat="1" ht="12.75" customHeight="1" x14ac:dyDescent="0.2">
      <c r="A17" s="482" t="s">
        <v>1470</v>
      </c>
      <c r="B17" s="483">
        <v>230</v>
      </c>
      <c r="C17" s="477"/>
      <c r="D17" s="477"/>
      <c r="E17" s="477"/>
      <c r="F17" s="477"/>
      <c r="G17" s="477"/>
      <c r="H17" s="477"/>
      <c r="I17" s="477"/>
      <c r="J17" s="477"/>
      <c r="K17" s="477"/>
      <c r="L17" s="477"/>
      <c r="M17" s="467">
        <v>683858</v>
      </c>
      <c r="N17" s="484"/>
    </row>
    <row r="18" spans="1:14" s="485" customFormat="1" ht="12.75" customHeight="1" x14ac:dyDescent="0.2">
      <c r="A18" s="482" t="s">
        <v>1471</v>
      </c>
      <c r="B18" s="483">
        <v>240</v>
      </c>
      <c r="C18" s="477"/>
      <c r="D18" s="477"/>
      <c r="E18" s="477"/>
      <c r="F18" s="477"/>
      <c r="G18" s="477"/>
      <c r="H18" s="477"/>
      <c r="I18" s="477"/>
      <c r="J18" s="477"/>
      <c r="K18" s="477"/>
      <c r="L18" s="477"/>
      <c r="M18" s="467">
        <v>3389</v>
      </c>
      <c r="N18" s="484"/>
    </row>
    <row r="19" spans="1:14" s="485" customFormat="1" ht="12.75" customHeight="1" x14ac:dyDescent="0.2">
      <c r="A19" s="482" t="s">
        <v>1472</v>
      </c>
      <c r="B19" s="483">
        <v>250</v>
      </c>
      <c r="C19" s="477"/>
      <c r="D19" s="477"/>
      <c r="E19" s="477"/>
      <c r="F19" s="477"/>
      <c r="G19" s="477"/>
      <c r="H19" s="477"/>
      <c r="I19" s="477"/>
      <c r="J19" s="477"/>
      <c r="K19" s="477"/>
      <c r="L19" s="477"/>
      <c r="M19" s="467">
        <v>552849</v>
      </c>
      <c r="N19" s="484"/>
    </row>
    <row r="20" spans="1:14" s="485" customFormat="1" ht="12.75" customHeight="1" x14ac:dyDescent="0.2">
      <c r="A20" s="482" t="s">
        <v>1473</v>
      </c>
      <c r="B20" s="483">
        <v>260</v>
      </c>
      <c r="C20" s="477"/>
      <c r="D20" s="477"/>
      <c r="E20" s="477"/>
      <c r="F20" s="477"/>
      <c r="G20" s="477"/>
      <c r="H20" s="477"/>
      <c r="I20" s="477"/>
      <c r="J20" s="477"/>
      <c r="K20" s="477"/>
      <c r="L20" s="477"/>
      <c r="M20" s="467">
        <v>44910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1142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134720</v>
      </c>
    </row>
    <row r="23" spans="1:14" ht="13.5" customHeight="1" thickBot="1" x14ac:dyDescent="0.25">
      <c r="A23" s="1758" t="s">
        <v>664</v>
      </c>
      <c r="B23" s="1763"/>
      <c r="C23" s="468"/>
      <c r="D23" s="468"/>
      <c r="E23" s="468"/>
      <c r="F23" s="468"/>
      <c r="G23" s="468"/>
      <c r="H23" s="468"/>
      <c r="I23" s="468"/>
      <c r="J23" s="468"/>
      <c r="K23" s="468"/>
      <c r="L23" s="468"/>
      <c r="M23" s="1710">
        <f>SUM(M15:M22)</f>
        <v>1290506</v>
      </c>
      <c r="N23" s="1710">
        <f>SUM(N21:N22)</f>
        <v>135862</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4148</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4148</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135862</v>
      </c>
    </row>
    <row r="37" spans="1:14" ht="13.5" thickBot="1" x14ac:dyDescent="0.25">
      <c r="A37" s="1758" t="s">
        <v>674</v>
      </c>
      <c r="B37" s="1763"/>
      <c r="C37" s="477"/>
      <c r="D37" s="477"/>
      <c r="E37" s="477"/>
      <c r="F37" s="477"/>
      <c r="G37" s="477"/>
      <c r="H37" s="477"/>
      <c r="I37" s="477"/>
      <c r="J37" s="477"/>
      <c r="K37" s="477"/>
      <c r="L37" s="480"/>
      <c r="M37" s="468"/>
      <c r="N37" s="1710">
        <f>SUM(N36:N36)</f>
        <v>135862</v>
      </c>
    </row>
    <row r="38" spans="1:14" s="329" customFormat="1" ht="13.5" customHeight="1" thickTop="1" x14ac:dyDescent="0.2">
      <c r="A38" s="496" t="s">
        <v>440</v>
      </c>
      <c r="B38" s="483">
        <v>714</v>
      </c>
      <c r="C38" s="466"/>
      <c r="D38" s="466"/>
      <c r="E38" s="466"/>
      <c r="F38" s="466"/>
      <c r="G38" s="466">
        <v>21320</v>
      </c>
      <c r="H38" s="466"/>
      <c r="I38" s="466"/>
      <c r="J38" s="467"/>
      <c r="K38" s="466"/>
      <c r="L38" s="481"/>
      <c r="M38" s="497"/>
      <c r="N38" s="497"/>
    </row>
    <row r="39" spans="1:14" s="329" customFormat="1" ht="13.5" customHeight="1" x14ac:dyDescent="0.2">
      <c r="A39" s="496" t="s">
        <v>360</v>
      </c>
      <c r="B39" s="483">
        <v>730</v>
      </c>
      <c r="C39" s="466">
        <v>286574</v>
      </c>
      <c r="D39" s="466">
        <v>31467</v>
      </c>
      <c r="E39" s="466">
        <v>1142</v>
      </c>
      <c r="F39" s="466">
        <v>64116</v>
      </c>
      <c r="G39" s="466">
        <v>8140</v>
      </c>
      <c r="H39" s="466">
        <v>0</v>
      </c>
      <c r="I39" s="466">
        <v>22707</v>
      </c>
      <c r="J39" s="467">
        <v>26297</v>
      </c>
      <c r="K39" s="466">
        <v>567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1290506</v>
      </c>
      <c r="N40" s="497"/>
    </row>
    <row r="41" spans="1:14" ht="13.5" customHeight="1" thickBot="1" x14ac:dyDescent="0.25">
      <c r="A41" s="1758" t="s">
        <v>676</v>
      </c>
      <c r="B41" s="1728"/>
      <c r="C41" s="1710">
        <f>(SUM(C34,C37,C38,C39))</f>
        <v>286574</v>
      </c>
      <c r="D41" s="1710">
        <f t="shared" ref="D41:L41" si="2">SUM(D34,D37,D38:D39)</f>
        <v>31467</v>
      </c>
      <c r="E41" s="1710">
        <f t="shared" si="2"/>
        <v>1142</v>
      </c>
      <c r="F41" s="1710">
        <f t="shared" si="2"/>
        <v>64116</v>
      </c>
      <c r="G41" s="1710">
        <f t="shared" si="2"/>
        <v>29460</v>
      </c>
      <c r="H41" s="1710">
        <f t="shared" si="2"/>
        <v>0</v>
      </c>
      <c r="I41" s="1710">
        <f t="shared" si="2"/>
        <v>22707</v>
      </c>
      <c r="J41" s="1710">
        <f t="shared" si="2"/>
        <v>26297</v>
      </c>
      <c r="K41" s="1710">
        <f t="shared" si="2"/>
        <v>567</v>
      </c>
      <c r="L41" s="1710">
        <f t="shared" si="2"/>
        <v>4148</v>
      </c>
      <c r="M41" s="1710">
        <f>SUM(M40)</f>
        <v>1290506</v>
      </c>
      <c r="N41" s="1710">
        <f>SUM(N37)</f>
        <v>135862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7" sqref="A7:D7"/>
      <selection pane="bottomLeft" activeCell="H86" sqref="H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95"/>
      <c r="D3" s="1596"/>
      <c r="E3" s="1596"/>
      <c r="F3" s="1596"/>
      <c r="G3" s="1596"/>
      <c r="H3" s="1596"/>
      <c r="I3" s="1596"/>
      <c r="J3" s="1596"/>
      <c r="K3" s="1597"/>
      <c r="L3" s="506"/>
    </row>
    <row r="4" spans="1:13" ht="15.75" customHeight="1" x14ac:dyDescent="0.2">
      <c r="A4" s="1954" t="s">
        <v>1579</v>
      </c>
      <c r="B4" s="1955">
        <v>1000</v>
      </c>
      <c r="C4" s="1764">
        <f>'Revenues 9-14'!C109</f>
        <v>260264</v>
      </c>
      <c r="D4" s="1764">
        <f>'Revenues 9-14'!D109</f>
        <v>40139</v>
      </c>
      <c r="E4" s="1764">
        <f>'Revenues 9-14'!E109</f>
        <v>6621</v>
      </c>
      <c r="F4" s="1764">
        <f>'Revenues 9-14'!F109</f>
        <v>15500</v>
      </c>
      <c r="G4" s="1764">
        <f>'Revenues 9-14'!G109</f>
        <v>24189</v>
      </c>
      <c r="H4" s="1764">
        <f>'Revenues 9-14'!H109</f>
        <v>0</v>
      </c>
      <c r="I4" s="1764">
        <f>'Revenues 9-14'!I109</f>
        <v>5041</v>
      </c>
      <c r="J4" s="1764">
        <f>'Revenues 9-14'!J109</f>
        <v>22370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314412</v>
      </c>
      <c r="D6" s="1765">
        <f>'Revenues 9-14'!D173</f>
        <v>32366</v>
      </c>
      <c r="E6" s="1765">
        <f>'Revenues 9-14'!E173</f>
        <v>0</v>
      </c>
      <c r="F6" s="1765">
        <f>'Revenues 9-14'!F173</f>
        <v>84923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86355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661031</v>
      </c>
      <c r="D8" s="1710">
        <f t="shared" ref="D8:K8" si="0">SUM(D4:D7)</f>
        <v>72505</v>
      </c>
      <c r="E8" s="1710">
        <f t="shared" si="0"/>
        <v>6621</v>
      </c>
      <c r="F8" s="1710">
        <f t="shared" si="0"/>
        <v>100423</v>
      </c>
      <c r="G8" s="1710">
        <f t="shared" si="0"/>
        <v>24189</v>
      </c>
      <c r="H8" s="1710">
        <f t="shared" si="0"/>
        <v>0</v>
      </c>
      <c r="I8" s="1710">
        <f t="shared" si="0"/>
        <v>5041</v>
      </c>
      <c r="J8" s="1710">
        <f t="shared" si="0"/>
        <v>22370</v>
      </c>
      <c r="K8" s="1710">
        <f t="shared" si="0"/>
        <v>0</v>
      </c>
      <c r="L8" s="347"/>
    </row>
    <row r="9" spans="1:13" ht="15.75" thickTop="1" x14ac:dyDescent="0.2">
      <c r="A9" s="514" t="s">
        <v>1752</v>
      </c>
      <c r="B9" s="515">
        <v>3998</v>
      </c>
      <c r="C9" s="481">
        <v>1357759</v>
      </c>
      <c r="D9" s="516"/>
      <c r="E9" s="481"/>
      <c r="F9" s="481"/>
      <c r="G9" s="517"/>
      <c r="H9" s="481"/>
      <c r="I9" s="509" t="s">
        <v>1231</v>
      </c>
      <c r="J9" s="478"/>
      <c r="K9" s="481"/>
      <c r="L9" s="347"/>
    </row>
    <row r="10" spans="1:13" s="519" customFormat="1" ht="13.5" thickBot="1" x14ac:dyDescent="0.25">
      <c r="A10" s="1758" t="s">
        <v>1235</v>
      </c>
      <c r="B10" s="1731"/>
      <c r="C10" s="1710">
        <f>SUM(C8:C9)</f>
        <v>2018790</v>
      </c>
      <c r="D10" s="1710">
        <f t="shared" ref="D10:K10" si="1">SUM(D8:D9)</f>
        <v>72505</v>
      </c>
      <c r="E10" s="1710">
        <f t="shared" si="1"/>
        <v>6621</v>
      </c>
      <c r="F10" s="1710">
        <f t="shared" si="1"/>
        <v>100423</v>
      </c>
      <c r="G10" s="1710">
        <f t="shared" si="1"/>
        <v>24189</v>
      </c>
      <c r="H10" s="1710">
        <f t="shared" si="1"/>
        <v>0</v>
      </c>
      <c r="I10" s="1710">
        <f t="shared" si="1"/>
        <v>5041</v>
      </c>
      <c r="J10" s="1710">
        <f t="shared" si="1"/>
        <v>22370</v>
      </c>
      <c r="K10" s="1710">
        <f t="shared" si="1"/>
        <v>0</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4">
        <f>'Expenditures 15-22'!K33</f>
        <v>340116</v>
      </c>
      <c r="D12" s="520" t="s">
        <v>1231</v>
      </c>
      <c r="E12" s="468" t="s">
        <v>1231</v>
      </c>
      <c r="F12" s="468" t="s">
        <v>1231</v>
      </c>
      <c r="G12" s="1764">
        <f>'Expenditures 15-22'!K229</f>
        <v>9807</v>
      </c>
      <c r="H12" s="521"/>
      <c r="I12" s="468" t="s">
        <v>1231</v>
      </c>
      <c r="J12" s="468" t="s">
        <v>1231</v>
      </c>
      <c r="K12" s="521" t="s">
        <v>1231</v>
      </c>
      <c r="L12" s="347"/>
    </row>
    <row r="13" spans="1:13" ht="15.75" customHeight="1" x14ac:dyDescent="0.2">
      <c r="A13" s="1598" t="s">
        <v>477</v>
      </c>
      <c r="B13" s="1600">
        <v>2000</v>
      </c>
      <c r="C13" s="1765">
        <f>'Expenditures 15-22'!K74</f>
        <v>209208</v>
      </c>
      <c r="D13" s="1765">
        <f>'Expenditures 15-22'!K129</f>
        <v>92642</v>
      </c>
      <c r="E13" s="469" t="s">
        <v>1231</v>
      </c>
      <c r="F13" s="1765">
        <f>'Expenditures 15-22'!K184</f>
        <v>34885</v>
      </c>
      <c r="G13" s="1765">
        <f>'Expenditures 15-22'!K279</f>
        <v>11906</v>
      </c>
      <c r="H13" s="1765">
        <f>'Expenditures 15-22'!K303</f>
        <v>0</v>
      </c>
      <c r="I13" s="468" t="s">
        <v>1231</v>
      </c>
      <c r="J13" s="1765">
        <f>'Expenditures 15-22'!K330</f>
        <v>11906</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15073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6633</v>
      </c>
      <c r="F16" s="1765">
        <f>'Expenditures 15-22'!K208</f>
        <v>38652</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564397</v>
      </c>
      <c r="D17" s="1710">
        <f t="shared" si="2"/>
        <v>92642</v>
      </c>
      <c r="E17" s="1710">
        <f t="shared" si="2"/>
        <v>6633</v>
      </c>
      <c r="F17" s="1710">
        <f t="shared" si="2"/>
        <v>73537</v>
      </c>
      <c r="G17" s="1710">
        <f t="shared" si="2"/>
        <v>21713</v>
      </c>
      <c r="H17" s="1710">
        <f t="shared" si="2"/>
        <v>0</v>
      </c>
      <c r="I17" s="468"/>
      <c r="J17" s="1710">
        <f>SUM(J12:J16)</f>
        <v>11906</v>
      </c>
      <c r="K17" s="1710">
        <f>SUM(K12:K16)</f>
        <v>0</v>
      </c>
      <c r="L17" s="347"/>
    </row>
    <row r="18" spans="1:12" ht="15" customHeight="1" thickTop="1" x14ac:dyDescent="0.2">
      <c r="A18" s="1766" t="s">
        <v>1753</v>
      </c>
      <c r="B18" s="1767">
        <v>4180</v>
      </c>
      <c r="C18" s="1764">
        <f t="shared" ref="C18:H18" si="3">C9</f>
        <v>1357759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1922156</v>
      </c>
      <c r="D19" s="1710">
        <f t="shared" si="4"/>
        <v>92642</v>
      </c>
      <c r="E19" s="1710">
        <f t="shared" si="4"/>
        <v>6633</v>
      </c>
      <c r="F19" s="1710">
        <f t="shared" si="4"/>
        <v>73537</v>
      </c>
      <c r="G19" s="1710">
        <f t="shared" si="4"/>
        <v>21713</v>
      </c>
      <c r="H19" s="1710">
        <f t="shared" si="4"/>
        <v>0</v>
      </c>
      <c r="I19" s="468"/>
      <c r="J19" s="1710">
        <f>SUM(J17:J18)</f>
        <v>11906</v>
      </c>
      <c r="K19" s="1710">
        <f>SUM(K17:K18)</f>
        <v>0</v>
      </c>
      <c r="L19" s="347"/>
    </row>
    <row r="20" spans="1:12" ht="16.5" thickTop="1" thickBot="1" x14ac:dyDescent="0.25">
      <c r="A20" s="2152" t="s">
        <v>1754</v>
      </c>
      <c r="B20" s="2153"/>
      <c r="C20" s="1768">
        <f>C8-C17</f>
        <v>96634</v>
      </c>
      <c r="D20" s="1768">
        <f t="shared" ref="D20:K20" si="5">D8-D17</f>
        <v>-20137</v>
      </c>
      <c r="E20" s="1768">
        <f t="shared" si="5"/>
        <v>-12</v>
      </c>
      <c r="F20" s="1768">
        <f t="shared" si="5"/>
        <v>26886</v>
      </c>
      <c r="G20" s="1768">
        <f t="shared" si="5"/>
        <v>2476</v>
      </c>
      <c r="H20" s="1768">
        <f t="shared" si="5"/>
        <v>0</v>
      </c>
      <c r="I20" s="1768">
        <f t="shared" si="5"/>
        <v>5041</v>
      </c>
      <c r="J20" s="1768">
        <f t="shared" si="5"/>
        <v>10464</v>
      </c>
      <c r="K20" s="1768">
        <f t="shared" si="5"/>
        <v>0</v>
      </c>
      <c r="L20" s="347"/>
    </row>
    <row r="21" spans="1:12" ht="16.7" customHeight="1" thickTop="1" x14ac:dyDescent="0.2">
      <c r="A21" s="2164" t="s">
        <v>616</v>
      </c>
      <c r="B21" s="2165"/>
      <c r="C21" s="1592"/>
      <c r="D21" s="1593"/>
      <c r="E21" s="1593"/>
      <c r="F21" s="1593"/>
      <c r="G21" s="1593"/>
      <c r="H21" s="1593"/>
      <c r="I21" s="1593"/>
      <c r="J21" s="1593"/>
      <c r="K21" s="1594"/>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49999</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25">
        <f>SUM(C24:C43)</f>
        <v>0</v>
      </c>
      <c r="D44" s="1725">
        <f t="shared" ref="D44:K44" si="6">SUM(D24:D43)</f>
        <v>49999</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49999</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25">
        <f t="shared" ref="C76:K76" si="7">SUM(C47:C75)</f>
        <v>0</v>
      </c>
      <c r="D76" s="1725">
        <f t="shared" si="7"/>
        <v>0</v>
      </c>
      <c r="E76" s="1725">
        <f t="shared" si="7"/>
        <v>0</v>
      </c>
      <c r="F76" s="1725">
        <f t="shared" si="7"/>
        <v>0</v>
      </c>
      <c r="G76" s="1725">
        <f t="shared" si="7"/>
        <v>0</v>
      </c>
      <c r="H76" s="1725">
        <f t="shared" si="7"/>
        <v>0</v>
      </c>
      <c r="I76" s="1725">
        <f t="shared" si="7"/>
        <v>49999</v>
      </c>
      <c r="J76" s="1725">
        <f t="shared" si="7"/>
        <v>0</v>
      </c>
      <c r="K76" s="1725">
        <f t="shared" si="7"/>
        <v>0</v>
      </c>
      <c r="L76" s="524"/>
    </row>
    <row r="77" spans="1:12" ht="14.25" thickTop="1" thickBot="1" x14ac:dyDescent="0.25">
      <c r="A77" s="2144" t="s">
        <v>1239</v>
      </c>
      <c r="B77" s="2145"/>
      <c r="C77" s="1725">
        <f t="shared" ref="C77:K77" si="8">C44-C76</f>
        <v>0</v>
      </c>
      <c r="D77" s="1725">
        <f t="shared" si="8"/>
        <v>49999</v>
      </c>
      <c r="E77" s="1725">
        <f t="shared" si="8"/>
        <v>0</v>
      </c>
      <c r="F77" s="1725">
        <f t="shared" si="8"/>
        <v>0</v>
      </c>
      <c r="G77" s="1725">
        <f t="shared" si="8"/>
        <v>0</v>
      </c>
      <c r="H77" s="1725">
        <f t="shared" si="8"/>
        <v>0</v>
      </c>
      <c r="I77" s="1725">
        <f t="shared" si="8"/>
        <v>-49999</v>
      </c>
      <c r="J77" s="1725">
        <f t="shared" si="8"/>
        <v>0</v>
      </c>
      <c r="K77" s="1725">
        <f t="shared" si="8"/>
        <v>0</v>
      </c>
      <c r="L77" s="347"/>
    </row>
    <row r="78" spans="1:12" ht="21.75" customHeight="1" thickTop="1" thickBot="1" x14ac:dyDescent="0.25">
      <c r="A78" s="2148" t="s">
        <v>618</v>
      </c>
      <c r="B78" s="2149"/>
      <c r="C78" s="1724">
        <f t="shared" ref="C78:K78" si="9">C20+C77</f>
        <v>96634</v>
      </c>
      <c r="D78" s="1724">
        <f t="shared" si="9"/>
        <v>29862</v>
      </c>
      <c r="E78" s="1724">
        <f t="shared" si="9"/>
        <v>-12</v>
      </c>
      <c r="F78" s="1724">
        <f t="shared" si="9"/>
        <v>26886</v>
      </c>
      <c r="G78" s="1724">
        <f t="shared" si="9"/>
        <v>2476</v>
      </c>
      <c r="H78" s="1724">
        <f t="shared" si="9"/>
        <v>0</v>
      </c>
      <c r="I78" s="1724">
        <f t="shared" si="9"/>
        <v>-44958</v>
      </c>
      <c r="J78" s="1724">
        <f t="shared" si="9"/>
        <v>10464</v>
      </c>
      <c r="K78" s="1724">
        <f t="shared" si="9"/>
        <v>0</v>
      </c>
      <c r="L78" s="533"/>
    </row>
    <row r="79" spans="1:12" ht="13.5" thickTop="1" x14ac:dyDescent="0.2">
      <c r="A79" s="1516" t="s">
        <v>2073</v>
      </c>
      <c r="B79" s="534"/>
      <c r="C79" s="478">
        <v>189940</v>
      </c>
      <c r="D79" s="535">
        <v>1605</v>
      </c>
      <c r="E79" s="535">
        <v>1154</v>
      </c>
      <c r="F79" s="535">
        <v>37230</v>
      </c>
      <c r="G79" s="535">
        <v>26984</v>
      </c>
      <c r="H79" s="535">
        <v>0</v>
      </c>
      <c r="I79" s="535">
        <v>67665</v>
      </c>
      <c r="J79" s="535">
        <v>15833</v>
      </c>
      <c r="K79" s="535">
        <v>567</v>
      </c>
      <c r="L79" s="347"/>
    </row>
    <row r="80" spans="1:12" x14ac:dyDescent="0.2">
      <c r="A80" s="2154" t="s">
        <v>1898</v>
      </c>
      <c r="B80" s="2155"/>
      <c r="C80" s="467"/>
      <c r="D80" s="467"/>
      <c r="E80" s="467"/>
      <c r="F80" s="467"/>
      <c r="G80" s="467"/>
      <c r="H80" s="467"/>
      <c r="I80" s="467"/>
      <c r="J80" s="467"/>
      <c r="K80" s="467"/>
      <c r="L80" s="347"/>
    </row>
    <row r="81" spans="1:12" ht="13.5" thickBot="1" x14ac:dyDescent="0.25">
      <c r="A81" s="2146" t="s">
        <v>2074</v>
      </c>
      <c r="B81" s="2147"/>
      <c r="C81" s="1710">
        <f>(SUM(C78:C80))</f>
        <v>286574</v>
      </c>
      <c r="D81" s="1710">
        <f>SUM(D78:D80)</f>
        <v>31467</v>
      </c>
      <c r="E81" s="1710">
        <f t="shared" ref="E81:K81" si="10">SUM(E78:E80)</f>
        <v>1142</v>
      </c>
      <c r="F81" s="1710">
        <f t="shared" si="10"/>
        <v>64116</v>
      </c>
      <c r="G81" s="1710">
        <f t="shared" si="10"/>
        <v>29460</v>
      </c>
      <c r="H81" s="1710">
        <f t="shared" si="10"/>
        <v>0</v>
      </c>
      <c r="I81" s="1710">
        <f t="shared" si="10"/>
        <v>22707</v>
      </c>
      <c r="J81" s="1710">
        <f t="shared" si="10"/>
        <v>26297</v>
      </c>
      <c r="K81" s="1710">
        <f t="shared" si="10"/>
        <v>567</v>
      </c>
      <c r="L81" s="347"/>
    </row>
    <row r="82" spans="1:12" ht="0.75" customHeight="1" thickTop="1" thickBot="1" x14ac:dyDescent="0.25">
      <c r="A82" s="536" t="s">
        <v>361</v>
      </c>
      <c r="B82" s="537"/>
      <c r="C82" s="538">
        <f>(C81-C79)</f>
        <v>96634</v>
      </c>
      <c r="D82" s="538">
        <f t="shared" ref="D82:K82" si="11">(D81-D79)</f>
        <v>29862</v>
      </c>
      <c r="E82" s="538">
        <f t="shared" si="11"/>
        <v>-12</v>
      </c>
      <c r="F82" s="538">
        <f t="shared" si="11"/>
        <v>26886</v>
      </c>
      <c r="G82" s="538">
        <f t="shared" si="11"/>
        <v>2476</v>
      </c>
      <c r="H82" s="538">
        <f t="shared" si="11"/>
        <v>0</v>
      </c>
      <c r="I82" s="538">
        <f t="shared" si="11"/>
        <v>-44958</v>
      </c>
      <c r="J82" s="538">
        <f t="shared" si="11"/>
        <v>10464</v>
      </c>
      <c r="K82" s="538">
        <f t="shared" si="11"/>
        <v>0</v>
      </c>
    </row>
    <row r="83" spans="1:12" ht="14.25" hidden="1" thickTop="1" thickBot="1" x14ac:dyDescent="0.25">
      <c r="A83" s="539" t="s">
        <v>362</v>
      </c>
      <c r="B83" s="464"/>
      <c r="C83" s="540">
        <f>C82/C81</f>
        <v>0.33720435210451749</v>
      </c>
      <c r="D83" s="540">
        <f t="shared" ref="D83:K83" si="12">D82/D81</f>
        <v>0.94899418438364003</v>
      </c>
      <c r="E83" s="540">
        <f t="shared" si="12"/>
        <v>-1.0507880910683012E-2</v>
      </c>
      <c r="F83" s="540">
        <f t="shared" si="12"/>
        <v>0.41933370765487554</v>
      </c>
      <c r="G83" s="540">
        <f t="shared" si="12"/>
        <v>8.4046164290563483E-2</v>
      </c>
      <c r="H83" s="540" t="e">
        <f t="shared" si="12"/>
        <v>#DIV/0!</v>
      </c>
      <c r="I83" s="540">
        <f t="shared" si="12"/>
        <v>-1.9799180869335447</v>
      </c>
      <c r="J83" s="540">
        <f t="shared" si="12"/>
        <v>0.39791611210404226</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1905</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215028</v>
      </c>
      <c r="D5" s="481">
        <v>35289</v>
      </c>
      <c r="E5" s="466">
        <v>6621</v>
      </c>
      <c r="F5" s="548">
        <v>15123</v>
      </c>
      <c r="G5" s="466">
        <v>6567</v>
      </c>
      <c r="H5" s="466"/>
      <c r="I5" s="466">
        <v>5041</v>
      </c>
      <c r="J5" s="467">
        <v>22370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2016</v>
      </c>
      <c r="D7" s="466"/>
      <c r="E7" s="468"/>
      <c r="F7" s="467"/>
      <c r="G7" s="467"/>
      <c r="H7" s="467"/>
      <c r="I7" s="468"/>
      <c r="J7" s="468"/>
      <c r="K7" s="468"/>
    </row>
    <row r="8" spans="1:12" x14ac:dyDescent="0.2">
      <c r="A8" s="463" t="s">
        <v>433</v>
      </c>
      <c r="B8" s="470">
        <v>1150</v>
      </c>
      <c r="C8" s="475"/>
      <c r="D8" s="475"/>
      <c r="E8" s="477"/>
      <c r="F8" s="477"/>
      <c r="G8" s="481">
        <v>17622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217044</v>
      </c>
      <c r="D12" s="1729">
        <f t="shared" si="0"/>
        <v>35289</v>
      </c>
      <c r="E12" s="1729">
        <f t="shared" si="0"/>
        <v>6621</v>
      </c>
      <c r="F12" s="1729">
        <f t="shared" si="0"/>
        <v>15123</v>
      </c>
      <c r="G12" s="1729">
        <f t="shared" si="0"/>
        <v>24189</v>
      </c>
      <c r="H12" s="1729">
        <f t="shared" si="0"/>
        <v>0</v>
      </c>
      <c r="I12" s="1729">
        <f t="shared" si="0"/>
        <v>5041</v>
      </c>
      <c r="J12" s="1729">
        <f t="shared" si="0"/>
        <v>22370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20081</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20081</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1422</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1422</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16213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16213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940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703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1643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1450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1450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850</v>
      </c>
      <c r="E95" s="521"/>
      <c r="F95" s="521"/>
      <c r="G95" s="521"/>
      <c r="H95" s="521"/>
      <c r="I95" s="521"/>
      <c r="J95" s="521"/>
      <c r="K95" s="521"/>
    </row>
    <row r="96" spans="1:11" ht="12.75" customHeight="1" x14ac:dyDescent="0.2">
      <c r="A96" s="463" t="s">
        <v>409</v>
      </c>
      <c r="B96" s="470">
        <v>1920</v>
      </c>
      <c r="C96" s="551">
        <v>225</v>
      </c>
      <c r="D96" s="551">
        <v>4000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2186</v>
      </c>
      <c r="D107" s="466"/>
      <c r="E107" s="466"/>
      <c r="F107" s="466">
        <v>377</v>
      </c>
      <c r="G107" s="466"/>
      <c r="H107" s="466"/>
      <c r="I107" s="466"/>
      <c r="J107" s="467"/>
      <c r="K107" s="466"/>
    </row>
    <row r="108" spans="1:12" ht="12.75" customHeight="1" thickBot="1" x14ac:dyDescent="0.25">
      <c r="A108" s="1730" t="s">
        <v>508</v>
      </c>
      <c r="B108" s="1734"/>
      <c r="C108" s="1729">
        <f>SUM(C95:C107)</f>
        <v>2411</v>
      </c>
      <c r="D108" s="1729">
        <f t="shared" ref="D108:K108" si="3">SUM(D95:D107)</f>
        <v>4850</v>
      </c>
      <c r="E108" s="1729">
        <f t="shared" si="3"/>
        <v>0</v>
      </c>
      <c r="F108" s="1729">
        <f t="shared" si="3"/>
        <v>377</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260264</v>
      </c>
      <c r="D109" s="1737">
        <f t="shared" si="4"/>
        <v>40139</v>
      </c>
      <c r="E109" s="1737">
        <f t="shared" si="4"/>
        <v>6621</v>
      </c>
      <c r="F109" s="1737">
        <f t="shared" si="4"/>
        <v>15500</v>
      </c>
      <c r="G109" s="1737">
        <f t="shared" si="4"/>
        <v>24189</v>
      </c>
      <c r="H109" s="1737">
        <f t="shared" si="4"/>
        <v>0</v>
      </c>
      <c r="I109" s="1737">
        <f t="shared" si="4"/>
        <v>5041</v>
      </c>
      <c r="J109" s="1737">
        <f t="shared" si="4"/>
        <v>22370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295329</v>
      </c>
      <c r="D117" s="481">
        <v>32366</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295329</v>
      </c>
      <c r="D121" s="1729">
        <f t="shared" si="5"/>
        <v>32366</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5543</v>
      </c>
      <c r="D125" s="561"/>
      <c r="E125" s="468"/>
      <c r="F125" s="466"/>
      <c r="G125" s="468"/>
      <c r="H125" s="468"/>
      <c r="I125" s="468"/>
      <c r="J125" s="468"/>
      <c r="K125" s="468"/>
    </row>
    <row r="126" spans="1:11" ht="12.75" customHeight="1" x14ac:dyDescent="0.2">
      <c r="A126" s="463" t="s">
        <v>922</v>
      </c>
      <c r="B126" s="562">
        <v>3110</v>
      </c>
      <c r="C126" s="551">
        <v>12473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674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18690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393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77484</v>
      </c>
      <c r="G151" s="467"/>
      <c r="H151" s="468"/>
      <c r="I151" s="468"/>
      <c r="J151" s="468"/>
      <c r="K151" s="468"/>
    </row>
    <row r="152" spans="1:11" ht="12.75" customHeight="1" x14ac:dyDescent="0.2">
      <c r="A152" s="463" t="s">
        <v>1117</v>
      </c>
      <c r="B152" s="562">
        <v>3510</v>
      </c>
      <c r="C152" s="551"/>
      <c r="D152" s="466"/>
      <c r="E152" s="561"/>
      <c r="F152" s="466">
        <v>7439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84923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0" t="s">
        <v>418</v>
      </c>
      <c r="B172" s="2171"/>
      <c r="C172" s="1744">
        <f t="shared" ref="C172:K172" si="6">SUM(C131,C140,C144,C145:C149,C154,C155:C170,C171)</f>
        <v>19083</v>
      </c>
      <c r="D172" s="1744">
        <f t="shared" si="6"/>
        <v>0</v>
      </c>
      <c r="E172" s="1744">
        <f t="shared" si="6"/>
        <v>0</v>
      </c>
      <c r="F172" s="1744">
        <f t="shared" si="6"/>
        <v>84923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314412</v>
      </c>
      <c r="D173" s="1737">
        <f>SUM(D121,D172)</f>
        <v>32366</v>
      </c>
      <c r="E173" s="1737">
        <f>SUM(E121,E172)</f>
        <v>0</v>
      </c>
      <c r="F173" s="1737">
        <f t="shared" ref="F173:K173" si="7">SUM(F121,F172)</f>
        <v>84923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18949</v>
      </c>
      <c r="D183" s="466"/>
      <c r="E183" s="468"/>
      <c r="F183" s="466"/>
      <c r="G183" s="466"/>
      <c r="H183" s="466"/>
      <c r="I183" s="468"/>
      <c r="J183" s="468"/>
      <c r="K183" s="466"/>
    </row>
    <row r="184" spans="1:11" ht="13.5" thickBot="1" x14ac:dyDescent="0.25">
      <c r="A184" s="2178" t="s">
        <v>818</v>
      </c>
      <c r="B184" s="2179"/>
      <c r="C184" s="1729">
        <f>SUM(C180:C183)</f>
        <v>18949</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4" t="s">
        <v>1906</v>
      </c>
      <c r="B185" s="217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15726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7884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32586</v>
      </c>
      <c r="D200" s="468"/>
      <c r="E200" s="561"/>
      <c r="F200" s="468"/>
      <c r="G200" s="585"/>
      <c r="H200" s="468"/>
      <c r="I200" s="468"/>
      <c r="J200" s="468"/>
      <c r="K200" s="468"/>
    </row>
    <row r="201" spans="1:11" ht="12.75" customHeight="1" thickBot="1" x14ac:dyDescent="0.25">
      <c r="A201" s="1730" t="s">
        <v>569</v>
      </c>
      <c r="B201" s="1731"/>
      <c r="C201" s="1710">
        <f>SUM(C193:C200)</f>
        <v>56196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3739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3739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2843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580</v>
      </c>
      <c r="D270" s="576"/>
      <c r="E270" s="468"/>
      <c r="F270" s="576"/>
      <c r="G270" s="576"/>
      <c r="H270" s="468"/>
      <c r="I270" s="468"/>
      <c r="J270" s="468"/>
      <c r="K270" s="468"/>
    </row>
    <row r="271" spans="1:11" ht="12.75" customHeight="1" thickTop="1" thickBot="1" x14ac:dyDescent="0.25">
      <c r="A271" s="463" t="s">
        <v>395</v>
      </c>
      <c r="B271" s="470">
        <v>4992</v>
      </c>
      <c r="C271" s="575">
        <v>969</v>
      </c>
      <c r="D271" s="576"/>
      <c r="E271" s="468"/>
      <c r="F271" s="576"/>
      <c r="G271" s="576"/>
      <c r="H271" s="468"/>
      <c r="I271" s="468"/>
      <c r="J271" s="468"/>
      <c r="K271" s="468"/>
    </row>
    <row r="272" spans="1:11" s="594" customFormat="1" ht="12.75" customHeight="1" thickTop="1" thickBot="1" x14ac:dyDescent="0.25">
      <c r="A272" s="563" t="s">
        <v>77</v>
      </c>
      <c r="B272" s="557">
        <v>4999</v>
      </c>
      <c r="C272" s="575">
        <v>3079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67406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86355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661031</v>
      </c>
      <c r="D275" s="1737">
        <f t="shared" si="12"/>
        <v>72505</v>
      </c>
      <c r="E275" s="1737">
        <f t="shared" si="12"/>
        <v>6621</v>
      </c>
      <c r="F275" s="1737">
        <f t="shared" si="12"/>
        <v>100423</v>
      </c>
      <c r="G275" s="1737">
        <f t="shared" si="12"/>
        <v>24189</v>
      </c>
      <c r="H275" s="1737">
        <f t="shared" si="12"/>
        <v>0</v>
      </c>
      <c r="I275" s="1737">
        <f t="shared" si="12"/>
        <v>5041</v>
      </c>
      <c r="J275" s="1737">
        <f t="shared" si="12"/>
        <v>22370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00" workbookViewId="0">
      <pane ySplit="2" topLeftCell="A187" activePane="bottomLeft" state="frozen"/>
      <selection activeCell="A7" sqref="A7:D7"/>
      <selection pane="bottomLeft" activeCell="H364" sqref="H3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228379</v>
      </c>
      <c r="D5" s="466">
        <v>3310</v>
      </c>
      <c r="E5" s="466">
        <v>26349</v>
      </c>
      <c r="F5" s="466">
        <v>3491</v>
      </c>
      <c r="G5" s="466"/>
      <c r="H5" s="466">
        <v>1795</v>
      </c>
      <c r="I5" s="467"/>
      <c r="J5" s="467"/>
      <c r="K5" s="1693">
        <f>SUM(C5:J5)</f>
        <v>263324</v>
      </c>
      <c r="L5" s="466">
        <v>263223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75972</v>
      </c>
      <c r="D8" s="466">
        <v>820</v>
      </c>
      <c r="E8" s="466"/>
      <c r="F8" s="466"/>
      <c r="G8" s="466"/>
      <c r="H8" s="466"/>
      <c r="I8" s="467"/>
      <c r="J8" s="467"/>
      <c r="K8" s="1693">
        <f t="shared" si="0"/>
        <v>76792</v>
      </c>
      <c r="L8" s="466">
        <v>82861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304351</v>
      </c>
      <c r="D33" s="1692">
        <f t="shared" ref="D33:L33" si="1">SUM(D5:D32)</f>
        <v>4130</v>
      </c>
      <c r="E33" s="1692">
        <f t="shared" si="1"/>
        <v>26349</v>
      </c>
      <c r="F33" s="1692">
        <f t="shared" si="1"/>
        <v>3491</v>
      </c>
      <c r="G33" s="1692">
        <f t="shared" si="1"/>
        <v>0</v>
      </c>
      <c r="H33" s="1692">
        <f t="shared" si="1"/>
        <v>1795</v>
      </c>
      <c r="I33" s="1692">
        <f t="shared" si="1"/>
        <v>0</v>
      </c>
      <c r="J33" s="1692">
        <f t="shared" si="1"/>
        <v>0</v>
      </c>
      <c r="K33" s="1692">
        <f t="shared" si="1"/>
        <v>340116</v>
      </c>
      <c r="L33" s="1692">
        <f t="shared" si="1"/>
        <v>346084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1248</v>
      </c>
      <c r="D49" s="481"/>
      <c r="E49" s="481">
        <v>5528</v>
      </c>
      <c r="F49" s="481">
        <v>1075</v>
      </c>
      <c r="G49" s="481"/>
      <c r="H49" s="481"/>
      <c r="I49" s="467"/>
      <c r="J49" s="467"/>
      <c r="K49" s="1694">
        <f>SUM(C49:J49)</f>
        <v>7851</v>
      </c>
      <c r="L49" s="481">
        <v>7852</v>
      </c>
    </row>
    <row r="50" spans="1:14" x14ac:dyDescent="0.2">
      <c r="A50" s="1526" t="s">
        <v>872</v>
      </c>
      <c r="B50" s="615">
        <v>2320</v>
      </c>
      <c r="C50" s="466">
        <v>56189</v>
      </c>
      <c r="D50" s="466">
        <v>9123</v>
      </c>
      <c r="E50" s="466">
        <v>699</v>
      </c>
      <c r="F50" s="466"/>
      <c r="G50" s="466"/>
      <c r="H50" s="466"/>
      <c r="I50" s="467"/>
      <c r="J50" s="467"/>
      <c r="K50" s="1694">
        <f>SUM(C50:J50)</f>
        <v>66011</v>
      </c>
      <c r="L50" s="466">
        <v>68320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57437</v>
      </c>
      <c r="D53" s="1692">
        <f t="shared" ref="D53:L53" si="5">SUM(D49:D52)</f>
        <v>9123</v>
      </c>
      <c r="E53" s="1692">
        <f t="shared" si="5"/>
        <v>6227</v>
      </c>
      <c r="F53" s="1692">
        <f t="shared" si="5"/>
        <v>1075</v>
      </c>
      <c r="G53" s="1692">
        <f t="shared" si="5"/>
        <v>0</v>
      </c>
      <c r="H53" s="1692">
        <f t="shared" si="5"/>
        <v>0</v>
      </c>
      <c r="I53" s="1692">
        <f t="shared" si="5"/>
        <v>0</v>
      </c>
      <c r="J53" s="1692">
        <f t="shared" si="5"/>
        <v>0</v>
      </c>
      <c r="K53" s="1692">
        <f t="shared" si="5"/>
        <v>73862</v>
      </c>
      <c r="L53" s="1692">
        <f t="shared" si="5"/>
        <v>76172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18000</v>
      </c>
      <c r="D55" s="481">
        <v>2922</v>
      </c>
      <c r="E55" s="481"/>
      <c r="F55" s="481"/>
      <c r="G55" s="481"/>
      <c r="H55" s="481"/>
      <c r="I55" s="467"/>
      <c r="J55" s="467"/>
      <c r="K55" s="1694">
        <f>SUM(C55:J55)</f>
        <v>20922</v>
      </c>
      <c r="L55" s="481">
        <v>25100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18000</v>
      </c>
      <c r="D57" s="1696">
        <f t="shared" ref="D57:K57" si="6">SUM(D55:D56)</f>
        <v>2922</v>
      </c>
      <c r="E57" s="1696">
        <f t="shared" si="6"/>
        <v>0</v>
      </c>
      <c r="F57" s="1696">
        <f t="shared" si="6"/>
        <v>0</v>
      </c>
      <c r="G57" s="1696">
        <f t="shared" si="6"/>
        <v>0</v>
      </c>
      <c r="H57" s="1696">
        <f t="shared" si="6"/>
        <v>0</v>
      </c>
      <c r="I57" s="1696">
        <f t="shared" si="6"/>
        <v>0</v>
      </c>
      <c r="J57" s="1696">
        <f t="shared" si="6"/>
        <v>0</v>
      </c>
      <c r="K57" s="1696">
        <f t="shared" si="6"/>
        <v>20922</v>
      </c>
      <c r="L57" s="1692">
        <f>SUM(L55:L56)</f>
        <v>25100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25766</v>
      </c>
      <c r="D59" s="481"/>
      <c r="E59" s="481"/>
      <c r="F59" s="481">
        <v>1050</v>
      </c>
      <c r="G59" s="481"/>
      <c r="H59" s="481"/>
      <c r="I59" s="467"/>
      <c r="J59" s="467"/>
      <c r="K59" s="1694">
        <f t="shared" ref="K59:K64" si="7">SUM(C59:J59)</f>
        <v>26816</v>
      </c>
      <c r="L59" s="481">
        <v>26816</v>
      </c>
      <c r="M59" s="610"/>
      <c r="N59" s="610"/>
    </row>
    <row r="60" spans="1:14" s="343" customFormat="1" x14ac:dyDescent="0.2">
      <c r="A60" s="1526" t="s">
        <v>483</v>
      </c>
      <c r="B60" s="615">
        <v>2520</v>
      </c>
      <c r="C60" s="466"/>
      <c r="D60" s="466"/>
      <c r="E60" s="466">
        <v>5611</v>
      </c>
      <c r="F60" s="466"/>
      <c r="G60" s="466"/>
      <c r="H60" s="466"/>
      <c r="I60" s="467"/>
      <c r="J60" s="467"/>
      <c r="K60" s="1694">
        <f t="shared" si="7"/>
        <v>5611</v>
      </c>
      <c r="L60" s="466">
        <v>6650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19895</v>
      </c>
      <c r="D63" s="466"/>
      <c r="E63" s="466"/>
      <c r="F63" s="466">
        <v>29516</v>
      </c>
      <c r="G63" s="466">
        <v>32586</v>
      </c>
      <c r="H63" s="466"/>
      <c r="I63" s="467"/>
      <c r="J63" s="467"/>
      <c r="K63" s="1694">
        <f t="shared" si="7"/>
        <v>81997</v>
      </c>
      <c r="L63" s="466">
        <v>65664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45661</v>
      </c>
      <c r="D65" s="1692">
        <f t="shared" ref="D65:L65" si="8">SUM(D59:D64)</f>
        <v>0</v>
      </c>
      <c r="E65" s="1692">
        <f t="shared" si="8"/>
        <v>5611</v>
      </c>
      <c r="F65" s="1692">
        <f t="shared" si="8"/>
        <v>30566</v>
      </c>
      <c r="G65" s="1692">
        <f t="shared" si="8"/>
        <v>32586</v>
      </c>
      <c r="H65" s="1692">
        <f t="shared" si="8"/>
        <v>0</v>
      </c>
      <c r="I65" s="1692">
        <f t="shared" si="8"/>
        <v>0</v>
      </c>
      <c r="J65" s="1692">
        <f t="shared" si="8"/>
        <v>0</v>
      </c>
      <c r="K65" s="1692">
        <f t="shared" si="8"/>
        <v>114424</v>
      </c>
      <c r="L65" s="1692">
        <f t="shared" si="8"/>
        <v>99130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121098</v>
      </c>
      <c r="D74" s="1699">
        <f t="shared" ref="D74:K74" si="10">SUM(D42,D47,D53,D57,D65,D72,D73)</f>
        <v>12045</v>
      </c>
      <c r="E74" s="1699">
        <f t="shared" si="10"/>
        <v>11838</v>
      </c>
      <c r="F74" s="1699">
        <f t="shared" si="10"/>
        <v>31641</v>
      </c>
      <c r="G74" s="1699">
        <f t="shared" si="10"/>
        <v>32586</v>
      </c>
      <c r="H74" s="1699">
        <f t="shared" si="10"/>
        <v>0</v>
      </c>
      <c r="I74" s="1699">
        <f t="shared" si="10"/>
        <v>0</v>
      </c>
      <c r="J74" s="1699">
        <f t="shared" si="10"/>
        <v>0</v>
      </c>
      <c r="K74" s="1699">
        <f t="shared" si="10"/>
        <v>209208</v>
      </c>
      <c r="L74" s="1699">
        <f>SUM(L42,L47,L53,L57,L65,L72,L73)</f>
        <v>200402</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3242</v>
      </c>
      <c r="F79" s="617"/>
      <c r="G79" s="617"/>
      <c r="H79" s="466"/>
      <c r="I79" s="477"/>
      <c r="J79" s="477"/>
      <c r="K79" s="1693">
        <f t="shared" si="11"/>
        <v>3242</v>
      </c>
      <c r="L79" s="466">
        <v>3241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3242</v>
      </c>
      <c r="F84" s="617"/>
      <c r="G84" s="617"/>
      <c r="H84" s="1692">
        <f>SUM(H78:H83)</f>
        <v>0</v>
      </c>
      <c r="I84" s="477"/>
      <c r="J84" s="477"/>
      <c r="K84" s="1692">
        <f>SUM(K78:K83)</f>
        <v>3242</v>
      </c>
      <c r="L84" s="1692">
        <f>SUM(L78:L83)</f>
        <v>3241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11831</v>
      </c>
      <c r="I86" s="477"/>
      <c r="J86" s="477"/>
      <c r="K86" s="1699">
        <f t="shared" ref="K86:K98" si="12">H86</f>
        <v>11831</v>
      </c>
      <c r="L86" s="530">
        <v>12154</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11831</v>
      </c>
      <c r="I92" s="477"/>
      <c r="J92" s="477"/>
      <c r="K92" s="1699">
        <f t="shared" si="12"/>
        <v>11831</v>
      </c>
      <c r="L92" s="1692">
        <f>SUM(L85:L91)</f>
        <v>12154</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3242</v>
      </c>
      <c r="F102" s="617"/>
      <c r="G102" s="617"/>
      <c r="H102" s="1699">
        <f>SUM(H84,H92,H100,H101)</f>
        <v>11831</v>
      </c>
      <c r="I102" s="477"/>
      <c r="J102" s="477"/>
      <c r="K102" s="1699">
        <f>SUM(K84,K92,K100,K101)</f>
        <v>15073</v>
      </c>
      <c r="L102" s="1699">
        <f>SUM(L84,L92,L100,L101)</f>
        <v>15395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425449</v>
      </c>
      <c r="D114" s="1692">
        <f t="shared" ref="D114:K114" si="13">SUM(D33,D74,D75,D102,D112,D113)</f>
        <v>16175</v>
      </c>
      <c r="E114" s="1692">
        <f t="shared" si="13"/>
        <v>41429</v>
      </c>
      <c r="F114" s="1692">
        <f t="shared" si="13"/>
        <v>35132</v>
      </c>
      <c r="G114" s="1692">
        <f t="shared" si="13"/>
        <v>32586</v>
      </c>
      <c r="H114" s="1692">
        <f>SUM(H33,H74,H75,H102,H112,H113)</f>
        <v>13626</v>
      </c>
      <c r="I114" s="1692">
        <f t="shared" si="13"/>
        <v>0</v>
      </c>
      <c r="J114" s="1692">
        <f t="shared" si="13"/>
        <v>0</v>
      </c>
      <c r="K114" s="1692">
        <f t="shared" si="13"/>
        <v>564397</v>
      </c>
      <c r="L114" s="1692">
        <f>SUM(L33,L74,L75,L102,L112,L113)</f>
        <v>561881</v>
      </c>
    </row>
    <row r="115" spans="1:14" ht="13.5" thickTop="1" x14ac:dyDescent="0.2">
      <c r="A115" s="2182" t="s">
        <v>1053</v>
      </c>
      <c r="B115" s="2183"/>
      <c r="C115" s="619"/>
      <c r="D115" s="619"/>
      <c r="E115" s="619"/>
      <c r="F115" s="619"/>
      <c r="G115" s="619"/>
      <c r="H115" s="619"/>
      <c r="I115" s="619"/>
      <c r="J115" s="619"/>
      <c r="K115" s="1706">
        <f>'Revenues 9-14'!C275-'Expenditures 15-22'!K114</f>
        <v>96634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15224</v>
      </c>
      <c r="D124" s="466"/>
      <c r="E124" s="466">
        <v>9856</v>
      </c>
      <c r="F124" s="466">
        <v>22652</v>
      </c>
      <c r="G124" s="466">
        <v>44910</v>
      </c>
      <c r="H124" s="466"/>
      <c r="I124" s="467"/>
      <c r="J124" s="467"/>
      <c r="K124" s="1692">
        <f>SUM(C124:J124)</f>
        <v>92642</v>
      </c>
      <c r="L124" s="466">
        <v>60000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15224</v>
      </c>
      <c r="D127" s="1692">
        <f t="shared" ref="D127:L127" si="14">SUM(D122:D126)</f>
        <v>0</v>
      </c>
      <c r="E127" s="1692">
        <f t="shared" si="14"/>
        <v>9856</v>
      </c>
      <c r="F127" s="1692">
        <f t="shared" si="14"/>
        <v>22652</v>
      </c>
      <c r="G127" s="1692">
        <f t="shared" si="14"/>
        <v>44910</v>
      </c>
      <c r="H127" s="1692">
        <f t="shared" si="14"/>
        <v>0</v>
      </c>
      <c r="I127" s="1692">
        <f t="shared" si="14"/>
        <v>0</v>
      </c>
      <c r="J127" s="1692">
        <f t="shared" si="14"/>
        <v>0</v>
      </c>
      <c r="K127" s="1692">
        <f t="shared" si="14"/>
        <v>92642</v>
      </c>
      <c r="L127" s="1692">
        <f t="shared" si="14"/>
        <v>60000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15224</v>
      </c>
      <c r="D129" s="1699">
        <f t="shared" ref="D129:L129" si="15">SUM(D120,D127,D128)</f>
        <v>0</v>
      </c>
      <c r="E129" s="1699">
        <f t="shared" si="15"/>
        <v>9856</v>
      </c>
      <c r="F129" s="1699">
        <f t="shared" si="15"/>
        <v>22652</v>
      </c>
      <c r="G129" s="1699">
        <f t="shared" si="15"/>
        <v>44910</v>
      </c>
      <c r="H129" s="1699">
        <f t="shared" si="15"/>
        <v>0</v>
      </c>
      <c r="I129" s="1699">
        <f t="shared" si="15"/>
        <v>0</v>
      </c>
      <c r="J129" s="1699">
        <f t="shared" si="15"/>
        <v>0</v>
      </c>
      <c r="K129" s="1699">
        <f t="shared" si="15"/>
        <v>92642</v>
      </c>
      <c r="L129" s="1699">
        <f t="shared" si="15"/>
        <v>60000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9" t="s">
        <v>641</v>
      </c>
      <c r="B151" s="2179"/>
      <c r="C151" s="1692">
        <f>SUM(C129,C130,C139,C149,C150)</f>
        <v>15224</v>
      </c>
      <c r="D151" s="1692">
        <f t="shared" ref="D151:K151" si="16">SUM(D129,D130,D139,D149,D150)</f>
        <v>0</v>
      </c>
      <c r="E151" s="1692">
        <f t="shared" si="16"/>
        <v>9856</v>
      </c>
      <c r="F151" s="1692">
        <f t="shared" si="16"/>
        <v>22652</v>
      </c>
      <c r="G151" s="1692">
        <f t="shared" si="16"/>
        <v>44910</v>
      </c>
      <c r="H151" s="1692">
        <f t="shared" si="16"/>
        <v>0</v>
      </c>
      <c r="I151" s="1692">
        <f t="shared" si="16"/>
        <v>0</v>
      </c>
      <c r="J151" s="1692">
        <f t="shared" si="16"/>
        <v>0</v>
      </c>
      <c r="K151" s="1692">
        <f t="shared" si="16"/>
        <v>92642</v>
      </c>
      <c r="L151" s="1692">
        <f>SUM(L129,L130,L139,L149,L150)</f>
        <v>60000</v>
      </c>
    </row>
    <row r="152" spans="1:14" ht="12.75" customHeight="1" thickTop="1" x14ac:dyDescent="0.2">
      <c r="A152" s="2202" t="s">
        <v>1240</v>
      </c>
      <c r="B152" s="2203"/>
      <c r="C152" s="619"/>
      <c r="D152" s="619"/>
      <c r="E152" s="619"/>
      <c r="F152" s="619"/>
      <c r="G152" s="619"/>
      <c r="H152" s="619"/>
      <c r="I152" s="619"/>
      <c r="J152" s="617"/>
      <c r="K152" s="1706">
        <f>'Revenues 9-14'!D275-'Expenditures 15-22'!K151</f>
        <v>-20137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1835</v>
      </c>
      <c r="I169" s="617"/>
      <c r="J169" s="617"/>
      <c r="K169" s="1693">
        <f>SUM(C169:H169)</f>
        <v>1835</v>
      </c>
      <c r="L169" s="657">
        <v>2085</v>
      </c>
    </row>
    <row r="170" spans="1:14" ht="33.75" customHeight="1" x14ac:dyDescent="0.2">
      <c r="A170" s="670" t="s">
        <v>1769</v>
      </c>
      <c r="B170" s="672" t="s">
        <v>31</v>
      </c>
      <c r="C170" s="617"/>
      <c r="D170" s="617"/>
      <c r="E170" s="617"/>
      <c r="F170" s="617"/>
      <c r="G170" s="617"/>
      <c r="H170" s="569">
        <v>4798</v>
      </c>
      <c r="I170" s="617"/>
      <c r="J170" s="617"/>
      <c r="K170" s="1693">
        <f>SUM(C170:J170)</f>
        <v>4798</v>
      </c>
      <c r="L170" s="569">
        <v>4546</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6633</v>
      </c>
      <c r="I172" s="639"/>
      <c r="J172" s="617"/>
      <c r="K172" s="1699">
        <f>SUM(K168,K169,K170,K171)</f>
        <v>6633</v>
      </c>
      <c r="L172" s="1699">
        <f>SUM(L168,L169,L170,L171)</f>
        <v>6631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6633</v>
      </c>
      <c r="I174" s="639"/>
      <c r="J174" s="617"/>
      <c r="K174" s="1699">
        <f>SUM(K160,K172,K173)</f>
        <v>6633</v>
      </c>
      <c r="L174" s="1699">
        <f>SUM(L160,L172,L173)</f>
        <v>6631</v>
      </c>
    </row>
    <row r="175" spans="1:14" ht="13.5" thickTop="1" x14ac:dyDescent="0.2">
      <c r="A175" s="2182" t="s">
        <v>1053</v>
      </c>
      <c r="B175" s="2183"/>
      <c r="C175" s="617"/>
      <c r="D175" s="617"/>
      <c r="E175" s="617"/>
      <c r="F175" s="617"/>
      <c r="G175" s="617"/>
      <c r="H175" s="619"/>
      <c r="I175" s="617"/>
      <c r="J175" s="617"/>
      <c r="K175" s="1706">
        <f>'Revenues 9-14'!E275-'Expenditures 15-22'!K174</f>
        <v>-12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21824</v>
      </c>
      <c r="D182" s="466">
        <v>649</v>
      </c>
      <c r="E182" s="466">
        <v>4292</v>
      </c>
      <c r="F182" s="466">
        <v>8120</v>
      </c>
      <c r="G182" s="466"/>
      <c r="H182" s="466"/>
      <c r="I182" s="467"/>
      <c r="J182" s="467"/>
      <c r="K182" s="1693">
        <f>SUM(C182:J182)</f>
        <v>34885</v>
      </c>
      <c r="L182" s="466">
        <v>33900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21824</v>
      </c>
      <c r="D184" s="1699">
        <f t="shared" ref="D184:J184" si="17">SUM(D180,D182,D183)</f>
        <v>649</v>
      </c>
      <c r="E184" s="1699">
        <f t="shared" si="17"/>
        <v>4292</v>
      </c>
      <c r="F184" s="1699">
        <f t="shared" si="17"/>
        <v>8120</v>
      </c>
      <c r="G184" s="1699">
        <f t="shared" si="17"/>
        <v>0</v>
      </c>
      <c r="H184" s="1699">
        <f t="shared" si="17"/>
        <v>0</v>
      </c>
      <c r="I184" s="1699">
        <f t="shared" si="17"/>
        <v>0</v>
      </c>
      <c r="J184" s="1699">
        <f t="shared" si="17"/>
        <v>0</v>
      </c>
      <c r="K184" s="1699">
        <f>SUM(K180,K182,K183)</f>
        <v>34885</v>
      </c>
      <c r="L184" s="1699">
        <f>SUM(L180, L182:L183)</f>
        <v>33900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5469</v>
      </c>
      <c r="I205" s="617"/>
      <c r="J205" s="617"/>
      <c r="K205" s="1707">
        <f>SUM(H205)</f>
        <v>5469</v>
      </c>
      <c r="L205" s="535">
        <v>5469</v>
      </c>
    </row>
    <row r="206" spans="1:14" ht="30" customHeight="1" x14ac:dyDescent="0.2">
      <c r="A206" s="682" t="s">
        <v>1770</v>
      </c>
      <c r="B206" s="673" t="s">
        <v>31</v>
      </c>
      <c r="C206" s="617"/>
      <c r="D206" s="617"/>
      <c r="E206" s="617"/>
      <c r="F206" s="617"/>
      <c r="G206" s="617"/>
      <c r="H206" s="466">
        <v>33183</v>
      </c>
      <c r="I206" s="617"/>
      <c r="J206" s="617"/>
      <c r="K206" s="1693">
        <f>SUM(H206)</f>
        <v>33183</v>
      </c>
      <c r="L206" s="466">
        <v>33183</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38652</v>
      </c>
      <c r="I208" s="617"/>
      <c r="J208" s="617"/>
      <c r="K208" s="1699">
        <f>SUM(K204,K205,K206,K207)</f>
        <v>38652</v>
      </c>
      <c r="L208" s="1699">
        <f>SUM(L204,L205,L206,L207)</f>
        <v>38652</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21824</v>
      </c>
      <c r="D210" s="1692">
        <f>SUM(D184,D185)</f>
        <v>649</v>
      </c>
      <c r="E210" s="1692">
        <f>SUM(E184,E185,E196)</f>
        <v>4292</v>
      </c>
      <c r="F210" s="1692">
        <f>SUM(F184,F185)</f>
        <v>8120</v>
      </c>
      <c r="G210" s="1692">
        <f>SUM(G184,G185)</f>
        <v>0</v>
      </c>
      <c r="H210" s="1692">
        <f>SUM(H184,H185,H196,H208,H209)</f>
        <v>38652</v>
      </c>
      <c r="I210" s="1692">
        <f>SUM(I184,I185)</f>
        <v>0</v>
      </c>
      <c r="J210" s="1692">
        <f>SUM(J184,J185)</f>
        <v>0</v>
      </c>
      <c r="K210" s="1693">
        <f>SUM(K184,K185,K196,K208,K209)</f>
        <v>73537</v>
      </c>
      <c r="L210" s="1692">
        <f>SUM(L184,L185,L196,L208,L209)</f>
        <v>72552</v>
      </c>
    </row>
    <row r="211" spans="1:14" ht="13.5" thickTop="1" x14ac:dyDescent="0.2">
      <c r="A211" s="2182" t="s">
        <v>1053</v>
      </c>
      <c r="B211" s="2183"/>
      <c r="C211" s="619"/>
      <c r="D211" s="619"/>
      <c r="E211" s="619"/>
      <c r="F211" s="619"/>
      <c r="G211" s="619"/>
      <c r="H211" s="619"/>
      <c r="I211" s="617"/>
      <c r="J211" s="617"/>
      <c r="K211" s="1706">
        <f>'Revenues 9-14'!F275-'Expenditures 15-22'!K210</f>
        <v>26886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3401</v>
      </c>
      <c r="E215" s="617"/>
      <c r="F215" s="617"/>
      <c r="G215" s="617"/>
      <c r="H215" s="617"/>
      <c r="I215" s="617"/>
      <c r="J215" s="617"/>
      <c r="K215" s="1693">
        <f>D215</f>
        <v>3401</v>
      </c>
      <c r="L215" s="466">
        <v>3500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6406</v>
      </c>
      <c r="E217" s="617"/>
      <c r="F217" s="617"/>
      <c r="G217" s="617"/>
      <c r="H217" s="617"/>
      <c r="I217" s="617"/>
      <c r="J217" s="617"/>
      <c r="K217" s="1693">
        <f t="shared" si="19"/>
        <v>6406</v>
      </c>
      <c r="L217" s="466">
        <v>6600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9807</v>
      </c>
      <c r="E229" s="617"/>
      <c r="F229" s="617"/>
      <c r="G229" s="617"/>
      <c r="H229" s="617"/>
      <c r="I229" s="617"/>
      <c r="J229" s="617"/>
      <c r="K229" s="1692">
        <f>SUM(K215:K228)</f>
        <v>9807</v>
      </c>
      <c r="L229" s="1692">
        <f>SUM(L215:L228)</f>
        <v>10100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96</v>
      </c>
      <c r="E245" s="617"/>
      <c r="F245" s="617"/>
      <c r="G245" s="617"/>
      <c r="H245" s="617"/>
      <c r="I245" s="617"/>
      <c r="J245" s="617"/>
      <c r="K245" s="1694">
        <f>D245</f>
        <v>96</v>
      </c>
      <c r="L245" s="481">
        <v>100</v>
      </c>
    </row>
    <row r="246" spans="1:12" x14ac:dyDescent="0.2">
      <c r="A246" s="1526" t="s">
        <v>872</v>
      </c>
      <c r="B246" s="615">
        <v>2320</v>
      </c>
      <c r="C246" s="617"/>
      <c r="D246" s="466">
        <v>873</v>
      </c>
      <c r="E246" s="617"/>
      <c r="F246" s="617"/>
      <c r="G246" s="617"/>
      <c r="H246" s="617"/>
      <c r="I246" s="617"/>
      <c r="J246" s="617"/>
      <c r="K246" s="1694">
        <f t="shared" ref="K246:K256" si="21">D246</f>
        <v>873</v>
      </c>
      <c r="L246" s="466">
        <v>1000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969</v>
      </c>
      <c r="E257" s="617"/>
      <c r="F257" s="617"/>
      <c r="G257" s="617"/>
      <c r="H257" s="617"/>
      <c r="I257" s="617"/>
      <c r="J257" s="617"/>
      <c r="K257" s="1692">
        <f>SUM(K245:K256)</f>
        <v>969</v>
      </c>
      <c r="L257" s="1692">
        <f>SUM(L245:L256)</f>
        <v>1100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261</v>
      </c>
      <c r="E259" s="617"/>
      <c r="F259" s="617"/>
      <c r="G259" s="617"/>
      <c r="H259" s="617"/>
      <c r="I259" s="617"/>
      <c r="J259" s="617"/>
      <c r="K259" s="1694">
        <f>D259</f>
        <v>261</v>
      </c>
      <c r="L259" s="481">
        <v>350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261</v>
      </c>
      <c r="E261" s="617"/>
      <c r="F261" s="617"/>
      <c r="G261" s="617"/>
      <c r="H261" s="617"/>
      <c r="I261" s="617"/>
      <c r="J261" s="617"/>
      <c r="K261" s="1692">
        <f>SUM(K259:K260)</f>
        <v>261</v>
      </c>
      <c r="L261" s="1692">
        <f>SUM(L259:L260)</f>
        <v>350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3557</v>
      </c>
      <c r="E263" s="617"/>
      <c r="F263" s="617"/>
      <c r="G263" s="617"/>
      <c r="H263" s="617"/>
      <c r="I263" s="617"/>
      <c r="J263" s="617"/>
      <c r="K263" s="1694">
        <f>D263</f>
        <v>3557</v>
      </c>
      <c r="L263" s="481">
        <v>3600</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2007</v>
      </c>
      <c r="E266" s="617"/>
      <c r="F266" s="617"/>
      <c r="G266" s="617"/>
      <c r="H266" s="617"/>
      <c r="I266" s="617"/>
      <c r="J266" s="617"/>
      <c r="K266" s="1694">
        <f t="shared" si="22"/>
        <v>2007</v>
      </c>
      <c r="L266" s="466">
        <v>2500</v>
      </c>
    </row>
    <row r="267" spans="1:14" x14ac:dyDescent="0.2">
      <c r="A267" s="1526" t="s">
        <v>1010</v>
      </c>
      <c r="B267" s="615">
        <v>2550</v>
      </c>
      <c r="C267" s="617"/>
      <c r="D267" s="466">
        <v>2389</v>
      </c>
      <c r="E267" s="617"/>
      <c r="F267" s="617"/>
      <c r="G267" s="617"/>
      <c r="H267" s="617"/>
      <c r="I267" s="617"/>
      <c r="J267" s="617"/>
      <c r="K267" s="1694">
        <f t="shared" si="22"/>
        <v>2389</v>
      </c>
      <c r="L267" s="466">
        <v>2200</v>
      </c>
    </row>
    <row r="268" spans="1:14" x14ac:dyDescent="0.2">
      <c r="A268" s="1526" t="s">
        <v>102</v>
      </c>
      <c r="B268" s="615">
        <v>2560</v>
      </c>
      <c r="C268" s="617"/>
      <c r="D268" s="466">
        <v>2723</v>
      </c>
      <c r="E268" s="617"/>
      <c r="F268" s="617"/>
      <c r="G268" s="617"/>
      <c r="H268" s="617"/>
      <c r="I268" s="617"/>
      <c r="J268" s="617"/>
      <c r="K268" s="1694">
        <f t="shared" si="22"/>
        <v>2723</v>
      </c>
      <c r="L268" s="466">
        <v>2900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10676</v>
      </c>
      <c r="E270" s="617"/>
      <c r="F270" s="617"/>
      <c r="G270" s="617"/>
      <c r="H270" s="617"/>
      <c r="I270" s="617"/>
      <c r="J270" s="617"/>
      <c r="K270" s="1692">
        <f>SUM(K263:K269)</f>
        <v>10676</v>
      </c>
      <c r="L270" s="1692">
        <f>SUM(L263:L269)</f>
        <v>11200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11906</v>
      </c>
      <c r="E279" s="617"/>
      <c r="F279" s="617"/>
      <c r="G279" s="617"/>
      <c r="H279" s="617"/>
      <c r="I279" s="617"/>
      <c r="J279" s="617"/>
      <c r="K279" s="1699">
        <f>SUM(K238,K243,K257,K261,K270,K277,K278)</f>
        <v>11906</v>
      </c>
      <c r="L279" s="1699">
        <f>SUM(L238,L243,L257,L261,L270,L277,L278)</f>
        <v>12650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0" t="s">
        <v>526</v>
      </c>
      <c r="B295" s="2201"/>
      <c r="C295" s="617"/>
      <c r="D295" s="1692">
        <f>SUM(D229,D279,D280,D285)</f>
        <v>21713</v>
      </c>
      <c r="E295" s="617"/>
      <c r="F295" s="617"/>
      <c r="G295" s="617"/>
      <c r="H295" s="1692">
        <f>H293</f>
        <v>0</v>
      </c>
      <c r="I295" s="617"/>
      <c r="J295" s="617"/>
      <c r="K295" s="1692">
        <f>SUM(K229,K279,K280,K285,K293,K294)</f>
        <v>21713</v>
      </c>
      <c r="L295" s="1692">
        <f>SUM(L229,L279,L280,L285,L293,L294)</f>
        <v>22750</v>
      </c>
    </row>
    <row r="296" spans="1:14" ht="13.5" thickTop="1" x14ac:dyDescent="0.2">
      <c r="A296" s="2182" t="s">
        <v>1053</v>
      </c>
      <c r="B296" s="2183"/>
      <c r="C296" s="617"/>
      <c r="D296" s="619"/>
      <c r="E296" s="617"/>
      <c r="F296" s="617"/>
      <c r="G296" s="617"/>
      <c r="H296" s="688"/>
      <c r="I296" s="617"/>
      <c r="J296" s="617"/>
      <c r="K296" s="1706">
        <f>'Revenues 9-14'!G275-'Expenditures 15-22'!K295</f>
        <v>2476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7" t="s">
        <v>295</v>
      </c>
      <c r="B312" s="219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3" t="s">
        <v>1053</v>
      </c>
      <c r="B313" s="219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4298</v>
      </c>
      <c r="F320" s="467"/>
      <c r="G320" s="467"/>
      <c r="H320" s="467"/>
      <c r="I320" s="467"/>
      <c r="J320" s="467"/>
      <c r="K320" s="1693">
        <f t="shared" ref="K320:K327" si="24">SUM(C320:J320)</f>
        <v>4298</v>
      </c>
      <c r="L320" s="467">
        <v>4298</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6580</v>
      </c>
      <c r="F322" s="467"/>
      <c r="G322" s="467"/>
      <c r="H322" s="467"/>
      <c r="I322" s="467"/>
      <c r="J322" s="467"/>
      <c r="K322" s="1693">
        <f t="shared" si="24"/>
        <v>6580</v>
      </c>
      <c r="L322" s="467">
        <v>6580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970</v>
      </c>
      <c r="F325" s="467"/>
      <c r="G325" s="467"/>
      <c r="H325" s="467"/>
      <c r="I325" s="467"/>
      <c r="J325" s="467"/>
      <c r="K325" s="1693">
        <f t="shared" si="24"/>
        <v>970</v>
      </c>
      <c r="L325" s="467">
        <v>2000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58</v>
      </c>
      <c r="F327" s="467"/>
      <c r="G327" s="467"/>
      <c r="H327" s="467"/>
      <c r="I327" s="467"/>
      <c r="J327" s="467"/>
      <c r="K327" s="1693">
        <f t="shared" si="24"/>
        <v>58</v>
      </c>
      <c r="L327" s="467">
        <v>1000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11906</v>
      </c>
      <c r="F330" s="1692">
        <f t="shared" si="25"/>
        <v>0</v>
      </c>
      <c r="G330" s="1692">
        <f t="shared" si="25"/>
        <v>0</v>
      </c>
      <c r="H330" s="1692">
        <f t="shared" si="25"/>
        <v>0</v>
      </c>
      <c r="I330" s="1692">
        <f t="shared" si="25"/>
        <v>0</v>
      </c>
      <c r="J330" s="1692">
        <f t="shared" si="25"/>
        <v>0</v>
      </c>
      <c r="K330" s="1692">
        <f>SUM(K319:K329)</f>
        <v>11906</v>
      </c>
      <c r="L330" s="1692">
        <f>SUM(L319:L329)</f>
        <v>13878</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11906</v>
      </c>
      <c r="F342" s="1692">
        <f>SUM(F330)</f>
        <v>0</v>
      </c>
      <c r="G342" s="1692">
        <f>SUM(G330)</f>
        <v>0</v>
      </c>
      <c r="H342" s="1692">
        <f>SUM(H330,H334,H340)</f>
        <v>0</v>
      </c>
      <c r="I342" s="1692">
        <f>SUM(I330)</f>
        <v>0</v>
      </c>
      <c r="J342" s="1692">
        <f>SUM(J330)</f>
        <v>0</v>
      </c>
      <c r="K342" s="1692">
        <f>SUM(K330,K334,K340)</f>
        <v>11906</v>
      </c>
      <c r="L342" s="1699">
        <f>SUM(L330,L340,L341)</f>
        <v>13878</v>
      </c>
    </row>
    <row r="343" spans="1:14" ht="12.75" customHeight="1" thickTop="1" x14ac:dyDescent="0.2">
      <c r="A343" s="2195" t="s">
        <v>1053</v>
      </c>
      <c r="B343" s="2196"/>
      <c r="C343" s="617"/>
      <c r="D343" s="617"/>
      <c r="E343" s="617"/>
      <c r="F343" s="617"/>
      <c r="G343" s="617"/>
      <c r="H343" s="617"/>
      <c r="I343" s="617"/>
      <c r="J343" s="617"/>
      <c r="K343" s="1706">
        <f>'Revenues 9-14'!J275-'Expenditures 15-22'!K342</f>
        <v>10464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v>7000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7000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7000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7000</v>
      </c>
    </row>
    <row r="368" spans="1:14" ht="13.5" thickTop="1" x14ac:dyDescent="0.2">
      <c r="A368" s="2182" t="s">
        <v>1053</v>
      </c>
      <c r="B368" s="218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d21dc803-237d-4c68-8692-8d731fd29118"/>
    <ds:schemaRef ds:uri="http://purl.org/dc/dcmitype/"/>
    <ds:schemaRef ds:uri="http://schemas.microsoft.com/office/2006/documentManagement/types"/>
    <ds:schemaRef ds:uri="http://purl.org/dc/term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2018-09-10T19:15:11Z</cp:lastPrinted>
  <dcterms:created xsi:type="dcterms:W3CDTF">2003-10-29T19:06:34Z</dcterms:created>
  <dcterms:modified xsi:type="dcterms:W3CDTF">2018-10-31T14:37:53Z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