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1615" windowHeight="6390" tabRatio="98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C38" i="174" l="1"/>
  <c r="B38" i="174"/>
  <c r="K18" i="185"/>
  <c r="J18" i="185"/>
  <c r="I16" i="185"/>
  <c r="H16" i="185"/>
  <c r="G16" i="185"/>
  <c r="F16" i="185"/>
  <c r="E16" i="185"/>
  <c r="L15" i="185"/>
  <c r="L14" i="185"/>
  <c r="I13" i="185"/>
  <c r="H13" i="185"/>
  <c r="G13" i="185"/>
  <c r="F13" i="185"/>
  <c r="E13" i="185"/>
  <c r="L12" i="185"/>
  <c r="L11" i="185"/>
  <c r="B4" i="185"/>
  <c r="I26" i="184"/>
  <c r="H26" i="184"/>
  <c r="G26" i="184"/>
  <c r="F26" i="184"/>
  <c r="E26" i="184"/>
  <c r="L25" i="184"/>
  <c r="L24" i="184"/>
  <c r="L18" i="184"/>
  <c r="L19" i="184"/>
  <c r="E20" i="184"/>
  <c r="F20" i="184"/>
  <c r="G20" i="184"/>
  <c r="I20" i="184"/>
  <c r="L21" i="184"/>
  <c r="L22" i="184"/>
  <c r="E23" i="184"/>
  <c r="F23" i="184"/>
  <c r="G23" i="184"/>
  <c r="H23" i="184"/>
  <c r="I23" i="184"/>
  <c r="L27" i="184"/>
  <c r="K15" i="184"/>
  <c r="J15" i="184"/>
  <c r="I15" i="184"/>
  <c r="H15" i="184"/>
  <c r="G15" i="184"/>
  <c r="F15" i="184"/>
  <c r="E15" i="184"/>
  <c r="L14" i="184"/>
  <c r="L13" i="184"/>
  <c r="L12" i="184"/>
  <c r="L11" i="184"/>
  <c r="B4" i="184"/>
  <c r="L27" i="183"/>
  <c r="L26" i="183"/>
  <c r="L25" i="183"/>
  <c r="I18" i="183"/>
  <c r="G18" i="183"/>
  <c r="F18" i="183"/>
  <c r="E18" i="183"/>
  <c r="L17" i="183"/>
  <c r="L16" i="183"/>
  <c r="K15" i="183"/>
  <c r="K20" i="183" s="1"/>
  <c r="J15" i="183"/>
  <c r="J20" i="183" s="1"/>
  <c r="I15" i="183"/>
  <c r="I20" i="183" s="1"/>
  <c r="H15" i="183"/>
  <c r="H20" i="183" s="1"/>
  <c r="G15" i="183"/>
  <c r="F15" i="183"/>
  <c r="E15" i="183"/>
  <c r="L14" i="183"/>
  <c r="L13" i="183"/>
  <c r="L12" i="183"/>
  <c r="L11" i="183"/>
  <c r="B4" i="183"/>
  <c r="I21" i="179"/>
  <c r="H21" i="179"/>
  <c r="G21" i="179"/>
  <c r="F21" i="179"/>
  <c r="E21" i="179"/>
  <c r="I18" i="179"/>
  <c r="G18" i="179"/>
  <c r="F18" i="179"/>
  <c r="E18" i="179"/>
  <c r="F15" i="179"/>
  <c r="F24" i="179" s="1"/>
  <c r="G15" i="179"/>
  <c r="G24" i="179" s="1"/>
  <c r="H15" i="179"/>
  <c r="I15" i="179"/>
  <c r="J15" i="179"/>
  <c r="J24" i="179" s="1"/>
  <c r="K15" i="179"/>
  <c r="K24" i="179" s="1"/>
  <c r="E15" i="179"/>
  <c r="F20" i="183" l="1"/>
  <c r="F24" i="183" s="1"/>
  <c r="J24" i="183"/>
  <c r="J20" i="185" s="1"/>
  <c r="H24" i="179"/>
  <c r="H24" i="183" s="1"/>
  <c r="E20" i="183"/>
  <c r="E24" i="183" s="1"/>
  <c r="E24" i="179"/>
  <c r="L26" i="184"/>
  <c r="G20" i="183"/>
  <c r="G24" i="183" s="1"/>
  <c r="L16" i="185"/>
  <c r="E18" i="185"/>
  <c r="I24" i="179"/>
  <c r="I24" i="183" s="1"/>
  <c r="G18" i="185"/>
  <c r="H18" i="185"/>
  <c r="G38" i="174"/>
  <c r="L13" i="185"/>
  <c r="K24" i="183"/>
  <c r="K20" i="185" s="1"/>
  <c r="F18" i="185"/>
  <c r="I18" i="185"/>
  <c r="L23" i="184"/>
  <c r="L15" i="184"/>
  <c r="L20" i="184"/>
  <c r="L18" i="183"/>
  <c r="L15" i="183"/>
  <c r="C33" i="173"/>
  <c r="N21" i="3"/>
  <c r="L33" i="3"/>
  <c r="F30" i="127"/>
  <c r="F27" i="127"/>
  <c r="F16" i="127"/>
  <c r="F15" i="127"/>
  <c r="F6" i="127"/>
  <c r="F9" i="127" s="1"/>
  <c r="I12" i="11"/>
  <c r="D12" i="11"/>
  <c r="D8" i="11"/>
  <c r="D5" i="5"/>
  <c r="G5" i="5"/>
  <c r="G20" i="185" l="1"/>
  <c r="L20" i="183"/>
  <c r="E20" i="185"/>
  <c r="H20" i="185"/>
  <c r="I20" i="185"/>
  <c r="D45" i="174" s="1"/>
  <c r="F20" i="185"/>
  <c r="D35" i="171" s="1"/>
  <c r="L18" i="185"/>
  <c r="F17" i="127"/>
  <c r="F18" i="127" s="1"/>
  <c r="D246" i="29"/>
  <c r="L39" i="3"/>
  <c r="E325" i="29" l="1"/>
  <c r="D280" i="29"/>
  <c r="D269" i="29"/>
  <c r="D268" i="29"/>
  <c r="D267" i="29"/>
  <c r="D266" i="29"/>
  <c r="D264" i="29"/>
  <c r="D259" i="29"/>
  <c r="D254" i="29"/>
  <c r="D241" i="29"/>
  <c r="D240" i="29"/>
  <c r="D234" i="29"/>
  <c r="D233" i="29"/>
  <c r="D219" i="29"/>
  <c r="D217" i="29"/>
  <c r="D215" i="29"/>
  <c r="E182" i="29"/>
  <c r="H170" i="29"/>
  <c r="H169" i="29"/>
  <c r="G124" i="29"/>
  <c r="F124" i="29"/>
  <c r="F63" i="29" l="1"/>
  <c r="E79" i="29"/>
  <c r="F75" i="29"/>
  <c r="E75" i="29"/>
  <c r="D75" i="29"/>
  <c r="C75" i="29"/>
  <c r="D63" i="29"/>
  <c r="F61" i="29"/>
  <c r="E61" i="29"/>
  <c r="E60" i="29"/>
  <c r="D60" i="29"/>
  <c r="C60" i="29"/>
  <c r="D55" i="29"/>
  <c r="C55" i="29"/>
  <c r="D50" i="29"/>
  <c r="E45" i="29"/>
  <c r="D45" i="29"/>
  <c r="C45" i="29"/>
  <c r="E44" i="29"/>
  <c r="D44" i="29"/>
  <c r="C44" i="29"/>
  <c r="E38" i="29"/>
  <c r="C38" i="29"/>
  <c r="D37" i="29"/>
  <c r="C37" i="29"/>
  <c r="F10" i="29"/>
  <c r="D10" i="29"/>
  <c r="C10" i="29"/>
  <c r="D8" i="29"/>
  <c r="C8" i="29"/>
  <c r="F5" i="29"/>
  <c r="E5" i="29"/>
  <c r="D5" i="29"/>
  <c r="C5" i="29"/>
  <c r="J65" i="5"/>
  <c r="I65" i="5"/>
  <c r="G203" i="5"/>
  <c r="G65" i="5"/>
  <c r="F203" i="5"/>
  <c r="F65" i="5"/>
  <c r="E65" i="5"/>
  <c r="D65" i="5"/>
  <c r="C268" i="5"/>
  <c r="C203" i="5"/>
  <c r="C189" i="5"/>
  <c r="C65"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3" i="179" l="1"/>
  <c r="L22" i="179"/>
  <c r="L21" i="179"/>
  <c r="L20" i="179"/>
  <c r="L19" i="179"/>
  <c r="L18" i="179"/>
  <c r="L17" i="179"/>
  <c r="L16" i="179"/>
  <c r="L15" i="179"/>
  <c r="L14" i="179"/>
  <c r="L13" i="179"/>
  <c r="L12" i="179"/>
  <c r="L11" i="179"/>
  <c r="L24" i="179" l="1"/>
  <c r="L24" i="183" s="1"/>
  <c r="L20" i="185"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1" i="185"/>
  <c r="B2" i="179"/>
  <c r="B2" i="184"/>
  <c r="B2" i="183"/>
  <c r="B2" i="185"/>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D7734" i="106" s="1"/>
  <c r="B7726" i="106"/>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L127" i="29"/>
  <c r="L129" i="29" s="1"/>
  <c r="L139" i="29"/>
  <c r="L149" i="29"/>
  <c r="I7" i="145"/>
  <c r="I6" i="145"/>
  <c r="D78" i="36"/>
  <c r="K75" i="29"/>
  <c r="K130" i="29"/>
  <c r="K185" i="29"/>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B7001" i="106" s="1"/>
  <c r="D7001" i="106" s="1"/>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2" i="106"/>
  <c r="D6892" i="106" s="1"/>
  <c r="K28" i="29"/>
  <c r="B6894" i="106"/>
  <c r="D6894" i="106" s="1"/>
  <c r="K29" i="29"/>
  <c r="B6895" i="106" s="1"/>
  <c r="D6895" i="106" s="1"/>
  <c r="B6896" i="106"/>
  <c r="D6896" i="106" s="1"/>
  <c r="K30" i="29"/>
  <c r="B6897" i="106" s="1"/>
  <c r="D6897" i="106" s="1"/>
  <c r="B6898" i="106"/>
  <c r="D6898" i="106" s="1"/>
  <c r="K31" i="29"/>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D26" i="108"/>
  <c r="E26" i="108"/>
  <c r="F26" i="108"/>
  <c r="G26" i="108"/>
  <c r="E27" i="108"/>
  <c r="G27" i="108"/>
  <c r="F36" i="108"/>
  <c r="F37" i="108"/>
  <c r="G28" i="108"/>
  <c r="E29" i="108"/>
  <c r="E30" i="108"/>
  <c r="G30"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J210" i="29" l="1"/>
  <c r="B7072" i="106" s="1"/>
  <c r="D7072" i="106" s="1"/>
  <c r="B2029" i="106"/>
  <c r="D2029" i="106" s="1"/>
  <c r="M19" i="3"/>
  <c r="B276" i="106" s="1"/>
  <c r="D276" i="106" s="1"/>
  <c r="B2028" i="106"/>
  <c r="D2028" i="106" s="1"/>
  <c r="M18" i="3"/>
  <c r="B275" i="106" s="1"/>
  <c r="D275" i="106" s="1"/>
  <c r="J49" i="8"/>
  <c r="B4172" i="106" s="1"/>
  <c r="D4172" i="106" s="1"/>
  <c r="B2027" i="106"/>
  <c r="D2027" i="106" s="1"/>
  <c r="M17" i="3"/>
  <c r="B274" i="106" s="1"/>
  <c r="D274" i="106" s="1"/>
  <c r="I210" i="29"/>
  <c r="B7071" i="106" s="1"/>
  <c r="D7071" i="106" s="1"/>
  <c r="B1274" i="106"/>
  <c r="D1274" i="106" s="1"/>
  <c r="F67" i="34"/>
  <c r="D31" i="36"/>
  <c r="F31" i="108"/>
  <c r="D5" i="4"/>
  <c r="B3406" i="106" s="1"/>
  <c r="D3406" i="106" s="1"/>
  <c r="B7047" i="106"/>
  <c r="D7047" i="106" s="1"/>
  <c r="D11" i="37"/>
  <c r="F136" i="34"/>
  <c r="K24" i="12"/>
  <c r="H29" i="118"/>
  <c r="F19" i="7"/>
  <c r="B1807" i="106" s="1"/>
  <c r="D1807" i="106" s="1"/>
  <c r="F38" i="34"/>
  <c r="D24" i="37"/>
  <c r="B4270" i="106" s="1"/>
  <c r="D4270" i="106" s="1"/>
  <c r="D13" i="7"/>
  <c r="B3726" i="106" s="1"/>
  <c r="D3726" i="106" s="1"/>
  <c r="F36" i="34"/>
  <c r="I24" i="12"/>
  <c r="G172" i="5"/>
  <c r="G173" i="5" s="1"/>
  <c r="G352" i="29"/>
  <c r="G367" i="29" s="1"/>
  <c r="B3650" i="106" s="1"/>
  <c r="D3650" i="106" s="1"/>
  <c r="D12" i="7"/>
  <c r="B1769" i="106" s="1"/>
  <c r="D1769" i="106" s="1"/>
  <c r="G29" i="108"/>
  <c r="F45" i="34"/>
  <c r="F41" i="34"/>
  <c r="B5752" i="106"/>
  <c r="D5752" i="106" s="1"/>
  <c r="B5847" i="106"/>
  <c r="D5847" i="106" s="1"/>
  <c r="G5" i="4"/>
  <c r="B3409" i="106" s="1"/>
  <c r="D3409" i="106" s="1"/>
  <c r="D4" i="7"/>
  <c r="B1760" i="106" s="1"/>
  <c r="D1760" i="106" s="1"/>
  <c r="F49" i="34"/>
  <c r="D7" i="7"/>
  <c r="B1763" i="106" s="1"/>
  <c r="D1763" i="106" s="1"/>
  <c r="F172" i="5"/>
  <c r="B5644" i="106" s="1"/>
  <c r="D5644" i="106" s="1"/>
  <c r="L15" i="11"/>
  <c r="B3459" i="106" s="1"/>
  <c r="D3459" i="106" s="1"/>
  <c r="G15" i="145"/>
  <c r="H342" i="29"/>
  <c r="J274" i="5"/>
  <c r="B7054" i="106" s="1"/>
  <c r="D7054" i="106" s="1"/>
  <c r="D15" i="7"/>
  <c r="B1772" i="106" s="1"/>
  <c r="D1772" i="106" s="1"/>
  <c r="B1746" i="106"/>
  <c r="D1746" i="106" s="1"/>
  <c r="B5096" i="106"/>
  <c r="D5096" i="106" s="1"/>
  <c r="L367" i="29"/>
  <c r="H76" i="4"/>
  <c r="B3298" i="106" s="1"/>
  <c r="D3298" i="106" s="1"/>
  <c r="G210" i="29"/>
  <c r="F28" i="108"/>
  <c r="E28" i="108"/>
  <c r="F27" i="108"/>
  <c r="B2724" i="106"/>
  <c r="D2724" i="106" s="1"/>
  <c r="D11" i="7"/>
  <c r="B1768" i="106" s="1"/>
  <c r="D1768" i="106" s="1"/>
  <c r="F131" i="34"/>
  <c r="F128" i="34"/>
  <c r="L312" i="29"/>
  <c r="K285" i="29"/>
  <c r="B3724" i="106" s="1"/>
  <c r="D3724" i="106" s="1"/>
  <c r="K184" i="29"/>
  <c r="F13" i="4" s="1"/>
  <c r="B2596" i="106" s="1"/>
  <c r="D2596" i="106" s="1"/>
  <c r="L13" i="11"/>
  <c r="B2060" i="106" s="1"/>
  <c r="D2060" i="106" s="1"/>
  <c r="B1995" i="106"/>
  <c r="D1995" i="106" s="1"/>
  <c r="C109" i="5"/>
  <c r="B5121" i="106" s="1"/>
  <c r="D5121" i="106" s="1"/>
  <c r="D7245" i="106"/>
  <c r="F106" i="34"/>
  <c r="H173" i="5"/>
  <c r="B5906" i="106" s="1"/>
  <c r="D5906" i="106" s="1"/>
  <c r="K274" i="5"/>
  <c r="K7" i="4" s="1"/>
  <c r="B3718" i="106" s="1"/>
  <c r="D3718" i="106" s="1"/>
  <c r="B3619" i="106"/>
  <c r="D3619" i="106" s="1"/>
  <c r="D109" i="5"/>
  <c r="B5356" i="106" s="1"/>
  <c r="D5356" i="106" s="1"/>
  <c r="G109" i="5"/>
  <c r="G4" i="4" s="1"/>
  <c r="B2603" i="106" s="1"/>
  <c r="D2603" i="106" s="1"/>
  <c r="D17" i="7"/>
  <c r="B4104" i="106" s="1"/>
  <c r="D4104" i="106" s="1"/>
  <c r="D9" i="7"/>
  <c r="B1767" i="106" s="1"/>
  <c r="D1767" i="106" s="1"/>
  <c r="I274" i="5"/>
  <c r="I7" i="4" s="1"/>
  <c r="B4444" i="106" s="1"/>
  <c r="D4444" i="106" s="1"/>
  <c r="B5066" i="106"/>
  <c r="D5066" i="106" s="1"/>
  <c r="B7041" i="106"/>
  <c r="D7041" i="106" s="1"/>
  <c r="C342" i="29"/>
  <c r="B7216" i="106" s="1"/>
  <c r="D7216" i="106" s="1"/>
  <c r="H109" i="5"/>
  <c r="F111" i="34"/>
  <c r="E109" i="5"/>
  <c r="E4" i="4" s="1"/>
  <c r="B2630" i="106" s="1"/>
  <c r="D2630" i="106" s="1"/>
  <c r="C172" i="5"/>
  <c r="F127" i="34"/>
  <c r="D5" i="7"/>
  <c r="B1761" i="106" s="1"/>
  <c r="D1761" i="106" s="1"/>
  <c r="K173" i="5"/>
  <c r="K6" i="4" s="1"/>
  <c r="B3570" i="106" s="1"/>
  <c r="D3570" i="106" s="1"/>
  <c r="B7231" i="106"/>
  <c r="D7231" i="106" s="1"/>
  <c r="I129" i="29"/>
  <c r="B7037" i="106" s="1"/>
  <c r="D7037" i="106" s="1"/>
  <c r="I173" i="5"/>
  <c r="B4216" i="106" s="1"/>
  <c r="D4216" i="106" s="1"/>
  <c r="F130" i="34"/>
  <c r="L5" i="11"/>
  <c r="K28" i="118"/>
  <c r="O27" i="118" s="1"/>
  <c r="O29" i="118" s="1"/>
  <c r="B5161" i="106"/>
  <c r="D5161" i="106" s="1"/>
  <c r="L342" i="29"/>
  <c r="B7205" i="106"/>
  <c r="D7205" i="106" s="1"/>
  <c r="I342" i="29"/>
  <c r="B7222" i="106" s="1"/>
  <c r="D7222" i="106" s="1"/>
  <c r="B6899" i="106"/>
  <c r="D6899" i="106" s="1"/>
  <c r="F50" i="34"/>
  <c r="B6891" i="106"/>
  <c r="D6891" i="106" s="1"/>
  <c r="F46" i="34"/>
  <c r="B7235" i="106"/>
  <c r="D7235" i="106" s="1"/>
  <c r="B3621" i="106"/>
  <c r="D3621" i="106" s="1"/>
  <c r="C367" i="29"/>
  <c r="B3622" i="106" s="1"/>
  <c r="D3622" i="106" s="1"/>
  <c r="F44" i="34"/>
  <c r="F35" i="34"/>
  <c r="K350" i="29"/>
  <c r="F77" i="4"/>
  <c r="B3255" i="106" s="1"/>
  <c r="D3255" i="106" s="1"/>
  <c r="F21" i="8"/>
  <c r="J77" i="4"/>
  <c r="B6262" i="106" s="1"/>
  <c r="D6262" i="106" s="1"/>
  <c r="J129" i="29"/>
  <c r="B7038" i="106" s="1"/>
  <c r="D7038" i="106" s="1"/>
  <c r="D6103" i="106"/>
  <c r="H365" i="29"/>
  <c r="K76" i="4"/>
  <c r="B3586" i="106" s="1"/>
  <c r="D3586" i="106" s="1"/>
  <c r="C129" i="29"/>
  <c r="B1225" i="106" s="1"/>
  <c r="D1225" i="106" s="1"/>
  <c r="B3649" i="106"/>
  <c r="D3649" i="106" s="1"/>
  <c r="B1329" i="106"/>
  <c r="D1329" i="106" s="1"/>
  <c r="F61" i="34"/>
  <c r="E174" i="29"/>
  <c r="B1309" i="106" s="1"/>
  <c r="D1309" i="106" s="1"/>
  <c r="B1410" i="106"/>
  <c r="D1410"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J7" i="4" l="1"/>
  <c r="B1328" i="106"/>
  <c r="D1328" i="106" s="1"/>
  <c r="I151" i="29"/>
  <c r="F59" i="34" s="1"/>
  <c r="B4435" i="106"/>
  <c r="D4435" i="106" s="1"/>
  <c r="B5770" i="106"/>
  <c r="D5770" i="106" s="1"/>
  <c r="B7215" i="106"/>
  <c r="D7215" i="106" s="1"/>
  <c r="J151" i="29"/>
  <c r="B7052" i="106" s="1"/>
  <c r="D7052" i="106" s="1"/>
  <c r="K77" i="4"/>
  <c r="B3587" i="106" s="1"/>
  <c r="D3587" i="106" s="1"/>
  <c r="B2056" i="106"/>
  <c r="D2056" i="106" s="1"/>
  <c r="M16" i="3"/>
  <c r="F173" i="5"/>
  <c r="B5653" i="106" s="1"/>
  <c r="D5653" i="106" s="1"/>
  <c r="I6" i="4"/>
  <c r="B5011" i="106" s="1"/>
  <c r="D5011" i="106" s="1"/>
  <c r="N22" i="3"/>
  <c r="B283" i="106" s="1"/>
  <c r="D283" i="106" s="1"/>
  <c r="F66" i="34"/>
  <c r="B5778" i="106"/>
  <c r="D5778" i="106" s="1"/>
  <c r="G6" i="4"/>
  <c r="B2604" i="106" s="1"/>
  <c r="D2604" i="106" s="1"/>
  <c r="B7733" i="106"/>
  <c r="D7733" i="106" s="1"/>
  <c r="K26" i="12"/>
  <c r="B7743" i="106" s="1"/>
  <c r="D7743" i="106" s="1"/>
  <c r="C151" i="29"/>
  <c r="B1226" i="106" s="1"/>
  <c r="D1226" i="106" s="1"/>
  <c r="B5914" i="106"/>
  <c r="D5914" i="106" s="1"/>
  <c r="H77" i="4"/>
  <c r="B3299" i="106" s="1"/>
  <c r="D3299" i="106" s="1"/>
  <c r="B1996" i="106"/>
  <c r="D1996" i="106" s="1"/>
  <c r="I26" i="12"/>
  <c r="B7741" i="106" s="1"/>
  <c r="D7741" i="106" s="1"/>
  <c r="D7256" i="106"/>
  <c r="D7251" i="106"/>
  <c r="B3628" i="106"/>
  <c r="D3628" i="106" s="1"/>
  <c r="D274" i="5"/>
  <c r="B5507" i="106" s="1"/>
  <c r="D5507" i="106" s="1"/>
  <c r="H151" i="29"/>
  <c r="B1273" i="106" s="1"/>
  <c r="D1273" i="106" s="1"/>
  <c r="L114" i="29"/>
  <c r="B1381" i="106"/>
  <c r="D1381" i="106" s="1"/>
  <c r="B1317" i="106"/>
  <c r="D1317" i="106" s="1"/>
  <c r="B1365" i="106"/>
  <c r="D1365" i="106" s="1"/>
  <c r="F65" i="34"/>
  <c r="F41" i="108"/>
  <c r="G43" i="108" s="1"/>
  <c r="C114" i="29"/>
  <c r="B757" i="106" s="1"/>
  <c r="D757" i="106" s="1"/>
  <c r="H6" i="4"/>
  <c r="B2656" i="106" s="1"/>
  <c r="D2656" i="106" s="1"/>
  <c r="B5527" i="106"/>
  <c r="D5527" i="106" s="1"/>
  <c r="B6024" i="106"/>
  <c r="D6024" i="106" s="1"/>
  <c r="C4" i="4"/>
  <c r="B2551" i="106" s="1"/>
  <c r="D2551" i="106" s="1"/>
  <c r="D19" i="7"/>
  <c r="B1775" i="106" s="1"/>
  <c r="D1775" i="106" s="1"/>
  <c r="L16" i="11"/>
  <c r="B2061" i="106" s="1"/>
  <c r="D2061" i="106" s="1"/>
  <c r="F73" i="34"/>
  <c r="G15" i="4"/>
  <c r="B6032" i="106" s="1"/>
  <c r="D6032" i="106" s="1"/>
  <c r="H275" i="5"/>
  <c r="B5915" i="106" s="1"/>
  <c r="D5915" i="106" s="1"/>
  <c r="B6014" i="106"/>
  <c r="D6014" i="106" s="1"/>
  <c r="D4" i="4"/>
  <c r="B2564" i="106" s="1"/>
  <c r="D2564" i="106" s="1"/>
  <c r="K365" i="29"/>
  <c r="K16" i="4" s="1"/>
  <c r="B5214" i="106"/>
  <c r="D5214" i="106" s="1"/>
  <c r="C173" i="5"/>
  <c r="H367" i="29"/>
  <c r="B3660" i="106" s="1"/>
  <c r="D3660" i="106" s="1"/>
  <c r="B7242" i="106"/>
  <c r="D7242" i="106" s="1"/>
  <c r="K342" i="29"/>
  <c r="F13" i="34" s="1"/>
  <c r="D7252" i="106"/>
  <c r="B6025" i="106"/>
  <c r="D6025" i="106" s="1"/>
  <c r="H4" i="4"/>
  <c r="B1879" i="106"/>
  <c r="D1879" i="106" s="1"/>
  <c r="H22" i="37"/>
  <c r="F274" i="5"/>
  <c r="D7254" i="106"/>
  <c r="B3670" i="106"/>
  <c r="D3670" i="106" s="1"/>
  <c r="K352" i="29"/>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D7" i="4"/>
  <c r="B7298" i="106"/>
  <c r="B7299" i="106"/>
  <c r="B7051" i="106" l="1"/>
  <c r="D7051" i="106" s="1"/>
  <c r="F275" i="5"/>
  <c r="B5720" i="106" s="1"/>
  <c r="D5720" i="106" s="1"/>
  <c r="F6" i="4"/>
  <c r="B2593" i="106" s="1"/>
  <c r="D2593" i="106" s="1"/>
  <c r="N23" i="3"/>
  <c r="B284" i="106" s="1"/>
  <c r="D284" i="106" s="1"/>
  <c r="M23" i="3"/>
  <c r="B273" i="106"/>
  <c r="D273" i="106" s="1"/>
  <c r="D275" i="5"/>
  <c r="B5508" i="106" s="1"/>
  <c r="D5508" i="106" s="1"/>
  <c r="B7243" i="106"/>
  <c r="D7243" i="106" s="1"/>
  <c r="F24" i="37"/>
  <c r="B7224" i="106"/>
  <c r="D7224" i="106" s="1"/>
  <c r="J17" i="4"/>
  <c r="J19" i="4" s="1"/>
  <c r="B6229" i="106" s="1"/>
  <c r="D6229" i="106" s="1"/>
  <c r="J8" i="4"/>
  <c r="B6223" i="106" s="1"/>
  <c r="D6223" i="106" s="1"/>
  <c r="F7" i="4"/>
  <c r="B5719" i="106"/>
  <c r="D5719" i="106" s="1"/>
  <c r="K13" i="4"/>
  <c r="B3572" i="106" s="1"/>
  <c r="D3572" i="106" s="1"/>
  <c r="B3672" i="106"/>
  <c r="D3672" i="106" s="1"/>
  <c r="G41" i="108"/>
  <c r="G44" i="108" s="1"/>
  <c r="G45" i="108" s="1"/>
  <c r="E41" i="108"/>
  <c r="E44" i="108" s="1"/>
  <c r="E45" i="108" s="1"/>
  <c r="B5223" i="106"/>
  <c r="D5223" i="106" s="1"/>
  <c r="C6" i="4"/>
  <c r="B2553" i="106" s="1"/>
  <c r="D2553" i="106" s="1"/>
  <c r="B2655" i="106"/>
  <c r="D2655" i="106" s="1"/>
  <c r="H8" i="4"/>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K17" i="4"/>
  <c r="K19" i="4" s="1"/>
  <c r="B4144" i="106" s="1"/>
  <c r="D4144" i="106" s="1"/>
  <c r="K368" i="29"/>
  <c r="B3681" i="106" s="1"/>
  <c r="D3681" i="106" s="1"/>
  <c r="D8" i="4"/>
  <c r="D10" i="4" s="1"/>
  <c r="B4123" i="106" s="1"/>
  <c r="D4123" i="106" s="1"/>
  <c r="B6227" i="106"/>
  <c r="D6227" i="106" s="1"/>
  <c r="J10" i="4"/>
  <c r="B6225" i="106" s="1"/>
  <c r="D6225" i="106" s="1"/>
  <c r="J20" i="4"/>
  <c r="B6230" i="106" s="1"/>
  <c r="D6230" i="106" s="1"/>
  <c r="B2594" i="106"/>
  <c r="D2594" i="106" s="1"/>
  <c r="F8" i="4"/>
  <c r="B2658" i="106"/>
  <c r="D2658" i="106" s="1"/>
  <c r="H10" i="4"/>
  <c r="B4127" i="106" s="1"/>
  <c r="D4127"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80" i="106"/>
  <c r="D280" i="106" s="1"/>
  <c r="M41" i="3"/>
  <c r="K20" i="4"/>
  <c r="K78" i="4" s="1"/>
  <c r="C8" i="146"/>
  <c r="B2568" i="106"/>
  <c r="D2568" i="106" s="1"/>
  <c r="D20" i="4"/>
  <c r="D78" i="4" s="1"/>
  <c r="J78" i="4"/>
  <c r="J81" i="4" s="1"/>
  <c r="J39" i="3" s="1"/>
  <c r="H13" i="118"/>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F179" i="34" l="1"/>
  <c r="F79" i="34"/>
  <c r="B281" i="106"/>
  <c r="D281" i="106" s="1"/>
  <c r="D54" i="36"/>
  <c r="B3576" i="106"/>
  <c r="D3576" i="106" s="1"/>
  <c r="B6215" i="106"/>
  <c r="D6215" i="106" s="1"/>
  <c r="J41" i="3"/>
  <c r="C10" i="146"/>
  <c r="B2574" i="106"/>
  <c r="D2574" i="106" s="1"/>
  <c r="B6263" i="106"/>
  <c r="D6263" i="106" s="1"/>
  <c r="F8" i="146"/>
  <c r="D10" i="146"/>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E78" i="4"/>
  <c r="B2636" i="106"/>
  <c r="D2636" i="106" s="1"/>
  <c r="D64" i="36"/>
  <c r="J82" i="4"/>
  <c r="B6266" i="106"/>
  <c r="D6266" i="106" s="1"/>
  <c r="D81" i="4"/>
  <c r="D39" i="3" s="1"/>
  <c r="B3239" i="106"/>
  <c r="D3239" i="106" s="1"/>
  <c r="F181" i="34" l="1"/>
  <c r="F183" i="34" s="1"/>
  <c r="B212" i="106"/>
  <c r="D212" i="106" s="1"/>
  <c r="H41" i="3"/>
  <c r="B2912" i="106"/>
  <c r="D2912" i="106" s="1"/>
  <c r="I41" i="3"/>
  <c r="D51" i="36"/>
  <c r="B6216" i="106"/>
  <c r="D6216" i="106" s="1"/>
  <c r="B3567" i="106"/>
  <c r="D3567" i="106" s="1"/>
  <c r="K41" i="3"/>
  <c r="B123" i="106"/>
  <c r="D123" i="106" s="1"/>
  <c r="D41" i="3"/>
  <c r="F10" i="146"/>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52" i="36" l="1"/>
  <c r="B3568" i="106"/>
  <c r="D3568" i="106" s="1"/>
  <c r="B140" i="106"/>
  <c r="D140" i="106" s="1"/>
  <c r="E41" i="3"/>
  <c r="B2913" i="106"/>
  <c r="D2913" i="106" s="1"/>
  <c r="D50" i="36"/>
  <c r="B213" i="106"/>
  <c r="D213" i="106" s="1"/>
  <c r="D49" i="36"/>
  <c r="B170" i="106"/>
  <c r="D170" i="106" s="1"/>
  <c r="F41" i="3"/>
  <c r="B189" i="106"/>
  <c r="D189" i="106" s="1"/>
  <c r="G41" i="3"/>
  <c r="B92" i="106"/>
  <c r="D92" i="106" s="1"/>
  <c r="C41" i="3"/>
  <c r="D76" i="36"/>
  <c r="D45" i="36"/>
  <c r="B124" i="106"/>
  <c r="D124"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6" i="36" l="1"/>
  <c r="B141" i="106"/>
  <c r="D141" i="106" s="1"/>
  <c r="B171" i="106"/>
  <c r="D171" i="106" s="1"/>
  <c r="D47" i="36"/>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<sst xmlns="http://schemas.openxmlformats.org/spreadsheetml/2006/main" count="5304" uniqueCount="2187">
  <si>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</si>
  <si>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</si>
  <si>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</si>
  <si>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</si>
  <si>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</si>
  <si>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</si>
  <si>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</si>
  <si>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</si>
  <si>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</si>
  <si>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</si>
  <si>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</si>
  <si>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</si>
  <si>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</si>
  <si>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</si>
  <si>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</si>
  <si>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</si>
  <si>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</si>
  <si>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</si>
  <si>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</si>
  <si>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</si>
  <si>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</si>
  <si>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</si>
  <si>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</si>
  <si>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</si>
  <si>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</si>
  <si>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</si>
  <si>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</si>
  <si>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</si>
  <si>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</si>
  <si>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</si>
  <si>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</si>
  <si>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</si>
  <si>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</si>
  <si>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</si>
  <si>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</si>
  <si>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</si>
  <si>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</si>
  <si>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</si>
  <si>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</si>
  <si>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</si>
  <si>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</si>
  <si>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</si>
  <si>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</si>
  <si>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</si>
  <si>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</si>
  <si>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</si>
  <si>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</si>
  <si>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</si>
  <si>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</si>
  <si>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</si>
  <si>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</si>
  <si>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</si>
  <si>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</si>
  <si>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</si>
  <si>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</si>
  <si>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</si>
  <si>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</si>
  <si>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</si>
  <si>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</si>
  <si>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</si>
  <si>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</si>
  <si>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</si>
  <si>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</si>
  <si>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</si>
  <si>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</si>
  <si>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</si>
  <si>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</si>
  <si>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</si>
  <si>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</si>
  <si>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</si>
  <si>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</si>
  <si>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</si>
  <si>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</si>
  <si>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</si>
  <si>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</si>
  <si>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</si>
  <si>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</si>
  <si>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</si>
  <si>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</si>
  <si>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</si>
  <si>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</si>
  <si>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</si>
  <si>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</si>
  <si>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</si>
  <si>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</si>
  <si>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</si>
  <si>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</si>
  <si>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</si>
  <si>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</si>
  <si>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</si>
  <si>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</si>
  <si>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</si>
  <si>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</si>
  <si>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</si>
  <si>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</si>
  <si>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</si>
  <si>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</si>
  <si>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</si>
  <si>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</si>
  <si>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</si>
  <si>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</si>
  <si>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</si>
  <si>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</si>
  <si>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</si>
  <si>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</si>
  <si>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</si>
  <si>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</si>
  <si>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</si>
  <si>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</si>
  <si>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</si>
  <si>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</si>
  <si>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</si>
  <si>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</si>
  <si>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</si>
  <si>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</si>
  <si>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</si>
  <si>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</si>
  <si>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</si>
  <si>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</si>
  <si>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</si>
  <si>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</si>
  <si>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</si>
  <si>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</si>
  <si>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</si>
  <si>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</si>
  <si>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</si>
  <si>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</si>
  <si>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</si>
  <si>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</si>
  <si>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</si>
  <si>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</si>
  <si>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</si>
  <si>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</si>
  <si>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</si>
  <si>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</si>
  <si>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</si>
  <si>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</si>
  <si>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</si>
  <si>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</si>
  <si>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</si>
  <si>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</si>
  <si>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</si>
  <si>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</si>
  <si>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</si>
  <si>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</si>
  <si>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</si>
  <si>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</si>
  <si>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</si>
  <si>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</si>
  <si>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</si>
  <si>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</si>
  <si>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</si>
  <si>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</si>
  <si>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</si>
  <si>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</si>
  <si>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</si>
  <si>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</si>
  <si>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</si>
  <si>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</si>
  <si>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</si>
  <si>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</si>
  <si>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</si>
  <si>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</si>
  <si>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</si>
  <si>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</si>
  <si>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</si>
  <si>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</si>
  <si>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</si>
  <si>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</si>
  <si>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</si>
  <si>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</si>
  <si>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</si>
  <si>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</si>
  <si>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</si>
  <si>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</si>
  <si>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</si>
  <si>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</si>
  <si>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</si>
  <si>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</si>
  <si>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</si>
  <si>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</si>
  <si>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</si>
  <si>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</si>
  <si>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</si>
  <si>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</si>
  <si>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</si>
  <si>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</si>
  <si>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</si>
  <si>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</si>
  <si>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</si>
  <si>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</si>
  <si>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</si>
  <si>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</si>
  <si>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</si>
  <si>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</si>
  <si>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</si>
  <si>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</si>
  <si>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</si>
  <si>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</si>
  <si>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</si>
  <si>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</si>
  <si>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</si>
  <si>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</si>
  <si>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</si>
  <si>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</si>
  <si>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</si>
  <si>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</si>
  <si>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</si>
  <si>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</si>
  <si>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</si>
  <si>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</si>
  <si>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</si>
  <si>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</si>
  <si>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</si>
  <si>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</si>
  <si>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</si>
  <si>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</si>
  <si>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</si>
  <si>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</si>
  <si>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</si>
  <si>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</si>
  <si>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</si>
  <si>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</si>
  <si>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</si>
  <si>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</si>
  <si>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</si>
  <si>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</si>
  <si>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</si>
  <si>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</si>
  <si>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</si>
  <si>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</si>
  <si>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</si>
  <si>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</si>
  <si>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</si>
  <si>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</si>
  <si>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</si>
  <si>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</si>
  <si>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</si>
  <si>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</si>
  <si>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</si>
  <si>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</si>
  <si>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</si>
  <si>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</si>
  <si>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</si>
  <si>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</si>
  <si>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</si>
  <si>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</si>
  <si>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</si>
  <si>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</si>
  <si>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</si>
  <si>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</si>
  <si>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</si>
  <si>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</si>
  <si>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</si>
  <si>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</si>
  <si>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</si>
  <si>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</si>
  <si>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</si>
  <si>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</si>
  <si>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</si>
  <si>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</si>
  <si>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</si>
  <si>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</si>
  <si>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</si>
  <si>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</si>
  <si>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</si>
  <si>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</si>
  <si>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</si>
  <si>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</si>
  <si>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</si>
  <si>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</si>
  <si>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</si>
  <si>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</si>
  <si>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</si>
  <si>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</si>
  <si>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</si>
  <si>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</si>
  <si>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</si>
  <si>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</si>
  <si>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</si>
  <si>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</si>
  <si>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</si>
  <si>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</si>
  <si>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</si>
  <si>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</si>
  <si>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</si>
  <si>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</si>
  <si>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</si>
  <si>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</si>
  <si>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</si>
  <si>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</si>
  <si>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</si>
  <si>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</si>
  <si>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</si>
  <si>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</si>
  <si>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</si>
  <si>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</si>
  <si>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</si>
  <si>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</si>
  <si>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</si>
  <si>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</si>
  <si>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</si>
  <si>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</si>
  <si>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</si>
  <si>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</si>
  <si>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</si>
  <si>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</si>
  <si>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</si>
  <si>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</si>
  <si>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</si>
  <si>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</si>
  <si>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</si>
  <si>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</si>
  <si>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</si>
  <si>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</si>
  <si>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</si>
  <si>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</si>
  <si>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</si>
  <si>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</si>
  <si>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</si>
  <si>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</si>
  <si>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</si>
  <si>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</si>
  <si>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</si>
  <si>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</si>
  <si>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</si>
  <si>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</si>
  <si>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</si>
  <si>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</si>
  <si>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</si>
  <si>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</si>
  <si>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</si>
  <si>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</si>
  <si>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</si>
  <si>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</si>
  <si>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</si>
  <si>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</si>
  <si>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</si>
  <si>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</si>
  <si>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</si>
  <si>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</si>
  <si>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</si>
  <si>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</si>
  <si>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</si>
  <si>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</si>
  <si>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</si>
  <si>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</si>
  <si>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</si>
  <si>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</si>
  <si>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</si>
  <si>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</si>
  <si>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</si>
  <si>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</si>
  <si>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</si>
  <si>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</si>
  <si>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</si>
  <si>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</si>
  <si>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</si>
  <si>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</si>
  <si>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</si>
  <si>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</si>
  <si>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</si>
  <si>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</si>
  <si>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</si>
  <si>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</si>
  <si>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</si>
  <si>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</si>
  <si>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</si>
  <si>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</si>
  <si>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</si>
  <si>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</si>
  <si>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</si>
  <si>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</si>
  <si>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</si>
  <si>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</si>
  <si>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</si>
  <si>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</si>
  <si>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</si>
  <si>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</si>
  <si>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</si>
  <si>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</si>
  <si>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</si>
  <si>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</si>
  <si>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</si>
  <si>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</si>
  <si>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</si>
  <si>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</si>
  <si>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</si>
  <si>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</si>
  <si>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</si>
  <si>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</si>
  <si>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</si>
  <si>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</si>
  <si>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</si>
  <si>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</si>
  <si>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</si>
  <si>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</si>
  <si>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</si>
  <si>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</si>
  <si>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</si>
  <si>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</si>
  <si>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</si>
  <si>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</si>
  <si>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</si>
  <si>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</si>
  <si>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</si>
  <si>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</si>
  <si>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</si>
  <si>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</si>
  <si>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</si>
  <si>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</si>
  <si>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</si>
  <si>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</si>
  <si>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</si>
  <si>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</si>
  <si>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</si>
  <si>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</si>
  <si>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</si>
  <si>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</si>
  <si>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</si>
  <si>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</si>
  <si>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</si>
  <si>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</si>
  <si>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</si>
  <si>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</si>
  <si>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</si>
  <si>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</si>
  <si>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</si>
  <si>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</si>
  <si>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</si>
  <si>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</si>
  <si>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</si>
  <si>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</si>
  <si>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</si>
  <si>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</si>
  <si>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</si>
  <si>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</si>
  <si>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</si>
  <si>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</si>
  <si>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</si>
  <si>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</si>
  <si>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</si>
  <si>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</si>
  <si>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</si>
  <si>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</si>
  <si>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</si>
  <si>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</si>
  <si>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</si>
  <si>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</si>
  <si>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</si>
  <si>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</si>
  <si>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</si>
  <si>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</si>
  <si>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</si>
  <si>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</si>
  <si>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</si>
  <si>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</si>
  <si>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</si>
  <si>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</si>
  <si>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</si>
  <si>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</si>
  <si>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</si>
  <si>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</si>
  <si>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</si>
  <si>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</si>
  <si>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</si>
  <si>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</si>
  <si>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</si>
  <si>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</si>
  <si>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</si>
  <si>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</si>
  <si>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</si>
  <si>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</si>
  <si>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</si>
  <si>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</si>
  <si>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</si>
  <si>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</si>
  <si>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</si>
  <si>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</si>
  <si>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</si>
  <si>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</si>
  <si>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</si>
  <si>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</si>
  <si>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</si>
  <si>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</si>
  <si>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</si>
  <si>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</si>
  <si>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</si>
  <si>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</si>
  <si>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</si>
  <si>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</si>
  <si>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</si>
  <si>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</si>
  <si>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</si>
  <si>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</si>
  <si>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</si>
  <si>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</si>
  <si>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</si>
  <si>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</si>
  <si>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</si>
  <si>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</si>
  <si>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</si>
  <si>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</si>
  <si>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</si>
  <si>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</si>
  <si>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</si>
  <si>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</si>
  <si>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</si>
  <si>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</si>
  <si>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</si>
  <si>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</si>
  <si>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</si>
  <si>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</si>
  <si>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</si>
  <si>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</si>
  <si>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</si>
  <si>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</si>
  <si>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</si>
  <si>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</si>
  <si>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</si>
  <si>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</si>
  <si>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</si>
  <si>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</si>
  <si>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</si>
  <si>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</si>
  <si>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</si>
  <si>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</si>
  <si>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</si>
  <si>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</si>
  <si>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</si>
  <si>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</si>
  <si>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</si>
  <si>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</si>
  <si>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</si>
  <si>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</si>
  <si>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</si>
  <si>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</si>
  <si>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</si>
  <si>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</si>
  <si>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</si>
  <si>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</si>
  <si>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</si>
  <si>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</si>
  <si>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</si>
  <si>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</si>
  <si>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</si>
  <si>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</si>
  <si>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</si>
  <si>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</si>
  <si>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</si>
  <si>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</si>
  <si>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</si>
  <si>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</si>
  <si>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</si>
  <si>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</si>
  <si>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</si>
  <si>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</si>
  <si>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</si>
  <si>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</si>
  <si>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</si>
  <si>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</si>
  <si>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</si>
  <si>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</si>
  <si>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</si>
  <si>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</si>
  <si>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</si>
  <si>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</si>
  <si>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</si>
  <si>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</si>
  <si>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</si>
  <si>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</si>
  <si>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</si>
  <si>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</si>
  <si>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</si>
  <si>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</si>
  <si>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</si>
  <si>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</si>
  <si>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</si>
  <si>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</si>
  <si>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</si>
  <si>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</si>
  <si>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</si>
  <si>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</si>
  <si>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</si>
  <si>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</si>
  <si>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</si>
  <si>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</si>
  <si>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</si>
  <si>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</si>
  <si>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</si>
  <si>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</si>
  <si>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</si>
  <si>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</si>
  <si>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</si>
  <si>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</si>
  <si>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</si>
  <si>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</si>
  <si>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</si>
  <si>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</si>
  <si>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</si>
  <si>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</si>
  <si>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</si>
  <si>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</si>
  <si>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</si>
  <si>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</si>
  <si>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</si>
  <si>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</si>
  <si>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</si>
  <si>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</si>
  <si>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</si>
  <si>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</si>
  <si>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</si>
  <si>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</si>
  <si>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</si>
  <si>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</si>
  <si>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</si>
  <si>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</si>
  <si>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</si>
  <si>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</si>
  <si>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</si>
  <si>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</si>
  <si>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</si>
  <si>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</si>
  <si>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</si>
  <si>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</si>
  <si>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</si>
  <si>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</si>
  <si>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</si>
  <si>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</si>
  <si>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</si>
  <si>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</si>
  <si>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</si>
  <si>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</si>
  <si>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</si>
  <si>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</si>
  <si>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</si>
  <si>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</si>
  <si>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</si>
  <si>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</si>
  <si>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</si>
  <si>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</si>
  <si>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</si>
  <si>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</si>
  <si>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</si>
  <si>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</si>
  <si>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</si>
  <si>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</si>
  <si>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</si>
  <si>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</si>
  <si>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</si>
  <si>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</si>
  <si>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</si>
  <si>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</si>
  <si>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</si>
  <si>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</si>
  <si>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</si>
  <si>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</si>
  <si>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</si>
  <si>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</si>
  <si>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</si>
  <si>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</si>
  <si>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</si>
  <si>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</si>
  <si>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</si>
  <si>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</si>
  <si>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</si>
  <si>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</si>
  <si>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</si>
  <si>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</si>
  <si>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</si>
  <si>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</si>
  <si>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</si>
  <si>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</si>
  <si>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</si>
  <si>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</si>
  <si>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</si>
  <si>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</si>
  <si>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</si>
  <si>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</si>
  <si>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</si>
  <si>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</si>
  <si>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</si>
  <si>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</si>
  <si>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</si>
  <si>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</si>
  <si>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</si>
  <si>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</si>
  <si>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</si>
  <si>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</si>
  <si>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</si>
  <si>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</si>
  <si>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</si>
  <si>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</si>
  <si>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</si>
  <si>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</si>
  <si>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</si>
  <si>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</si>
  <si>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</si>
  <si>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</si>
  <si>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</si>
  <si>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</si>
  <si>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</si>
  <si>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</si>
  <si>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</si>
  <si>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</si>
  <si>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</si>
  <si>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</si>
  <si>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</si>
  <si>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</si>
  <si>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</si>
  <si>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</si>
  <si>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</si>
  <si>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</si>
  <si>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</si>
  <si>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</si>
  <si>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</si>
  <si>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</si>
  <si>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</si>
  <si>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</si>
  <si>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</si>
  <si>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</si>
  <si>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</si>
  <si>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</si>
  <si>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</si>
  <si>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</si>
  <si>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</si>
  <si>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</si>
  <si>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</si>
  <si>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</si>
  <si>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</si>
  <si>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</si>
  <si>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</si>
  <si>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</si>
  <si>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</si>
  <si>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</si>
  <si>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</si>
  <si>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</si>
  <si>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</si>
  <si>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</si>
  <si>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</si>
  <si>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</si>
  <si>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</si>
  <si>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</si>
  <si>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</si>
  <si>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</si>
  <si>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</si>
  <si>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</si>
  <si>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</si>
  <si>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</si>
  <si>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</si>
  <si>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</si>
  <si>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</si>
  <si>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</si>
  <si>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</si>
  <si>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</si>
  <si>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</si>
  <si>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</si>
  <si>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</si>
  <si>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</si>
  <si>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</si>
  <si>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</si>
  <si>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</si>
  <si>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</si>
  <si>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</si>
  <si>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</si>
  <si>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</si>
  <si>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</si>
  <si>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</si>
  <si>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</si>
  <si>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</si>
  <si>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</si>
  <si>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</si>
  <si>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</si>
  <si>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</si>
  <si>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</si>
  <si>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</si>
  <si>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</si>
  <si>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</si>
  <si>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</si>
  <si>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</si>
  <si>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</si>
  <si>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</si>
  <si>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</si>
  <si>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</si>
  <si>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</si>
  <si>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</si>
  <si>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</si>
  <si>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</si>
  <si>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</si>
  <si>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</si>
  <si>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</si>
  <si>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</si>
  <si>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</si>
  <si>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</si>
  <si>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</si>
  <si>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</si>
  <si>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</si>
  <si>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</si>
  <si>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</si>
  <si>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</si>
  <si>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</si>
  <si>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</si>
  <si>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</si>
  <si>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</si>
  <si>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</si>
  <si>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</si>
  <si>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</si>
  <si>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</si>
  <si>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</si>
  <si>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</si>
  <si>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</si>
  <si>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</si>
  <si>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</si>
  <si>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</si>
  <si>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</si>
  <si>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</si>
  <si>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</si>
  <si>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</si>
  <si>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</si>
  <si>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</si>
  <si>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</si>
  <si>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</si>
  <si>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</si>
  <si>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</si>
  <si>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</si>
  <si>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</si>
  <si>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</si>
  <si>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</si>
  <si>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</si>
  <si>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</si>
  <si>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</si>
  <si>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</si>
  <si>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</si>
  <si>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</si>
  <si>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</si>
  <si>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</si>
  <si>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</si>
  <si>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</si>
  <si>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</si>
  <si>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</si>
  <si>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</si>
  <si>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</si>
  <si>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</si>
  <si>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</si>
  <si>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</si>
  <si>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</si>
  <si>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</si>
  <si>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</si>
  <si>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</si>
  <si>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</si>
  <si>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</si>
  <si>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</si>
  <si>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</si>
  <si>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</si>
  <si>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</si>
  <si>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</si>
  <si>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</si>
  <si>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</si>
  <si>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</si>
  <si>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</si>
  <si>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</si>
  <si>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</si>
  <si>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</si>
  <si>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</si>
  <si>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</si>
  <si>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</si>
  <si>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</si>
  <si>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</si>
  <si>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</si>
  <si>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</si>
  <si>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</si>
  <si>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</si>
  <si>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</si>
  <si>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</si>
  <si>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</si>
  <si>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</si>
  <si>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</si>
  <si>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</si>
  <si>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</si>
  <si>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</si>
  <si>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</si>
  <si>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</si>
  <si>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</si>
  <si>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</si>
  <si>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</si>
  <si>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</si>
  <si>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</si>
  <si>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</si>
  <si>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</si>
  <si>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</si>
  <si>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</si>
  <si>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</si>
  <si>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</si>
  <si>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</si>
  <si>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</si>
  <si>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</si>
  <si>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</si>
  <si>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</si>
  <si>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</si>
  <si>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</si>
  <si>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</si>
  <si>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</si>
  <si>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</si>
  <si>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</si>
  <si>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</si>
  <si>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</si>
  <si>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</si>
  <si>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</si>
  <si>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</si>
  <si>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</si>
  <si>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</si>
  <si>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</si>
  <si>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</si>
  <si>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</si>
  <si>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</si>
  <si>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</si>
  <si>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</si>
  <si>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</si>
  <si>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</si>
  <si>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</si>
  <si>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</si>
  <si>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</si>
  <si>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</si>
  <si>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</si>
  <si>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</si>
  <si>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</si>
  <si>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</si>
  <si>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</si>
  <si>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</si>
  <si>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</si>
  <si>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</si>
  <si>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</si>
  <si>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</si>
  <si>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</si>
  <si>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</si>
  <si>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</si>
  <si>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</si>
  <si>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</si>
  <si>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</si>
  <si>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</si>
  <si>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</si>
  <si>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</si>
  <si>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</si>
  <si>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</si>
  <si>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</si>
  <si>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</si>
  <si>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</si>
  <si>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</si>
  <si>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</si>
  <si>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</si>
  <si>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</si>
  <si>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</si>
  <si>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</si>
  <si>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</si>
  <si>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</si>
  <si>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</si>
  <si>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</si>
  <si>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</si>
  <si>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</si>
  <si>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</si>
  <si>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</si>
  <si>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</si>
  <si>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</si>
  <si>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</si>
  <si>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</si>
  <si>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</si>
  <si>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</si>
  <si>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</si>
  <si>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</si>
  <si>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</si>
  <si>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</si>
  <si>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</si>
  <si>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</si>
  <si>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</si>
  <si>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</si>
  <si>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</si>
  <si>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</si>
  <si>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</si>
  <si>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</si>
  <si>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</si>
  <si>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</si>
  <si>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</si>
  <si>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</si>
  <si>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</si>
  <si>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</si>
  <si>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</si>
  <si>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</si>
  <si>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</si>
  <si>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</si>
  <si>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</si>
  <si>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</si>
  <si>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</si>
  <si>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</si>
  <si>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</si>
  <si>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</si>
  <si>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</si>
  <si>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</si>
  <si>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</si>
  <si>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</si>
  <si>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</si>
  <si>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</si>
  <si>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</si>
  <si>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</si>
  <si>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</si>
  <si>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</si>
  <si>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</si>
  <si>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</si>
  <si>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</si>
  <si>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</si>
  <si>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</si>
  <si>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</si>
  <si>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</si>
  <si>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</si>
  <si>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</si>
  <si>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</si>
  <si>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</si>
  <si>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</si>
  <si>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</si>
  <si>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</si>
  <si>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</si>
  <si>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</si>
  <si>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</si>
  <si>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</si>
  <si>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</si>
  <si>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</si>
  <si>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</si>
  <si>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</si>
  <si>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</si>
  <si>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</si>
  <si>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</si>
  <si>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</si>
  <si>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</si>
  <si>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</si>
  <si>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</si>
  <si>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</si>
  <si>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</si>
  <si>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</si>
  <si>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</si>
  <si>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</si>
  <si>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</si>
  <si>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</si>
  <si>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</si>
  <si>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</si>
  <si>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</si>
  <si>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</si>
  <si>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</si>
  <si>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</si>
  <si>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</si>
  <si>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</si>
  <si>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</si>
  <si>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</si>
  <si>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</si>
  <si>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</si>
  <si>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</si>
  <si>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</si>
  <si>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</si>
  <si>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</si>
  <si>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</si>
  <si>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</si>
  <si>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</si>
  <si>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</si>
  <si>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</si>
  <si>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</si>
  <si>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</si>
  <si>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</si>
  <si>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</si>
  <si>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</si>
  <si>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</si>
  <si>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</si>
  <si>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</si>
  <si>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</si>
  <si>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</si>
  <si>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</si>
  <si>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</si>
  <si>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</si>
  <si>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</si>
  <si>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</si>
  <si>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</si>
  <si>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</si>
  <si>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</si>
  <si>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</si>
  <si>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</si>
  <si>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</si>
  <si>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</si>
  <si>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</si>
  <si>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</si>
  <si>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</si>
  <si>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</si>
  <si>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</si>
  <si>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</si>
  <si>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</si>
  <si>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</si>
  <si>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</si>
  <si>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</si>
  <si>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</si>
  <si>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</si>
  <si>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</si>
  <si>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</si>
  <si>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</si>
  <si>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</si>
  <si>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</si>
  <si>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</si>
  <si>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</si>
  <si>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</si>
  <si>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</si>
  <si>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</si>
  <si>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</si>
  <si>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</si>
  <si>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</si>
  <si>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</si>
  <si>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</si>
  <si>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</si>
  <si>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</si>
  <si>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</si>
  <si>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</si>
  <si>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</si>
  <si>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</si>
  <si>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</si>
  <si>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</si>
  <si>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</si>
  <si>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</si>
  <si>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</si>
  <si>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</si>
  <si>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</si>
  <si>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</si>
  <si>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</si>
  <si>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</si>
  <si>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</si>
  <si>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</si>
  <si>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</si>
  <si>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</si>
  <si>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</si>
  <si>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</si>
  <si>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</si>
  <si>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</si>
  <si>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</si>
  <si>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</si>
  <si>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</si>
  <si>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</si>
  <si>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</si>
  <si>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</si>
  <si>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</si>
  <si>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</si>
  <si>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</si>
  <si>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</si>
  <si>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</si>
  <si>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</si>
  <si>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</si>
  <si>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</si>
  <si>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</si>
  <si>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</si>
  <si>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</si>
  <si>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</si>
  <si>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</si>
  <si>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</si>
  <si>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</si>
  <si>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</si>
  <si>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</si>
  <si>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</si>
  <si>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</si>
  <si>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</si>
  <si>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</si>
  <si>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</si>
  <si>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</si>
  <si>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</si>
  <si>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</si>
  <si>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</si>
  <si>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</si>
  <si>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</si>
  <si>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</si>
  <si>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</si>
  <si>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</si>
  <si>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</si>
  <si>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</si>
  <si>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</si>
  <si>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</si>
  <si>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</si>
  <si>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</si>
  <si>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</si>
  <si>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</si>
  <si>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</si>
  <si>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</si>
  <si>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</si>
  <si>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</si>
  <si>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</si>
  <si>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</si>
  <si>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</si>
  <si>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</si>
  <si>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</si>
  <si>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</si>
  <si>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</si>
  <si>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</si>
  <si>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</si>
  <si>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</si>
  <si>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</si>
  <si>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</si>
  <si>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</si>
  <si>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</si>
  <si>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</si>
  <si>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</si>
  <si>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</si>
  <si>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</si>
  <si>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</si>
  <si>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</si>
  <si>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</si>
  <si>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</si>
  <si>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</si>
  <si>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</si>
  <si>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</si>
  <si>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</si>
  <si>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</si>
  <si>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</si>
  <si>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</si>
  <si>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</si>
  <si>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</si>
  <si>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</si>
  <si>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</si>
  <si>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</si>
  <si>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</si>
  <si>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</si>
  <si>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</si>
  <si>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</si>
  <si>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</si>
  <si>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</si>
  <si>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</si>
  <si>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</si>
  <si>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</si>
  <si>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</si>
  <si>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</si>
  <si>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</si>
  <si>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</si>
  <si>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</si>
  <si>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</si>
  <si>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</si>
  <si>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</si>
  <si>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</si>
  <si>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</si>
  <si>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</si>
  <si>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</si>
  <si>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</si>
  <si>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</si>
  <si>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</si>
  <si>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</si>
  <si>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</si>
  <si>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</si>
  <si>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</si>
  <si>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</si>
  <si>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</si>
  <si>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</si>
  <si>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</si>
  <si>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</si>
  <si>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</si>
  <si>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</si>
  <si>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</si>
  <si>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</si>
  <si>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</si>
  <si>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</si>
  <si>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</si>
  <si>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</si>
  <si>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</si>
  <si>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</si>
  <si>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</si>
  <si>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</si>
  <si>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</si>
  <si>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</si>
  <si>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</si>
  <si>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</si>
  <si>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</si>
  <si>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</si>
  <si>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</si>
  <si>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</si>
  <si>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</si>
  <si>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</si>
  <si>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</si>
  <si>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</si>
  <si>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</si>
  <si>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</si>
  <si>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</si>
  <si>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</si>
  <si>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</si>
  <si>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</si>
  <si>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</si>
  <si>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</si>
  <si>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</si>
  <si>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</si>
  <si>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</si>
  <si>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</si>
  <si>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</si>
  <si>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</si>
  <si>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</si>
  <si>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</si>
  <si>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</si>
  <si>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</si>
  <si>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</si>
  <si>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</si>
  <si>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</si>
  <si>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</si>
  <si>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</si>
  <si>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</si>
  <si>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</si>
  <si>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</si>
  <si>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</si>
  <si>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</si>
  <si>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</si>
  <si>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</si>
  <si>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</si>
  <si>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</si>
  <si>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</si>
  <si>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</si>
  <si>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</si>
  <si>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</si>
  <si>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</si>
  <si>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</si>
  <si>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</si>
  <si>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</si>
  <si>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</si>
  <si>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</si>
  <si>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</si>
  <si>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</si>
  <si>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</si>
  <si>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</si>
  <si>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</si>
  <si>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</si>
  <si>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</si>
  <si>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</si>
  <si>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</si>
  <si>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</si>
  <si>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</si>
  <si>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</si>
  <si>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</si>
  <si>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</si>
  <si>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</si>
  <si>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</si>
  <si>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</si>
  <si>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</si>
  <si>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</si>
  <si>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</si>
  <si>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</si>
  <si>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</si>
  <si>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</si>
  <si>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</si>
  <si>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</si>
  <si>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</si>
  <si>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</si>
  <si>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</si>
  <si>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</si>
  <si>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</si>
  <si>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</si>
  <si>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</si>
  <si>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</si>
  <si>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</si>
  <si>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</si>
  <si>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</si>
  <si>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</si>
  <si>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</si>
  <si>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</si>
  <si>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</si>
  <si>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</si>
  <si>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</si>
  <si>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</si>
  <si>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</si>
  <si>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</si>
  <si>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</si>
  <si>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</si>
  <si>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</si>
  <si>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</si>
  <si>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</si>
  <si>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</si>
  <si>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</si>
  <si>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</si>
  <si>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</si>
  <si>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</si>
  <si>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</si>
  <si>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</si>
  <si>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</si>
  <si>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</si>
  <si>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</si>
  <si>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</si>
  <si>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</si>
  <si>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</si>
  <si>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</si>
  <si>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</si>
  <si>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</si>
  <si>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</si>
  <si>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</si>
  <si>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</si>
  <si>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</si>
  <si>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</si>
  <si>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</si>
  <si>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</si>
  <si>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</si>
  <si>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</si>
  <si>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</si>
  <si>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</si>
  <si>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</si>
  <si>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</si>
  <si>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</si>
  <si>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</si>
  <si>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</si>
  <si>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</si>
  <si>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</si>
  <si>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</si>
  <si>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</si>
  <si>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</si>
  <si>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</si>
  <si>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</si>
  <si>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</si>
  <si>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</si>
  <si>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</si>
  <si>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</si>
  <si>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</si>
  <si>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</si>
  <si>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</si>
  <si>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</si>
  <si>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</si>
  <si>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</si>
  <si>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</si>
  <si>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</si>
  <si>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</si>
  <si>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</si>
  <si>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</si>
  <si>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</si>
  <si>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</si>
  <si>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</si>
  <si>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</si>
  <si>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</si>
  <si>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</si>
  <si>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</si>
  <si>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</si>
  <si>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</si>
  <si>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</si>
  <si>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</si>
  <si>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</si>
  <si>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</si>
  <si>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</si>
  <si>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</si>
  <si>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</si>
  <si>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</si>
  <si>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</si>
  <si>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</si>
  <si>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</si>
  <si>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</si>
  <si>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</si>
  <si>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</si>
  <si>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</si>
  <si>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</si>
  <si>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</si>
  <si>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</si>
  <si>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</si>
  <si>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</si>
  <si>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</si>
  <si>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</si>
  <si>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</si>
  <si>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</si>
  <si>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</si>
  <si>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</si>
  <si>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</si>
  <si>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</si>
  <si>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</si>
  <si>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</si>
  <si>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</si>
  <si>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</si>
  <si>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</si>
  <si>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</si>
  <si>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</si>
  <si>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</si>
  <si>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</si>
  <si>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</si>
  <si>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</si>
  <si>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</si>
  <si>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</si>
  <si>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</si>
  <si>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</si>
  <si>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</si>
  <si>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</si>
  <si>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</si>
  <si>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</si>
  <si>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</si>
  <si>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</si>
  <si>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</si>
  <si>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</si>
  <si>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</si>
  <si>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</si>
  <si>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</si>
  <si>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</si>
  <si>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</si>
  <si>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</si>
  <si>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</si>
  <si>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</si>
  <si>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</si>
  <si>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</si>
  <si>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</si>
  <si>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</si>
  <si>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</si>
  <si>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</si>
  <si>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</si>
  <si>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</si>
  <si>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</si>
  <si>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</si>
  <si>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</si>
  <si>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</si>
  <si>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</si>
  <si>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</si>
  <si>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</si>
  <si>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</si>
  <si>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</si>
  <si>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</si>
  <si>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</si>
  <si>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</si>
  <si>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</si>
  <si>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</si>
  <si>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</si>
  <si>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</si>
  <si>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</si>
  <si>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</si>
  <si>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</si>
  <si>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</si>
  <si>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</si>
  <si>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</si>
  <si>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</si>
  <si>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</si>
  <si>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</si>
  <si>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</si>
  <si>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</si>
  <si>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</si>
  <si>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</si>
  <si>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</si>
  <si>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</si>
  <si>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</si>
  <si>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</si>
  <si>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</si>
  <si>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</si>
  <si>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</si>
  <si>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</si>
  <si>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</si>
  <si>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</si>
  <si>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</si>
  <si>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</si>
  <si>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</si>
  <si>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</si>
  <si>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</si>
  <si>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</si>
  <si>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</si>
  <si>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</si>
  <si>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</si>
  <si>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</si>
  <si>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</si>
  <si>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</si>
  <si>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</si>
  <si>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</si>
  <si>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</si>
  <si>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</si>
  <si>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</si>
  <si>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</si>
  <si>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</si>
  <si>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</si>
  <si>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</si>
  <si>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</si>
  <si>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</si>
  <si>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</si>
  <si>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</si>
  <si>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</si>
  <si>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</si>
  <si>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</si>
  <si>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</si>
  <si>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</si>
  <si>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</si>
  <si>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</si>
  <si>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</si>
  <si>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</si>
  <si>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</si>
  <si>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</si>
  <si>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</si>
  <si>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</si>
  <si>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</si>
  <si>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</si>
  <si>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</si>
  <si>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</si>
  <si>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</si>
  <si>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</si>
  <si>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</si>
  <si>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</si>
  <si>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</si>
  <si>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</si>
  <si>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</si>
  <si>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</si>
  <si>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</si>
  <si>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</si>
  <si>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</si>
  <si>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</si>
  <si>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</si>
  <si>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</si>
  <si>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</si>
  <si>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</si>
  <si>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</si>
  <si>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</si>
  <si>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</si>
  <si>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</si>
  <si>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</si>
  <si>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</si>
  <si>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</si>
  <si>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</si>
  <si>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</si>
  <si>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</si>
  <si>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</si>
  <si>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</si>
  <si>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</si>
  <si>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</si>
  <si>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</si>
  <si>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</si>
  <si>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</si>
  <si>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</si>
  <si>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</si>
  <si>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</si>
  <si>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</si>
  <si>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</si>
  <si>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</si>
  <si>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</si>
  <si>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</si>
  <si>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</si>
  <si>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</si>
  <si>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</si>
  <si>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</si>
  <si>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</si>
  <si>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</si>
  <si>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</si>
  <si>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</si>
  <si>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</si>
  <si>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</si>
  <si>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</si>
  <si>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</si>
  <si>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</si>
  <si>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</si>
  <si>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</si>
  <si>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</si>
  <si>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</si>
  <si>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</si>
  <si>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</si>
  <si>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</si>
  <si>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</si>
  <si>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</si>
  <si>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</si>
  <si>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</si>
  <si>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</si>
  <si>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</si>
  <si>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</si>
  <si>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</si>
  <si>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</si>
  <si>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</si>
  <si>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</si>
  <si>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</si>
  <si>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</si>
  <si>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</si>
  <si>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</si>
  <si>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</si>
  <si>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</si>
  <si>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</si>
  <si>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</si>
  <si>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</si>
  <si>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</si>
  <si>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</si>
  <si>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</si>
  <si>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</si>
  <si>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</si>
  <si>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</si>
  <si>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</si>
  <si>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</si>
  <si>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</si>
  <si>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</si>
  <si>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</si>
  <si>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</si>
  <si>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</si>
  <si>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</si>
  <si>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</si>
  <si>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</si>
  <si>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</si>
  <si>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</si>
  <si>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</si>
  <si>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</si>
  <si>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</si>
  <si>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</si>
  <si>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</si>
  <si>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</si>
  <si>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</si>
  <si>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</si>
  <si>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</si>
  <si>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</si>
  <si>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</si>
  <si>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</si>
  <si>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</si>
  <si>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</si>
  <si>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</si>
  <si>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</si>
  <si>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</si>
  <si>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</si>
  <si>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</si>
  <si>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</si>
  <si>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</si>
  <si>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</si>
  <si>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</si>
  <si>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</si>
  <si>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</si>
  <si>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</si>
  <si>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</si>
  <si>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</si>
  <si>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</si>
  <si>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</si>
  <si>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</si>
  <si>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</si>
  <si>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</si>
  <si>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</si>
  <si>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</si>
  <si>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</si>
  <si>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</si>
  <si>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</si>
  <si>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</si>
  <si>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</si>
  <si>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</si>
  <si>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</si>
  <si>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</si>
  <si>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</si>
  <si>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</si>
  <si>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</si>
  <si>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</si>
  <si>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</si>
  <si>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</si>
  <si>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</si>
  <si>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</si>
  <si>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</si>
  <si>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</si>
  <si>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</si>
  <si>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</si>
  <si>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</si>
  <si>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</si>
  <si>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</si>
  <si>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</si>
  <si>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</si>
  <si>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</si>
  <si>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</si>
  <si>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</si>
  <si>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</si>
  <si>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</si>
  <si>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</si>
  <si>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</si>
  <si>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</si>
  <si>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</si>
  <si>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</si>
  <si>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</si>
  <si>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</si>
  <si>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</si>
  <si>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</si>
  <si>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</si>
  <si>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</si>
  <si>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</si>
  <si>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</si>
  <si>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</si>
  <si>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</si>
  <si>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</si>
  <si>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</si>
  <si>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</si>
  <si>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</si>
  <si>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</si>
  <si>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</si>
  <si>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</si>
  <si>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</si>
  <si>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</si>
  <si>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</si>
  <si>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</si>
  <si>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</si>
  <si>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</si>
  <si>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</si>
  <si>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</si>
  <si>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</si>
  <si>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</si>
  <si>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</si>
  <si>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</si>
  <si>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</si>
  <si>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</si>
  <si>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</si>
  <si>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</si>
  <si>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</si>
  <si>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</si>
  <si>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</si>
  <si>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</si>
  <si>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</si>
  <si>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</si>
  <si>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</si>
  <si>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</si>
  <si>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</si>
  <si>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</si>
  <si>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</si>
  <si>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</si>
  <si>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</si>
  <si>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</si>
  <si>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</si>
  <si>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</si>
  <si>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</si>
  <si>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</si>
  <si>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</si>
  <si>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</si>
  <si>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</si>
  <si>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</si>
  <si>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</si>
  <si>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</si>
  <si>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</si>
  <si>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</si>
  <si>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</si>
  <si>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</si>
  <si>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</si>
  <si>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</si>
  <si>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</si>
  <si>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</si>
  <si>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</si>
  <si>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</si>
  <si>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</si>
  <si>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</si>
  <si>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</si>
  <si>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</si>
  <si>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</si>
  <si>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</si>
  <si>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</si>
  <si>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</si>
  <si>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</si>
  <si>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</si>
  <si>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</si>
  <si>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</si>
  <si>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</si>
  <si>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</si>
  <si>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</si>
  <si>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</si>
  <si>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</si>
  <si>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</si>
  <si>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</si>
  <si>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</si>
  <si>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</si>
  <si>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</si>
  <si>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</si>
  <si>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</si>
  <si>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</si>
  <si>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</si>
  <si>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</si>
  <si>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</si>
  <si>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</si>
  <si>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</si>
  <si>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</si>
  <si>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</si>
  <si>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</si>
  <si>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</si>
  <si>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</si>
  <si>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</si>
  <si>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</si>
  <si>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</si>
  <si>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</si>
  <si>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</si>
  <si>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</si>
  <si>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</si>
  <si>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</si>
  <si>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</si>
  <si>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</si>
  <si>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</si>
  <si>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</si>
  <si>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</si>
  <si>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</si>
  <si>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</si>
  <si>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</si>
  <si>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</si>
  <si>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</si>
  <si>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</si>
  <si>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</si>
  <si>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</si>
  <si>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</si>
  <si>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</si>
  <si>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</si>
  <si>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</si>
  <si>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</si>
  <si>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</si>
  <si>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</si>
  <si>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</si>
  <si>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</si>
  <si>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</si>
  <si>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</si>
  <si>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</si>
  <si>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</si>
  <si>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</si>
  <si>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</si>
  <si>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</si>
  <si>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</si>
  <si>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</si>
  <si>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</si>
  <si>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</si>
  <si>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</si>
  <si>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</si>
  <si>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</si>
  <si>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</si>
  <si>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</si>
  <si>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</si>
  <si>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</si>
  <si>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</si>
  <si>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</si>
  <si>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</si>
  <si>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</si>
  <si>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</si>
  <si>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</si>
  <si>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</si>
  <si>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</si>
  <si>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</si>
  <si>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</si>
  <si>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</si>
  <si>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</si>
  <si>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</si>
  <si>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</si>
  <si>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</si>
  <si>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</si>
  <si>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</si>
  <si>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</si>
  <si>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</si>
  <si>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</si>
  <si>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</si>
  <si>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</si>
  <si>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</si>
  <si>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</si>
  <si>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</si>
  <si>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</si>
  <si>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</si>
  <si>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</si>
  <si>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</si>
  <si>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</si>
  <si>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</si>
  <si>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</si>
  <si>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</si>
  <si>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</si>
  <si>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</si>
  <si>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</si>
  <si>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</si>
  <si>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</si>
  <si>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</si>
  <si>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</si>
  <si>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</si>
  <si>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</si>
  <si>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</si>
  <si>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</si>
  <si>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</si>
  <si>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</si>
  <si>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</si>
  <si>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</si>
  <si>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</si>
  <si>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</si>
  <si>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</si>
  <si>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</si>
  <si>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</si>
  <si>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</si>
  <si>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</si>
  <si>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</si>
  <si>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</si>
  <si>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</si>
  <si>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</si>
  <si>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</si>
  <si>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</si>
  <si>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</si>
  <si>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</si>
  <si>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</si>
  <si>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</si>
  <si>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</si>
  <si>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</si>
  <si>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</si>
  <si>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</si>
  <si>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</si>
  <si>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</si>
  <si>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</si>
  <si>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</si>
  <si>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</si>
  <si>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</si>
  <si>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</si>
  <si>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</si>
  <si>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</si>
  <si>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</si>
  <si>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</si>
  <si>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</si>
  <si>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</si>
  <si>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</si>
  <si>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</si>
  <si>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</si>
  <si>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</si>
  <si>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</si>
  <si>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</si>
  <si>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</si>
  <si>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</si>
  <si>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</si>
  <si>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</si>
  <si>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</si>
  <si>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</si>
  <si>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</si>
  <si>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</si>
  <si>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</si>
  <si>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</si>
  <si>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</si>
  <si>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</si>
  <si>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</si>
  <si>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</si>
  <si>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</si>
  <si>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</si>
  <si>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</si>
  <si>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</si>
  <si>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</si>
  <si>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</si>
  <si>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</si>
  <si>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</si>
  <si>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</si>
  <si>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</si>
  <si>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</si>
  <si>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</si>
  <si>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</si>
  <si>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</si>
  <si>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</si>
  <si>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</si>
  <si>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</si>
  <si>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</si>
  <si>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</si>
  <si>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</si>
  <si>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</si>
  <si>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</si>
  <si>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</si>
  <si>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</si>
  <si>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</si>
  <si>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</si>
  <si>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</si>
  <si>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</si>
  <si>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</si>
  <si>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</si>
  <si>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</si>
  <si>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</si>
  <si>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</si>
  <si>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</si>
  <si>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</si>
  <si>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</si>
  <si>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</si>
  <si>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</si>
  <si>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</si>
  <si>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</si>
  <si>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</si>
  <si>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</si>
  <si>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</si>
  <si>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</si>
  <si>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</si>
  <si>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</si>
  <si>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</si>
  <si>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</si>
  <si>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</si>
  <si>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</si>
  <si>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</si>
  <si>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</si>
  <si>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</si>
  <si>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</si>
  <si>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</si>
  <si>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</si>
  <si>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</si>
  <si>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</si>
  <si>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</si>
  <si>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</si>
  <si>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</si>
  <si>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</si>
  <si>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</si>
  <si>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</si>
  <si>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</si>
  <si>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</si>
  <si>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</si>
  <si>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</si>
  <si>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</si>
  <si>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</si>
  <si>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</si>
  <si>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</si>
  <si>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</si>
  <si>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</si>
  <si>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</si>
  <si>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</si>
  <si>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</si>
  <si>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</si>
  <si>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</si>
  <si>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</si>
  <si>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</si>
  <si>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</si>
  <si>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</si>
  <si>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618532-5684</t>
  </si>
  <si>
    <t>gandscpa@sbcglobal.net</t>
  </si>
  <si>
    <t>Marion</t>
  </si>
  <si>
    <t>404 South Elm</t>
  </si>
  <si>
    <t>cclark@ccs135.com</t>
  </si>
  <si>
    <t>x</t>
  </si>
  <si>
    <t>Craig E. Clark</t>
  </si>
  <si>
    <t>618-532-1907</t>
  </si>
  <si>
    <t>618-532-4986</t>
  </si>
  <si>
    <t>Bo Thomas, CPA</t>
  </si>
  <si>
    <t>2012 Refunding Bonds</t>
  </si>
  <si>
    <t>Capital Lease - LED Lighting</t>
  </si>
  <si>
    <t>Kaskaskia Special Education District</t>
  </si>
  <si>
    <t>Page 10, Line 74 - Other Food Service</t>
  </si>
  <si>
    <t>Vending Machine Receipts</t>
  </si>
  <si>
    <t>E-Rate</t>
  </si>
  <si>
    <t>Marion County 708 Board</t>
  </si>
  <si>
    <t>Midwest Dairy Council Nutrition Equipment Local Grant</t>
  </si>
  <si>
    <t>Action for Healthy kids Breakfast Local Grant</t>
  </si>
  <si>
    <t>Cultural Society</t>
  </si>
  <si>
    <t>Sale of Supplies, Services, &amp; Repairs</t>
  </si>
  <si>
    <t>Refunds &amp; Reimbursements</t>
  </si>
  <si>
    <t>Page 11, Line 107 - Other Local - Education Fund</t>
  </si>
  <si>
    <t>Page 11, Line 107 - Other Local - Transportation Fund</t>
  </si>
  <si>
    <t>Page 11, Line 107 - Other Local - O&amp;M Fund</t>
  </si>
  <si>
    <t>Fan Bus</t>
  </si>
  <si>
    <t>Page 17, Line 128 - Other Support Services - O&amp;M Fund</t>
  </si>
  <si>
    <t>Building Rental</t>
  </si>
  <si>
    <t>Page 18, Line 65 - Other Debt Service</t>
  </si>
  <si>
    <t>Bond Agent Fees</t>
  </si>
  <si>
    <r>
      <t>The accompanying Schedule of Expenditures of Federal Awards includes the federal grant activity of Centralia City Schools -- District No. 135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</si>
  <si>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There were no subrecipients</t>
  </si>
  <si>
    <t>U.S. Departent of Education</t>
  </si>
  <si>
    <t>Passed through Illinois State Board of Education (ISBE):</t>
  </si>
  <si>
    <t xml:space="preserve">         Subtotal CFDA 84.010</t>
  </si>
  <si>
    <t>17-4300-00</t>
  </si>
  <si>
    <t>18-4300-00</t>
  </si>
  <si>
    <t xml:space="preserve">   Title VI - Rural Education Initiative</t>
  </si>
  <si>
    <t xml:space="preserve">         Subtotal CFDA 84.358</t>
  </si>
  <si>
    <t xml:space="preserve">    Title II - Teacher Quality</t>
  </si>
  <si>
    <t xml:space="preserve">         Subtotal CFDA 84.367</t>
  </si>
  <si>
    <t xml:space="preserve">    IDEA - Room Rent</t>
  </si>
  <si>
    <t>17-4625-00</t>
  </si>
  <si>
    <t>17-4107-00</t>
  </si>
  <si>
    <t>18-4107-00</t>
  </si>
  <si>
    <t>18-4392-00</t>
  </si>
  <si>
    <t>17-4392-00</t>
  </si>
  <si>
    <t xml:space="preserve">          Subtotal - Passed Through ISBE</t>
  </si>
  <si>
    <t>Passed through Kaskaskia Special Education District (KSED):</t>
  </si>
  <si>
    <t xml:space="preserve">    IDEA Preschool Flow-thru</t>
  </si>
  <si>
    <t xml:space="preserve">         Subtotal CFDA 84.173</t>
  </si>
  <si>
    <t xml:space="preserve">   IDEA Flow-thru</t>
  </si>
  <si>
    <t xml:space="preserve">         Subtotal CFDA 84.027</t>
  </si>
  <si>
    <t>17-4600-00</t>
  </si>
  <si>
    <t>18-4600-00</t>
  </si>
  <si>
    <t>17-4620-00</t>
  </si>
  <si>
    <t>18-4620-00</t>
  </si>
  <si>
    <t xml:space="preserve">         Subtotal Passed Trhough KSED</t>
  </si>
  <si>
    <t xml:space="preserve">          Total U.S. Department of Education</t>
  </si>
  <si>
    <t>Passed through Illinois Department of Healthcare and Family Services:</t>
  </si>
  <si>
    <t xml:space="preserve">    Medicaid - Administrative Outreach</t>
  </si>
  <si>
    <t>17-4991-00</t>
  </si>
  <si>
    <t>18-4991-00</t>
  </si>
  <si>
    <t>U.S. Department of Agriculture</t>
  </si>
  <si>
    <t>Passed through Illinois State Board of Education:</t>
  </si>
  <si>
    <t xml:space="preserve">         Subtotal CFDA 10.555</t>
  </si>
  <si>
    <t>17-4210-00</t>
  </si>
  <si>
    <t>18-4210-00</t>
  </si>
  <si>
    <t xml:space="preserve">    School Breakfast Program</t>
  </si>
  <si>
    <t xml:space="preserve">   School Lunch Program </t>
  </si>
  <si>
    <t>17-4220-00</t>
  </si>
  <si>
    <t>18-4220-00</t>
  </si>
  <si>
    <t xml:space="preserve">         Subtotal CFDA 10.553</t>
  </si>
  <si>
    <t xml:space="preserve">    Special Milk</t>
  </si>
  <si>
    <t xml:space="preserve">         Subtotal CFDA 10.556</t>
  </si>
  <si>
    <t>17-4215-00</t>
  </si>
  <si>
    <t>18-4215-00</t>
  </si>
  <si>
    <t xml:space="preserve">    Fresh Fruits &amp; Vegetables (Cash)</t>
  </si>
  <si>
    <t>17-4240-00</t>
  </si>
  <si>
    <t>18-4240-00</t>
  </si>
  <si>
    <t xml:space="preserve">         Subtotal CFDA 10.582</t>
  </si>
  <si>
    <t xml:space="preserve">    Commodities (Non-cash)</t>
  </si>
  <si>
    <t xml:space="preserve">    Department of Defense Fresh Fruits &amp; Vegetables</t>
  </si>
  <si>
    <t xml:space="preserve">         Total U.S. Department of Agriculture</t>
  </si>
  <si>
    <t xml:space="preserve">         Total Federal Awards</t>
  </si>
  <si>
    <t>N/A</t>
  </si>
  <si>
    <t xml:space="preserve">    Istudent Support &amp; Academic Enrichment</t>
  </si>
  <si>
    <t>18-4400-00</t>
  </si>
  <si>
    <t xml:space="preserve">    Title I - Low Income (m)</t>
  </si>
  <si>
    <t>Adverse - Regulatory Basis</t>
  </si>
  <si>
    <t>N/A - None</t>
  </si>
  <si>
    <t>None</t>
  </si>
  <si>
    <t>ED-Pupil-Purchased Services</t>
  </si>
  <si>
    <t>10-2100-300</t>
  </si>
  <si>
    <t>Community Resource Center</t>
  </si>
  <si>
    <t>TR-Pupil Transportation - Purchased Services</t>
  </si>
  <si>
    <t>40-2550-300</t>
  </si>
  <si>
    <t>Durham School Services</t>
  </si>
  <si>
    <t>Timberline LLC</t>
  </si>
  <si>
    <t>Glass &amp; Shuffett, Ltd.</t>
  </si>
  <si>
    <t>U.S. Departent of Health and Human Services</t>
  </si>
  <si>
    <t xml:space="preserve">         Total U.S. Dept of Health and Human Services</t>
  </si>
  <si>
    <t>066-004976</t>
  </si>
  <si>
    <t>Centralia City SD 135</t>
  </si>
  <si>
    <t>Centralia,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</si>
</sst>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8" fontId="2" fillId="0" borderId="158" xfId="17" applyNumberFormat="1" applyFont="1" applyBorder="1" applyAlignment="1" applyProtection="1">
      <alignment horizontal="right" vertical="top"/>
      <protection locked="0"/>
    </xf>
    <xf numFmtId="164" fontId="63" fillId="0" borderId="0" xfId="0" applyNumberFormat="1" applyFont="1"/>
    <xf numFmtId="164" fontId="64" fillId="0" borderId="0" xfId="0" applyNumberFormat="1" applyFont="1"/>
    <xf numFmtId="181" fontId="56" fillId="0" borderId="0" xfId="19" applyNumberFormat="1" applyFont="1"/>
    <xf numFmtId="182" fontId="56" fillId="0" borderId="0" xfId="1" applyNumberFormat="1" applyFont="1"/>
    <xf numFmtId="182" fontId="56" fillId="0" borderId="78" xfId="1" applyNumberFormat="1" applyFont="1" applyBorder="1"/>
    <xf numFmtId="181" fontId="56" fillId="0" borderId="166" xfId="19" applyNumberFormat="1" applyFont="1" applyBorder="1"/>
    <xf numFmtId="181" fontId="56" fillId="0" borderId="167" xfId="19"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 fontId="61" fillId="0" borderId="150" xfId="3" applyNumberFormat="1" applyFont="1" applyBorder="1" applyAlignment="1" applyProtection="1">
      <alignment horizontal="left" vertical="center"/>
      <protection locked="0"/>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2138796</xdr:colOff>
          <xdr:row>3</xdr:row>
          <xdr:rowOff>60614</xdr:rowOff>
        </xdr:from>
        <xdr:to>
          <xdr:col>1</xdr:col>
          <xdr:colOff>3050598</xdr:colOff>
          <xdr:row>8</xdr:row>
          <xdr:rowOff>19916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3446318</xdr:colOff>
          <xdr:row>3</xdr:row>
          <xdr:rowOff>86592</xdr:rowOff>
        </xdr:from>
        <xdr:to>
          <xdr:col>2</xdr:col>
          <xdr:colOff>374938</xdr:colOff>
          <xdr:row>8</xdr:row>
          <xdr:rowOff>45894</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22" sqref="A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8" t="s">
        <v>425</v>
      </c>
      <c r="J1" s="2009"/>
      <c r="K1" s="2009"/>
      <c r="L1" s="2009"/>
      <c r="M1" s="2009"/>
      <c r="N1" s="2009"/>
      <c r="O1" s="2009"/>
      <c r="P1" s="2009"/>
      <c r="Q1" s="2009"/>
      <c r="R1" s="2009"/>
      <c r="S1" s="2009"/>
    </row>
    <row r="2" spans="1:28" ht="12" customHeight="1" x14ac:dyDescent="0.2">
      <c r="A2" s="47" t="s">
        <v>1684</v>
      </c>
      <c r="D2" s="48"/>
      <c r="I2" s="2010" t="s">
        <v>1036</v>
      </c>
      <c r="J2" s="2009"/>
      <c r="K2" s="2009"/>
      <c r="L2" s="2009"/>
      <c r="M2" s="2009"/>
      <c r="N2" s="2009"/>
      <c r="O2" s="2009"/>
      <c r="P2" s="2009"/>
      <c r="Q2" s="2009"/>
      <c r="R2" s="2009"/>
      <c r="S2" s="2009"/>
    </row>
    <row r="3" spans="1:28" ht="12" customHeight="1" x14ac:dyDescent="0.2">
      <c r="A3" s="155" t="s">
        <v>1685</v>
      </c>
      <c r="B3" s="156"/>
      <c r="C3" s="156"/>
      <c r="D3" s="157"/>
      <c r="I3" s="2010" t="s">
        <v>54</v>
      </c>
      <c r="J3" s="2009"/>
      <c r="K3" s="2009"/>
      <c r="L3" s="2009"/>
      <c r="M3" s="2009"/>
      <c r="N3" s="2009"/>
      <c r="O3" s="2009"/>
      <c r="P3" s="2009"/>
      <c r="Q3" s="2009"/>
      <c r="R3" s="2009"/>
      <c r="S3" s="2009"/>
    </row>
    <row r="4" spans="1:28" ht="12" customHeight="1" x14ac:dyDescent="0.2">
      <c r="A4" s="37"/>
      <c r="I4" s="2010" t="s">
        <v>545</v>
      </c>
      <c r="J4" s="2009"/>
      <c r="K4" s="2009"/>
      <c r="L4" s="2009"/>
      <c r="M4" s="2009"/>
      <c r="N4" s="2009"/>
      <c r="O4" s="2009"/>
      <c r="P4" s="2009"/>
      <c r="Q4" s="2009"/>
      <c r="R4" s="2009"/>
      <c r="S4" s="2009"/>
    </row>
    <row r="5" spans="1:28" ht="14.1" customHeight="1" x14ac:dyDescent="0.2">
      <c r="B5" s="104" t="s">
        <v>2076</v>
      </c>
      <c r="C5" s="26" t="s">
        <v>966</v>
      </c>
      <c r="D5" s="84"/>
      <c r="E5" s="84"/>
      <c r="H5" s="38"/>
      <c r="I5" s="2018" t="s">
        <v>701</v>
      </c>
      <c r="J5" s="2017"/>
      <c r="K5" s="2017"/>
      <c r="L5" s="2017"/>
      <c r="M5" s="2017"/>
      <c r="N5" s="2017"/>
      <c r="O5" s="2017"/>
      <c r="P5" s="2017"/>
      <c r="Q5" s="2017"/>
      <c r="R5" s="2017"/>
      <c r="S5" s="2017"/>
    </row>
    <row r="6" spans="1:28" ht="14.1" customHeight="1" x14ac:dyDescent="0.2">
      <c r="B6" s="104"/>
      <c r="C6" s="26" t="s">
        <v>967</v>
      </c>
      <c r="D6" s="84"/>
      <c r="E6" s="84"/>
      <c r="I6" s="2016" t="s">
        <v>938</v>
      </c>
      <c r="J6" s="2017"/>
      <c r="K6" s="2017"/>
      <c r="L6" s="2017"/>
      <c r="M6" s="2017"/>
      <c r="N6" s="2017"/>
      <c r="O6" s="2017"/>
      <c r="P6" s="2017"/>
      <c r="Q6" s="2017"/>
      <c r="R6" s="2017"/>
      <c r="S6" s="2017"/>
    </row>
    <row r="7" spans="1:28" ht="12.2" customHeight="1" x14ac:dyDescent="0.2">
      <c r="I7" s="2011">
        <v>43281</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695</v>
      </c>
      <c r="J9" s="2014"/>
      <c r="K9" s="2014"/>
      <c r="L9" s="2014"/>
      <c r="M9" s="2014"/>
      <c r="N9" s="2014"/>
      <c r="O9" s="2014"/>
      <c r="P9" s="2014"/>
      <c r="Q9" s="2014"/>
      <c r="R9" s="2014"/>
      <c r="S9" s="2015"/>
      <c r="T9" s="2029" t="s">
        <v>554</v>
      </c>
      <c r="U9" s="2030"/>
      <c r="V9" s="2030"/>
      <c r="W9" s="2030"/>
      <c r="X9" s="2030"/>
      <c r="Y9" s="2030"/>
      <c r="Z9" s="2030"/>
      <c r="AA9" s="2031"/>
    </row>
    <row r="10" spans="1:28" ht="13.5" customHeight="1" x14ac:dyDescent="0.2">
      <c r="A10" s="2036" t="s">
        <v>696</v>
      </c>
      <c r="B10" s="2037"/>
      <c r="C10" s="2037"/>
      <c r="D10" s="2037"/>
      <c r="E10" s="2037"/>
      <c r="F10" s="2037"/>
      <c r="G10" s="2037"/>
      <c r="H10" s="2038"/>
      <c r="I10" s="29"/>
      <c r="J10" s="30"/>
      <c r="K10" s="28"/>
      <c r="R10" s="30"/>
      <c r="S10" s="30"/>
      <c r="T10" s="2032"/>
      <c r="U10" s="2017"/>
      <c r="V10" s="2017"/>
      <c r="W10" s="2017"/>
      <c r="X10" s="2017"/>
      <c r="Y10" s="2017"/>
      <c r="Z10" s="2017"/>
      <c r="AA10" s="2023"/>
    </row>
    <row r="11" spans="1:28" ht="14.25" customHeight="1" x14ac:dyDescent="0.2">
      <c r="A11" s="2039" t="s">
        <v>1012</v>
      </c>
      <c r="B11" s="2040"/>
      <c r="C11" s="2040"/>
      <c r="D11" s="2040"/>
      <c r="E11" s="2040"/>
      <c r="F11" s="2040"/>
      <c r="G11" s="2040"/>
      <c r="H11" s="2041"/>
      <c r="I11" s="27"/>
      <c r="J11" s="74"/>
      <c r="K11" s="27"/>
      <c r="O11" s="148" t="s">
        <v>2076</v>
      </c>
      <c r="P11" s="100" t="s">
        <v>210</v>
      </c>
      <c r="Q11" s="30"/>
      <c r="R11" s="28"/>
      <c r="S11" s="27"/>
      <c r="T11" s="2033"/>
      <c r="U11" s="2034"/>
      <c r="V11" s="2034"/>
      <c r="W11" s="2034"/>
      <c r="X11" s="2034"/>
      <c r="Y11" s="2034"/>
      <c r="Z11" s="2034"/>
      <c r="AA11" s="203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3">
        <v>13058135002</v>
      </c>
      <c r="B13" s="2044"/>
      <c r="C13" s="2044"/>
      <c r="D13" s="2044"/>
      <c r="E13" s="2044"/>
      <c r="F13" s="2044"/>
      <c r="G13" s="2044"/>
      <c r="H13" s="2045"/>
      <c r="I13" s="31"/>
      <c r="J13" s="30"/>
      <c r="K13" s="28"/>
      <c r="L13" s="30"/>
      <c r="M13" s="30"/>
      <c r="N13" s="30"/>
      <c r="O13" s="30"/>
      <c r="P13" s="30"/>
      <c r="Q13" s="30"/>
      <c r="R13" s="30"/>
      <c r="S13" s="30"/>
      <c r="T13" s="2048" t="s">
        <v>2077</v>
      </c>
      <c r="U13" s="2049"/>
      <c r="V13" s="2049"/>
      <c r="W13" s="2049"/>
      <c r="X13" s="2049"/>
      <c r="Y13" s="2050"/>
      <c r="Z13" s="2050"/>
      <c r="AA13" s="205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2" t="s">
        <v>2084</v>
      </c>
      <c r="B15" s="2046"/>
      <c r="C15" s="2046"/>
      <c r="D15" s="2046"/>
      <c r="E15" s="2046"/>
      <c r="F15" s="2046"/>
      <c r="G15" s="2046"/>
      <c r="H15" s="2047"/>
      <c r="T15" s="2052" t="s">
        <v>2091</v>
      </c>
      <c r="U15" s="1996"/>
      <c r="V15" s="1996"/>
      <c r="W15" s="1996"/>
      <c r="X15" s="1996"/>
      <c r="Y15" s="2053"/>
      <c r="Z15" s="2053"/>
      <c r="AA15" s="205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2" t="s">
        <v>2185</v>
      </c>
      <c r="B17" s="2003"/>
      <c r="C17" s="2003"/>
      <c r="D17" s="2003"/>
      <c r="E17" s="2003"/>
      <c r="F17" s="2003"/>
      <c r="G17" s="2003"/>
      <c r="H17" s="2028"/>
      <c r="T17" s="2059" t="s">
        <v>2078</v>
      </c>
      <c r="U17" s="2060"/>
      <c r="V17" s="2060"/>
      <c r="W17" s="2060"/>
      <c r="X17" s="2060"/>
      <c r="Y17" s="2060"/>
      <c r="Z17" s="2060"/>
      <c r="AA17" s="2061"/>
    </row>
    <row r="18" spans="1:27" ht="13.5" customHeight="1" x14ac:dyDescent="0.2">
      <c r="A18" s="85" t="s">
        <v>551</v>
      </c>
      <c r="B18" s="76"/>
      <c r="C18" s="72"/>
      <c r="D18" s="76"/>
      <c r="E18" s="76"/>
      <c r="F18" s="76"/>
      <c r="G18" s="76"/>
      <c r="H18" s="56"/>
      <c r="I18" s="2027" t="s">
        <v>697</v>
      </c>
      <c r="J18" s="1978"/>
      <c r="K18" s="1978"/>
      <c r="L18" s="1978"/>
      <c r="M18" s="1978"/>
      <c r="N18" s="1978"/>
      <c r="O18" s="1978"/>
      <c r="P18" s="1978"/>
      <c r="Q18" s="1978"/>
      <c r="R18" s="1978"/>
      <c r="S18" s="1979"/>
      <c r="T18" s="85" t="s">
        <v>735</v>
      </c>
      <c r="U18" s="51"/>
      <c r="V18" s="72"/>
      <c r="W18" s="50"/>
      <c r="X18" s="85" t="s">
        <v>284</v>
      </c>
      <c r="Y18" s="81"/>
      <c r="Z18" s="159" t="s">
        <v>698</v>
      </c>
      <c r="AA18" s="46"/>
    </row>
    <row r="19" spans="1:27" ht="13.5" customHeight="1" x14ac:dyDescent="0.2">
      <c r="A19" s="2042" t="s">
        <v>2085</v>
      </c>
      <c r="B19" s="1988"/>
      <c r="C19" s="1988"/>
      <c r="D19" s="1988"/>
      <c r="E19" s="1988"/>
      <c r="F19" s="1988"/>
      <c r="G19" s="1988"/>
      <c r="H19" s="1968"/>
      <c r="I19" s="30"/>
      <c r="J19" s="99"/>
      <c r="K19" s="40"/>
      <c r="L19" s="38"/>
      <c r="M19" s="112" t="s">
        <v>333</v>
      </c>
      <c r="P19" s="27"/>
      <c r="Q19" s="27"/>
      <c r="R19" s="27"/>
      <c r="S19" s="31"/>
      <c r="T19" s="2042" t="s">
        <v>2079</v>
      </c>
      <c r="U19" s="1967"/>
      <c r="V19" s="1967"/>
      <c r="W19" s="1968"/>
      <c r="X19" s="2057" t="s">
        <v>2080</v>
      </c>
      <c r="Y19" s="2058"/>
      <c r="Z19" s="2055">
        <v>62801</v>
      </c>
      <c r="AA19" s="205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6" t="s">
        <v>2186</v>
      </c>
      <c r="B21" s="1967"/>
      <c r="C21" s="1967"/>
      <c r="D21" s="1967"/>
      <c r="E21" s="1967"/>
      <c r="F21" s="1967"/>
      <c r="G21" s="1967"/>
      <c r="H21" s="1968"/>
      <c r="I21" s="2022" t="s">
        <v>699</v>
      </c>
      <c r="J21" s="2017"/>
      <c r="K21" s="2017"/>
      <c r="L21" s="2017"/>
      <c r="M21" s="2017"/>
      <c r="N21" s="2017"/>
      <c r="O21" s="2017"/>
      <c r="P21" s="2017"/>
      <c r="Q21" s="2017"/>
      <c r="R21" s="2017"/>
      <c r="S21" s="2023"/>
      <c r="T21" s="2066" t="s">
        <v>2081</v>
      </c>
      <c r="U21" s="2067"/>
      <c r="V21" s="2067"/>
      <c r="W21" s="2067"/>
      <c r="X21" s="2072" t="s">
        <v>2082</v>
      </c>
      <c r="Y21" s="2073"/>
      <c r="Z21" s="2073"/>
      <c r="AA21" s="2074"/>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19" t="s">
        <v>2086</v>
      </c>
      <c r="B23" s="2020"/>
      <c r="C23" s="2020"/>
      <c r="D23" s="2020"/>
      <c r="E23" s="2020"/>
      <c r="F23" s="2020"/>
      <c r="G23" s="2020"/>
      <c r="H23" s="2021"/>
      <c r="T23" s="2002" t="s">
        <v>2184</v>
      </c>
      <c r="U23" s="2065"/>
      <c r="V23" s="2065"/>
      <c r="W23" s="2065"/>
      <c r="X23" s="2069">
        <v>43434</v>
      </c>
      <c r="Y23" s="2070"/>
      <c r="Z23" s="2070"/>
      <c r="AA23" s="2071"/>
    </row>
    <row r="24" spans="1:27" ht="14.1" customHeight="1" x14ac:dyDescent="0.2">
      <c r="A24" s="88" t="s">
        <v>698</v>
      </c>
      <c r="B24" s="49"/>
      <c r="C24" s="49"/>
      <c r="D24" s="49"/>
      <c r="E24" s="49"/>
      <c r="F24" s="49"/>
      <c r="G24" s="49"/>
      <c r="H24" s="61"/>
      <c r="J24" s="1989">
        <f>IF(B5="x",IF(AUDITCHECK!D29="AFR form Incomplete.","",IF(AUDITCHECK!D29="Deficit reduction plan is required.","School District must complete a deficit reduction plan in the 2018-2019 Budget",)),"")</f>
        <v>0</v>
      </c>
      <c r="K24" s="1989"/>
      <c r="L24" s="1989"/>
      <c r="M24" s="1989"/>
      <c r="N24" s="1989"/>
      <c r="O24" s="1989"/>
      <c r="P24" s="1989"/>
      <c r="Q24" s="1989"/>
      <c r="R24" s="1989"/>
      <c r="S24" s="1990"/>
      <c r="T24" s="105" t="s">
        <v>552</v>
      </c>
      <c r="U24" s="106"/>
      <c r="V24" s="106"/>
      <c r="W24" s="106"/>
      <c r="X24" s="107"/>
      <c r="Y24" s="107"/>
      <c r="Z24" s="107"/>
      <c r="AA24" s="108"/>
    </row>
    <row r="25" spans="1:27" ht="14.1" customHeight="1" x14ac:dyDescent="0.2">
      <c r="A25" s="1966">
        <v>62801</v>
      </c>
      <c r="B25" s="1967"/>
      <c r="C25" s="1967"/>
      <c r="D25" s="1967"/>
      <c r="E25" s="1967"/>
      <c r="F25" s="1967"/>
      <c r="G25" s="1967"/>
      <c r="H25" s="1968"/>
      <c r="I25" s="113"/>
      <c r="J25" s="1991"/>
      <c r="K25" s="1991"/>
      <c r="L25" s="1991"/>
      <c r="M25" s="1991"/>
      <c r="N25" s="1991"/>
      <c r="O25" s="1991"/>
      <c r="P25" s="1991"/>
      <c r="Q25" s="1991"/>
      <c r="R25" s="1991"/>
      <c r="S25" s="1992"/>
      <c r="T25" s="2062" t="s">
        <v>2083</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7" t="s">
        <v>1591</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2087</v>
      </c>
      <c r="C30" s="124" t="s">
        <v>1226</v>
      </c>
      <c r="D30" s="28"/>
      <c r="E30" s="28"/>
      <c r="F30" s="140"/>
      <c r="G30" s="114"/>
      <c r="H30" s="114"/>
      <c r="I30" s="54"/>
      <c r="J30" s="148" t="s">
        <v>2087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2087</v>
      </c>
      <c r="C34" s="32" t="s">
        <v>563</v>
      </c>
      <c r="D34" s="31"/>
      <c r="E34" s="31"/>
      <c r="F34" s="31"/>
      <c r="G34" s="31"/>
      <c r="H34" s="31"/>
      <c r="I34" s="54"/>
      <c r="J34" s="83"/>
      <c r="L34" s="101"/>
      <c r="M34" s="93" t="s">
        <v>731</v>
      </c>
      <c r="N34" s="30"/>
      <c r="O34" s="30"/>
      <c r="P34" s="30"/>
      <c r="Q34" s="30"/>
      <c r="R34" s="30"/>
      <c r="S34" s="55"/>
      <c r="T34" s="30"/>
      <c r="U34" s="148" t="s">
        <v>2087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2" t="s">
        <v>2088</v>
      </c>
      <c r="B38" s="2003"/>
      <c r="C38" s="2003"/>
      <c r="D38" s="2003"/>
      <c r="E38" s="2003"/>
      <c r="F38" s="1967"/>
      <c r="G38" s="1967"/>
      <c r="H38" s="1968"/>
      <c r="I38" s="1995"/>
      <c r="J38" s="1996"/>
      <c r="K38" s="1996"/>
      <c r="L38" s="1996"/>
      <c r="M38" s="1996"/>
      <c r="N38" s="1996"/>
      <c r="O38" s="1996"/>
      <c r="P38" s="1997"/>
      <c r="Q38" s="1997"/>
      <c r="R38" s="1997"/>
      <c r="S38" s="1998"/>
      <c r="T38" s="2052"/>
      <c r="U38" s="1996"/>
      <c r="V38" s="1996"/>
      <c r="W38" s="1996"/>
      <c r="X38" s="1997"/>
      <c r="Y38" s="1997"/>
      <c r="Z38" s="1997"/>
      <c r="AA38" s="1998"/>
    </row>
    <row r="39" spans="1:27" ht="12" customHeight="1" x14ac:dyDescent="0.2">
      <c r="A39" s="1972" t="s">
        <v>552</v>
      </c>
      <c r="B39" s="1973"/>
      <c r="C39" s="72"/>
      <c r="D39" s="69"/>
      <c r="E39" s="69"/>
      <c r="F39" s="79"/>
      <c r="G39" s="69"/>
      <c r="H39" s="56"/>
      <c r="I39" s="1972" t="s">
        <v>552</v>
      </c>
      <c r="J39" s="1973"/>
      <c r="K39" s="1973"/>
      <c r="L39" s="1973"/>
      <c r="M39" s="1973"/>
      <c r="N39" s="67"/>
      <c r="O39" s="72"/>
      <c r="P39" s="72"/>
      <c r="Q39" s="78"/>
      <c r="R39" s="72"/>
      <c r="S39" s="56"/>
      <c r="T39" s="72" t="s">
        <v>552</v>
      </c>
      <c r="U39" s="51"/>
      <c r="V39" s="72"/>
      <c r="W39" s="50"/>
      <c r="X39" s="78"/>
      <c r="Y39" s="45"/>
      <c r="Z39" s="45"/>
      <c r="AA39" s="46"/>
    </row>
    <row r="40" spans="1:27" ht="13.5" customHeight="1" x14ac:dyDescent="0.2">
      <c r="A40" s="1980" t="s">
        <v>2086</v>
      </c>
      <c r="B40" s="1981"/>
      <c r="C40" s="1982"/>
      <c r="D40" s="1982"/>
      <c r="E40" s="1982"/>
      <c r="F40" s="1983"/>
      <c r="G40" s="1983"/>
      <c r="H40" s="1984"/>
      <c r="I40" s="2005"/>
      <c r="J40" s="2006"/>
      <c r="K40" s="2006"/>
      <c r="L40" s="2006"/>
      <c r="M40" s="2006"/>
      <c r="N40" s="2006"/>
      <c r="O40" s="2006"/>
      <c r="P40" s="2006"/>
      <c r="Q40" s="2006"/>
      <c r="R40" s="2006"/>
      <c r="S40" s="2007"/>
      <c r="T40" s="2005"/>
      <c r="U40" s="2068"/>
      <c r="V40" s="2006"/>
      <c r="W40" s="2006"/>
      <c r="X40" s="2006"/>
      <c r="Y40" s="2006"/>
      <c r="Z40" s="2006"/>
      <c r="AA40" s="200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4" t="s">
        <v>2089</v>
      </c>
      <c r="B42" s="1986"/>
      <c r="C42" s="1987"/>
      <c r="D42" s="1985" t="s">
        <v>2090</v>
      </c>
      <c r="E42" s="1986"/>
      <c r="F42" s="1986"/>
      <c r="G42" s="1986"/>
      <c r="H42" s="1987"/>
      <c r="I42" s="1969"/>
      <c r="J42" s="1970"/>
      <c r="K42" s="1970"/>
      <c r="L42" s="1970"/>
      <c r="M42" s="1970"/>
      <c r="N42" s="1970"/>
      <c r="O42" s="1971"/>
      <c r="P42" s="2004"/>
      <c r="Q42" s="1970"/>
      <c r="R42" s="1970"/>
      <c r="S42" s="1971"/>
      <c r="T42" s="1969"/>
      <c r="U42" s="1970"/>
      <c r="V42" s="1970"/>
      <c r="W42" s="1971"/>
      <c r="X42" s="2004"/>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8" t="s">
        <v>1904</v>
      </c>
      <c r="B2" s="1549" t="s">
        <v>2036</v>
      </c>
      <c r="C2" s="715" t="s">
        <v>1909</v>
      </c>
      <c r="D2" s="715" t="s">
        <v>1910</v>
      </c>
      <c r="E2" s="715" t="s">
        <v>1911</v>
      </c>
      <c r="F2" s="715" t="s">
        <v>1912</v>
      </c>
    </row>
    <row r="3" spans="1:6" ht="12" customHeight="1" x14ac:dyDescent="0.2">
      <c r="A3" s="2209"/>
      <c r="B3" s="1546"/>
      <c r="C3" s="1547"/>
      <c r="D3" s="1548" t="s">
        <v>274</v>
      </c>
      <c r="E3" s="1547"/>
      <c r="F3" s="1548" t="s">
        <v>275</v>
      </c>
    </row>
    <row r="4" spans="1:6" ht="13.7" customHeight="1" x14ac:dyDescent="0.2">
      <c r="A4" s="716" t="s">
        <v>1217</v>
      </c>
      <c r="B4" s="1770">
        <f>'Revenues 9-14'!C5</f>
        <v>1851842</v>
      </c>
      <c r="C4" s="1545"/>
      <c r="D4" s="1773">
        <f>B4-C4</f>
        <v>1851842</v>
      </c>
      <c r="E4" s="1545">
        <v>1940046</v>
      </c>
      <c r="F4" s="1773">
        <f>E4-C4</f>
        <v>1940046</v>
      </c>
    </row>
    <row r="5" spans="1:6" ht="13.7" customHeight="1" x14ac:dyDescent="0.2">
      <c r="A5" s="716" t="s">
        <v>925</v>
      </c>
      <c r="B5" s="1771">
        <f>'Revenues 9-14'!D5</f>
        <v>287577</v>
      </c>
      <c r="C5" s="585"/>
      <c r="D5" s="1774">
        <f t="shared" ref="D5:D18" si="0">B5-C5</f>
        <v>287577</v>
      </c>
      <c r="E5" s="585">
        <v>299390</v>
      </c>
      <c r="F5" s="1774">
        <f>E5-C5</f>
        <v>299390</v>
      </c>
    </row>
    <row r="6" spans="1:6" ht="13.7" customHeight="1" x14ac:dyDescent="0.2">
      <c r="A6" s="716" t="s">
        <v>431</v>
      </c>
      <c r="B6" s="1771">
        <f>'Revenues 9-14'!E5</f>
        <v>207339</v>
      </c>
      <c r="C6" s="585"/>
      <c r="D6" s="1774">
        <f t="shared" si="0"/>
        <v>207339</v>
      </c>
      <c r="E6" s="585">
        <v>210690</v>
      </c>
      <c r="F6" s="1774">
        <f t="shared" ref="F6:F18" si="1">E6-C6</f>
        <v>210690</v>
      </c>
    </row>
    <row r="7" spans="1:6" ht="13.7" customHeight="1" x14ac:dyDescent="0.2">
      <c r="A7" s="716" t="s">
        <v>157</v>
      </c>
      <c r="B7" s="1771">
        <f>'Revenues 9-14'!F5</f>
        <v>137357</v>
      </c>
      <c r="C7" s="585"/>
      <c r="D7" s="1774">
        <f t="shared" si="0"/>
        <v>137357</v>
      </c>
      <c r="E7" s="585">
        <v>143707</v>
      </c>
      <c r="F7" s="1774">
        <f t="shared" si="1"/>
        <v>143707</v>
      </c>
    </row>
    <row r="8" spans="1:6" ht="13.7" customHeight="1" x14ac:dyDescent="0.2">
      <c r="A8" s="716" t="s">
        <v>1241</v>
      </c>
      <c r="B8" s="1771">
        <f>'Revenues 9-14'!G5</f>
        <v>232222</v>
      </c>
      <c r="C8" s="585"/>
      <c r="D8" s="1774">
        <f t="shared" si="0"/>
        <v>232222</v>
      </c>
      <c r="E8" s="585">
        <v>211631</v>
      </c>
      <c r="F8" s="1774">
        <f t="shared" si="1"/>
        <v>211631</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57238</v>
      </c>
      <c r="C10" s="585"/>
      <c r="D10" s="1774">
        <f t="shared" si="0"/>
        <v>57238</v>
      </c>
      <c r="E10" s="585">
        <v>59878</v>
      </c>
      <c r="F10" s="1774">
        <f t="shared" si="1"/>
        <v>59878</v>
      </c>
    </row>
    <row r="11" spans="1:6" x14ac:dyDescent="0.2">
      <c r="A11" s="716" t="s">
        <v>429</v>
      </c>
      <c r="B11" s="1771">
        <f>'Revenues 9-14'!J5</f>
        <v>257885</v>
      </c>
      <c r="C11" s="585"/>
      <c r="D11" s="1774">
        <f t="shared" si="0"/>
        <v>257885</v>
      </c>
      <c r="E11" s="585">
        <v>269810</v>
      </c>
      <c r="F11" s="1774">
        <f t="shared" si="1"/>
        <v>269810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55816</v>
      </c>
      <c r="C13" s="585"/>
      <c r="D13" s="1774">
        <f t="shared" si="0"/>
        <v>55816</v>
      </c>
      <c r="E13" s="585">
        <v>59878</v>
      </c>
      <c r="F13" s="1774">
        <f t="shared" si="1"/>
        <v>59878</v>
      </c>
    </row>
    <row r="14" spans="1:6" ht="13.7" customHeight="1" x14ac:dyDescent="0.2">
      <c r="A14" s="716" t="s">
        <v>430</v>
      </c>
      <c r="B14" s="1771">
        <f>SUM('Revenues 9-14'!C7:D7,'Revenues 9-14'!F7:H7)</f>
        <v>22893</v>
      </c>
      <c r="C14" s="585"/>
      <c r="D14" s="1774">
        <f t="shared" si="0"/>
        <v>22893</v>
      </c>
      <c r="E14" s="585">
        <v>23951</v>
      </c>
      <c r="F14" s="1774">
        <f t="shared" si="1"/>
        <v>23951</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146738</v>
      </c>
      <c r="C16" s="585"/>
      <c r="D16" s="1774">
        <f t="shared" si="0"/>
        <v>146738</v>
      </c>
      <c r="E16" s="585">
        <v>153527</v>
      </c>
      <c r="F16" s="1774">
        <f t="shared" si="1"/>
        <v>153527</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3256907</v>
      </c>
      <c r="C19" s="1772">
        <f>SUM(C4:C18)</f>
        <v>0</v>
      </c>
      <c r="D19" s="1772">
        <f>SUM(D4:D18)</f>
        <v>3256907</v>
      </c>
      <c r="E19" s="1772">
        <f>SUM(E4:E18)</f>
        <v>3372508</v>
      </c>
      <c r="F19" s="1772">
        <f>SUM(F4:F18)</f>
        <v>3372508</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E47" sqref="E4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0" t="s">
        <v>650</v>
      </c>
      <c r="B1" s="2228"/>
      <c r="C1" s="722"/>
    </row>
    <row r="2" spans="1:7" ht="33.75" x14ac:dyDescent="0.2">
      <c r="A2" s="2235" t="s">
        <v>1904</v>
      </c>
      <c r="B2" s="2236"/>
      <c r="C2" s="1908" t="s">
        <v>2037</v>
      </c>
      <c r="D2" s="724" t="s">
        <v>2044</v>
      </c>
      <c r="E2" s="724" t="s">
        <v>2045</v>
      </c>
      <c r="F2" s="1908" t="s">
        <v>2038</v>
      </c>
    </row>
    <row r="3" spans="1:7" ht="15.75" customHeight="1" x14ac:dyDescent="0.2">
      <c r="A3" s="2237" t="s">
        <v>1176</v>
      </c>
      <c r="B3" s="2238"/>
      <c r="C3" s="2231"/>
      <c r="D3" s="2232"/>
      <c r="E3" s="2232"/>
      <c r="F3" s="2233"/>
    </row>
    <row r="4" spans="1:7" ht="12.75" customHeight="1" thickBot="1" x14ac:dyDescent="0.25">
      <c r="A4" s="2225" t="s">
        <v>651</v>
      </c>
      <c r="B4" s="2226"/>
      <c r="C4" s="581"/>
      <c r="D4" s="581"/>
      <c r="E4" s="581"/>
      <c r="F4" s="1776">
        <f>SUM(C4+D4)-E4</f>
        <v>0</v>
      </c>
    </row>
    <row r="5" spans="1:7" ht="15.75" customHeight="1" thickTop="1" x14ac:dyDescent="0.2">
      <c r="A5" s="2229" t="s">
        <v>1172</v>
      </c>
      <c r="B5" s="2224"/>
      <c r="C5" s="2218"/>
      <c r="D5" s="2219"/>
      <c r="E5" s="2219"/>
      <c r="F5" s="2220"/>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1" t="s">
        <v>652</v>
      </c>
      <c r="B15" s="2222"/>
      <c r="C15" s="1776">
        <f>SUM(C6:C14)</f>
        <v>0</v>
      </c>
      <c r="D15" s="1776">
        <f>SUM(D6:D14)</f>
        <v>0</v>
      </c>
      <c r="E15" s="1776">
        <f>SUM(E6:E14)</f>
        <v>0</v>
      </c>
      <c r="F15" s="1776">
        <f>SUM(F6:F14)</f>
        <v>0</v>
      </c>
      <c r="G15" s="552"/>
    </row>
    <row r="16" spans="1:7" s="202" customFormat="1" ht="15.75" customHeight="1" thickTop="1" x14ac:dyDescent="0.2">
      <c r="A16" s="2234" t="s">
        <v>1173</v>
      </c>
      <c r="B16" s="2224"/>
      <c r="C16" s="2218"/>
      <c r="D16" s="2219"/>
      <c r="E16" s="2219"/>
      <c r="F16" s="2220"/>
    </row>
    <row r="17" spans="1:11" ht="12.75" customHeight="1" thickBot="1" x14ac:dyDescent="0.25">
      <c r="A17" s="2216" t="s">
        <v>66</v>
      </c>
      <c r="B17" s="2217"/>
      <c r="C17" s="727"/>
      <c r="D17" s="585"/>
      <c r="E17" s="727"/>
      <c r="F17" s="1776">
        <f>SUM(C17+D17)-E17</f>
        <v>0</v>
      </c>
    </row>
    <row r="18" spans="1:11" ht="12.75" customHeight="1" thickTop="1" thickBot="1" x14ac:dyDescent="0.25">
      <c r="A18" s="2216" t="s">
        <v>6</v>
      </c>
      <c r="B18" s="2217"/>
      <c r="C18" s="727"/>
      <c r="D18" s="585"/>
      <c r="E18" s="727"/>
      <c r="F18" s="1776">
        <f>SUM(C18+D18)-E18</f>
        <v>0</v>
      </c>
    </row>
    <row r="19" spans="1:11" ht="12.75" customHeight="1" thickTop="1" thickBot="1" x14ac:dyDescent="0.25">
      <c r="A19" s="2216" t="s">
        <v>406</v>
      </c>
      <c r="B19" s="2217"/>
      <c r="C19" s="727"/>
      <c r="D19" s="585"/>
      <c r="E19" s="727"/>
      <c r="F19" s="1776">
        <f>SUM(C19+D19)-E19</f>
        <v>0</v>
      </c>
    </row>
    <row r="20" spans="1:11" ht="12.75" customHeight="1" thickTop="1" thickBot="1" x14ac:dyDescent="0.25">
      <c r="A20" s="2216" t="s">
        <v>468</v>
      </c>
      <c r="B20" s="2217"/>
      <c r="C20" s="727"/>
      <c r="D20" s="585"/>
      <c r="E20" s="727"/>
      <c r="F20" s="1776">
        <f>SUM(C20+D20)-E20</f>
        <v>0</v>
      </c>
    </row>
    <row r="21" spans="1:11" ht="14.25" thickTop="1" thickBot="1" x14ac:dyDescent="0.25">
      <c r="A21" s="2221" t="s">
        <v>653</v>
      </c>
      <c r="B21" s="2222"/>
      <c r="C21" s="1776">
        <f>SUM(C17:C20)</f>
        <v>0</v>
      </c>
      <c r="D21" s="1776">
        <f>SUM(D17:D20)</f>
        <v>0</v>
      </c>
      <c r="E21" s="1776">
        <f>SUM(E17:E20)</f>
        <v>0</v>
      </c>
      <c r="F21" s="1776">
        <f>SUM(F17:F20)</f>
        <v>0</v>
      </c>
      <c r="G21" s="552"/>
    </row>
    <row r="22" spans="1:11" ht="15.75" customHeight="1" thickTop="1" x14ac:dyDescent="0.2">
      <c r="A22" s="2223" t="s">
        <v>1174</v>
      </c>
      <c r="B22" s="2224"/>
      <c r="C22" s="2218"/>
      <c r="D22" s="2219"/>
      <c r="E22" s="2219"/>
      <c r="F22" s="2220"/>
    </row>
    <row r="23" spans="1:11" ht="13.5" thickBot="1" x14ac:dyDescent="0.25">
      <c r="A23" s="2225" t="s">
        <v>654</v>
      </c>
      <c r="B23" s="2226"/>
      <c r="C23" s="581"/>
      <c r="D23" s="581"/>
      <c r="E23" s="581"/>
      <c r="F23" s="1776">
        <f>SUM(C23+D23)-E23</f>
        <v>0</v>
      </c>
      <c r="G23" s="552"/>
    </row>
    <row r="24" spans="1:11" ht="15.75" customHeight="1" thickTop="1" x14ac:dyDescent="0.2">
      <c r="A24" s="2223" t="s">
        <v>1175</v>
      </c>
      <c r="B24" s="2224"/>
      <c r="C24" s="2218"/>
      <c r="D24" s="2219"/>
      <c r="E24" s="2219"/>
      <c r="F24" s="2220"/>
    </row>
    <row r="25" spans="1:11" ht="13.5" thickBot="1" x14ac:dyDescent="0.25">
      <c r="A25" s="2225" t="s">
        <v>655</v>
      </c>
      <c r="B25" s="2226"/>
      <c r="C25" s="581"/>
      <c r="D25" s="581"/>
      <c r="E25" s="581"/>
      <c r="F25" s="1776">
        <f>SUM(C25+D25)-E25</f>
        <v>0</v>
      </c>
      <c r="G25" s="552"/>
    </row>
    <row r="26" spans="1:11" ht="15.75" customHeight="1" thickTop="1" x14ac:dyDescent="0.2">
      <c r="A26" s="2229" t="s">
        <v>678</v>
      </c>
      <c r="B26" s="2224"/>
      <c r="C26" s="728"/>
      <c r="D26" s="728"/>
      <c r="E26" s="728"/>
      <c r="F26" s="729"/>
    </row>
    <row r="27" spans="1:11" ht="13.5" thickBot="1" x14ac:dyDescent="0.25">
      <c r="A27" s="2221" t="s">
        <v>1130</v>
      </c>
      <c r="B27" s="2222"/>
      <c r="C27" s="585"/>
      <c r="D27" s="585"/>
      <c r="E27" s="585"/>
      <c r="F27" s="1776">
        <f>SUM(C27+D27)-E27</f>
        <v>0</v>
      </c>
      <c r="G27" s="552"/>
    </row>
    <row r="28" spans="1:11" ht="7.5" customHeight="1" thickTop="1" x14ac:dyDescent="0.2">
      <c r="A28" s="594"/>
    </row>
    <row r="29" spans="1:11" ht="23.25" customHeight="1" x14ac:dyDescent="0.2">
      <c r="A29" s="2227" t="s">
        <v>603</v>
      </c>
      <c r="B29" s="2228"/>
      <c r="C29" s="730"/>
      <c r="D29" s="730"/>
      <c r="E29" s="730"/>
      <c r="F29" s="730"/>
      <c r="G29" s="730"/>
      <c r="H29" s="730"/>
      <c r="I29" s="730"/>
      <c r="J29" s="730"/>
    </row>
    <row r="30" spans="1:11" ht="33.75" x14ac:dyDescent="0.2">
      <c r="A30" s="1550" t="s">
        <v>1131</v>
      </c>
      <c r="B30" s="731" t="s">
        <v>1186</v>
      </c>
      <c r="C30" s="1909" t="s">
        <v>604</v>
      </c>
      <c r="D30" s="1909" t="s">
        <v>1772</v>
      </c>
      <c r="E30" s="1909" t="s">
        <v>2039</v>
      </c>
      <c r="F30" s="1909" t="s">
        <v>2040</v>
      </c>
      <c r="G30" s="1909" t="s">
        <v>2043</v>
      </c>
      <c r="H30" s="1909" t="s">
        <v>2041</v>
      </c>
      <c r="I30" s="1909" t="s">
        <v>2042</v>
      </c>
      <c r="J30" s="1910" t="s">
        <v>2</v>
      </c>
      <c r="K30" s="732"/>
    </row>
    <row r="31" spans="1:11" ht="12" customHeight="1" x14ac:dyDescent="0.2">
      <c r="A31" s="733" t="s">
        <v>2092</v>
      </c>
      <c r="B31" s="734">
        <v>41087</v>
      </c>
      <c r="C31" s="735">
        <v>2750000</v>
      </c>
      <c r="D31" s="736">
        <v>3</v>
      </c>
      <c r="E31" s="735">
        <v>2100000</v>
      </c>
      <c r="F31" s="735"/>
      <c r="G31" s="735"/>
      <c r="H31" s="735">
        <v>145000</v>
      </c>
      <c r="I31" s="1777">
        <f>((E31+F31)-H31)+G31</f>
        <v>1955000</v>
      </c>
      <c r="J31" s="735">
        <f>+I31-'Assets-Liab 5-6'!E4</f>
        <v>1916823</v>
      </c>
      <c r="K31" s="737"/>
    </row>
    <row r="32" spans="1:11" ht="12" customHeight="1" x14ac:dyDescent="0.2">
      <c r="A32" s="733" t="s">
        <v>2093</v>
      </c>
      <c r="B32" s="734">
        <v>43125</v>
      </c>
      <c r="C32" s="735">
        <v>167522</v>
      </c>
      <c r="D32" s="736">
        <v>7</v>
      </c>
      <c r="E32" s="735"/>
      <c r="F32" s="735">
        <v>167522</v>
      </c>
      <c r="G32" s="735"/>
      <c r="H32" s="735">
        <v>2405</v>
      </c>
      <c r="I32" s="1777">
        <f>((E32+F32)-H32)+G32</f>
        <v>165117</v>
      </c>
      <c r="J32" s="735">
        <f>+I32</f>
        <v>165117</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2917522</v>
      </c>
      <c r="D49" s="746"/>
      <c r="E49" s="1777">
        <f t="shared" ref="E49:J49" si="2">SUM(E31:E48)</f>
        <v>2100000</v>
      </c>
      <c r="F49" s="1777">
        <f t="shared" si="2"/>
        <v>167522</v>
      </c>
      <c r="G49" s="1777">
        <f t="shared" si="2"/>
        <v>0</v>
      </c>
      <c r="H49" s="1777">
        <f t="shared" si="2"/>
        <v>147405</v>
      </c>
      <c r="I49" s="1777">
        <f t="shared" si="2"/>
        <v>2120117</v>
      </c>
      <c r="J49" s="1777">
        <f t="shared" si="2"/>
        <v>2081940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10" t="s">
        <v>605</v>
      </c>
      <c r="C52" s="2211"/>
      <c r="D52" s="2211"/>
      <c r="E52" s="750" t="s">
        <v>900</v>
      </c>
      <c r="F52" s="2212"/>
      <c r="G52" s="2213"/>
      <c r="H52" s="737"/>
      <c r="I52" s="737"/>
      <c r="J52" s="747"/>
    </row>
    <row r="53" spans="1:11" ht="11.25" customHeight="1" x14ac:dyDescent="0.2">
      <c r="A53" s="751" t="s">
        <v>969</v>
      </c>
      <c r="B53" s="752" t="s">
        <v>1008</v>
      </c>
      <c r="C53" s="747"/>
      <c r="D53" s="738"/>
      <c r="E53" s="750" t="s">
        <v>518</v>
      </c>
      <c r="F53" s="2214"/>
      <c r="G53" s="2215"/>
      <c r="H53" s="737"/>
      <c r="I53" s="737"/>
      <c r="J53" s="747"/>
    </row>
    <row r="54" spans="1:11" ht="11.25" customHeight="1" x14ac:dyDescent="0.2">
      <c r="A54" s="753" t="s">
        <v>970</v>
      </c>
      <c r="B54" s="748" t="s">
        <v>1009</v>
      </c>
      <c r="C54" s="747"/>
      <c r="D54" s="738"/>
      <c r="E54" s="750" t="s">
        <v>519</v>
      </c>
      <c r="F54" s="2214"/>
      <c r="G54" s="221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1"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911</v>
      </c>
      <c r="B1" s="2240"/>
      <c r="C1" s="2240"/>
      <c r="D1" s="2240"/>
      <c r="E1" s="2240"/>
      <c r="F1" s="2240"/>
      <c r="G1" s="2241"/>
      <c r="H1" s="1551"/>
      <c r="I1" s="761"/>
      <c r="J1" s="433"/>
    </row>
    <row r="2" spans="1:11" ht="26.25" x14ac:dyDescent="0.2">
      <c r="A2" s="2258" t="s">
        <v>1776</v>
      </c>
      <c r="B2" s="2259"/>
      <c r="C2" s="2259"/>
      <c r="D2" s="2259"/>
      <c r="E2" s="2260"/>
      <c r="F2" s="762" t="s">
        <v>960</v>
      </c>
      <c r="G2" s="763" t="s">
        <v>1773</v>
      </c>
      <c r="H2" s="763" t="s">
        <v>430</v>
      </c>
      <c r="I2" s="763" t="s">
        <v>1220</v>
      </c>
      <c r="J2" s="763" t="s">
        <v>1918</v>
      </c>
      <c r="K2" s="763" t="s">
        <v>140</v>
      </c>
    </row>
    <row r="3" spans="1:11" x14ac:dyDescent="0.2">
      <c r="A3" s="2261" t="s">
        <v>1698</v>
      </c>
      <c r="B3" s="2262"/>
      <c r="C3" s="2262"/>
      <c r="D3" s="2262"/>
      <c r="E3" s="2263"/>
      <c r="F3" s="764"/>
      <c r="G3" s="765"/>
      <c r="H3" s="765"/>
      <c r="I3" s="765"/>
      <c r="J3" s="766"/>
      <c r="K3" s="766"/>
    </row>
    <row r="4" spans="1:11" x14ac:dyDescent="0.2">
      <c r="A4" s="2264" t="s">
        <v>387</v>
      </c>
      <c r="B4" s="2265"/>
      <c r="C4" s="2265"/>
      <c r="D4" s="2265"/>
      <c r="E4" s="2211"/>
      <c r="F4" s="767"/>
      <c r="G4" s="768"/>
      <c r="H4" s="769"/>
      <c r="I4" s="768"/>
      <c r="J4" s="770"/>
      <c r="K4" s="770"/>
    </row>
    <row r="5" spans="1:11" x14ac:dyDescent="0.2">
      <c r="A5" s="2242" t="s">
        <v>1129</v>
      </c>
      <c r="B5" s="2243"/>
      <c r="C5" s="2243"/>
      <c r="D5" s="2243"/>
      <c r="E5" s="2244"/>
      <c r="F5" s="771" t="s">
        <v>903</v>
      </c>
      <c r="G5" s="772"/>
      <c r="H5" s="765">
        <v>22893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2" t="s">
        <v>1919</v>
      </c>
      <c r="B10" s="2243"/>
      <c r="C10" s="2243"/>
      <c r="D10" s="2243"/>
      <c r="E10" s="2245"/>
      <c r="F10" s="784" t="s">
        <v>917</v>
      </c>
      <c r="G10" s="783"/>
      <c r="H10" s="785"/>
      <c r="I10" s="765"/>
      <c r="J10" s="766"/>
      <c r="K10" s="766"/>
    </row>
    <row r="11" spans="1:11" x14ac:dyDescent="0.2">
      <c r="A11" s="2242" t="s">
        <v>162</v>
      </c>
      <c r="B11" s="2243"/>
      <c r="C11" s="2243"/>
      <c r="D11" s="2243"/>
      <c r="E11" s="2244"/>
      <c r="F11" s="771" t="s">
        <v>907</v>
      </c>
      <c r="G11" s="772"/>
      <c r="H11" s="765"/>
      <c r="I11" s="765"/>
      <c r="J11" s="766"/>
      <c r="K11" s="774"/>
    </row>
    <row r="12" spans="1:11" ht="13.5" thickBot="1" x14ac:dyDescent="0.25">
      <c r="A12" s="2269" t="s">
        <v>961</v>
      </c>
      <c r="B12" s="2270"/>
      <c r="C12" s="2270"/>
      <c r="D12" s="2270"/>
      <c r="E12" s="2271"/>
      <c r="F12" s="1778"/>
      <c r="G12" s="1779">
        <f>SUM(G5:G11)</f>
        <v>0</v>
      </c>
      <c r="H12" s="1779">
        <f>SUM(H5:H11)</f>
        <v>22893</v>
      </c>
      <c r="I12" s="1779">
        <f>SUM(I5:I11)</f>
        <v>0</v>
      </c>
      <c r="J12" s="1779">
        <f>SUM(J5:J11)</f>
        <v>0</v>
      </c>
      <c r="K12" s="1779">
        <f>SUM(K5:K11)</f>
        <v>0</v>
      </c>
    </row>
    <row r="13" spans="1:11" ht="13.5" thickTop="1" x14ac:dyDescent="0.2">
      <c r="A13" s="2266" t="s">
        <v>388</v>
      </c>
      <c r="B13" s="2267"/>
      <c r="C13" s="2267"/>
      <c r="D13" s="2267"/>
      <c r="E13" s="2268"/>
      <c r="F13" s="786"/>
      <c r="G13" s="787"/>
      <c r="H13" s="788"/>
      <c r="I13" s="789"/>
      <c r="J13" s="789"/>
      <c r="K13" s="789"/>
    </row>
    <row r="14" spans="1:11" x14ac:dyDescent="0.2">
      <c r="A14" s="2249" t="s">
        <v>476</v>
      </c>
      <c r="B14" s="2249"/>
      <c r="C14" s="2249"/>
      <c r="D14" s="2249"/>
      <c r="E14" s="2250"/>
      <c r="F14" s="790" t="s">
        <v>909</v>
      </c>
      <c r="G14" s="783"/>
      <c r="H14" s="765"/>
      <c r="I14" s="772"/>
      <c r="J14" s="774"/>
      <c r="K14" s="766"/>
    </row>
    <row r="15" spans="1:11" x14ac:dyDescent="0.2">
      <c r="A15" s="2243" t="s">
        <v>4</v>
      </c>
      <c r="B15" s="2243"/>
      <c r="C15" s="2243"/>
      <c r="D15" s="2243"/>
      <c r="E15" s="2244"/>
      <c r="F15" s="790" t="s">
        <v>910</v>
      </c>
      <c r="G15" s="772"/>
      <c r="H15" s="765">
        <v>22893</v>
      </c>
      <c r="I15" s="765"/>
      <c r="J15" s="766"/>
      <c r="K15" s="766"/>
    </row>
    <row r="16" spans="1:11" x14ac:dyDescent="0.2">
      <c r="A16" s="2243" t="s">
        <v>316</v>
      </c>
      <c r="B16" s="2243"/>
      <c r="C16" s="2243"/>
      <c r="D16" s="2243"/>
      <c r="E16" s="2244"/>
      <c r="F16" s="790" t="s">
        <v>980</v>
      </c>
      <c r="G16" s="773"/>
      <c r="H16" s="768"/>
      <c r="I16" s="768"/>
      <c r="J16" s="770"/>
      <c r="K16" s="770"/>
    </row>
    <row r="17" spans="1:11" x14ac:dyDescent="0.2">
      <c r="A17" s="2274" t="s">
        <v>992</v>
      </c>
      <c r="B17" s="2274"/>
      <c r="C17" s="2274"/>
      <c r="D17" s="2274"/>
      <c r="E17" s="2275"/>
      <c r="F17" s="791"/>
      <c r="G17" s="792"/>
      <c r="H17" s="793"/>
      <c r="I17" s="793"/>
      <c r="J17" s="794"/>
      <c r="K17" s="795"/>
    </row>
    <row r="18" spans="1:11" x14ac:dyDescent="0.2">
      <c r="A18" s="2253" t="s">
        <v>386</v>
      </c>
      <c r="B18" s="2254"/>
      <c r="C18" s="2254"/>
      <c r="D18" s="2254"/>
      <c r="E18" s="2255"/>
      <c r="F18" s="790" t="s">
        <v>989</v>
      </c>
      <c r="G18" s="783"/>
      <c r="H18" s="783"/>
      <c r="I18" s="783"/>
      <c r="J18" s="766"/>
      <c r="K18" s="796"/>
    </row>
    <row r="19" spans="1:11" ht="21.75" customHeight="1" x14ac:dyDescent="0.2">
      <c r="A19" s="2251" t="s">
        <v>1915</v>
      </c>
      <c r="B19" s="2251"/>
      <c r="C19" s="2251"/>
      <c r="D19" s="2251"/>
      <c r="E19" s="2252"/>
      <c r="F19" s="790" t="s">
        <v>990</v>
      </c>
      <c r="G19" s="783"/>
      <c r="H19" s="783"/>
      <c r="I19" s="783"/>
      <c r="J19" s="766"/>
      <c r="K19" s="796"/>
    </row>
    <row r="20" spans="1:11" x14ac:dyDescent="0.2">
      <c r="A20" s="2253" t="s">
        <v>1920</v>
      </c>
      <c r="B20" s="2254"/>
      <c r="C20" s="2254"/>
      <c r="D20" s="2254"/>
      <c r="E20" s="2255"/>
      <c r="F20" s="790" t="s">
        <v>991</v>
      </c>
      <c r="G20" s="783"/>
      <c r="H20" s="783"/>
      <c r="I20" s="783"/>
      <c r="J20" s="766"/>
      <c r="K20" s="796"/>
    </row>
    <row r="21" spans="1:11" ht="13.5" thickBot="1" x14ac:dyDescent="0.25">
      <c r="A21" s="2272" t="s">
        <v>659</v>
      </c>
      <c r="B21" s="2272"/>
      <c r="C21" s="2272"/>
      <c r="D21" s="2272"/>
      <c r="E21" s="2272"/>
      <c r="F21" s="1780"/>
      <c r="G21" s="793"/>
      <c r="H21" s="797"/>
      <c r="I21" s="797"/>
      <c r="J21" s="1781">
        <f>SUM(J18:J20)</f>
        <v>0</v>
      </c>
      <c r="K21" s="794"/>
    </row>
    <row r="22" spans="1:11" ht="13.5" thickTop="1" x14ac:dyDescent="0.2">
      <c r="A22" s="2243" t="s">
        <v>1921</v>
      </c>
      <c r="B22" s="2243"/>
      <c r="C22" s="2243"/>
      <c r="D22" s="2243"/>
      <c r="E22" s="2244"/>
      <c r="F22" s="790" t="s">
        <v>917</v>
      </c>
      <c r="G22" s="783"/>
      <c r="H22" s="765"/>
      <c r="I22" s="765"/>
      <c r="J22" s="798"/>
      <c r="K22" s="766"/>
    </row>
    <row r="23" spans="1:11" ht="13.5" thickBot="1" x14ac:dyDescent="0.25">
      <c r="A23" s="2273" t="s">
        <v>962</v>
      </c>
      <c r="B23" s="2272"/>
      <c r="C23" s="2272"/>
      <c r="D23" s="2272"/>
      <c r="E23" s="2272"/>
      <c r="F23" s="1782"/>
      <c r="G23" s="1779">
        <f>SUM(G14:G16,G21,G22)</f>
        <v>0</v>
      </c>
      <c r="H23" s="1779">
        <f>SUM(H14:H16,H21,H22)</f>
        <v>22893</v>
      </c>
      <c r="I23" s="1779">
        <f>SUM(I14:I16,I21,I22)</f>
        <v>0</v>
      </c>
      <c r="J23" s="1779">
        <f>SUM(J14:J16,J21,J22)</f>
        <v>0</v>
      </c>
      <c r="K23" s="1779">
        <f>SUM(K14:K16,K21,K22)</f>
        <v>0</v>
      </c>
    </row>
    <row r="24" spans="1:11" ht="14.25" thickTop="1" thickBot="1" x14ac:dyDescent="0.25">
      <c r="A24" s="2273" t="s">
        <v>2025</v>
      </c>
      <c r="B24" s="2272"/>
      <c r="C24" s="2272"/>
      <c r="D24" s="2272"/>
      <c r="E24" s="2272"/>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2035</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2087</v>
      </c>
      <c r="E30" s="809" t="s">
        <v>792</v>
      </c>
      <c r="F30" s="202"/>
      <c r="G30" s="806"/>
    </row>
    <row r="31" spans="1:11" x14ac:dyDescent="0.2">
      <c r="A31" s="810"/>
      <c r="D31" s="237"/>
      <c r="E31" s="811" t="s">
        <v>793</v>
      </c>
      <c r="F31" s="812" t="s">
        <v>560</v>
      </c>
      <c r="G31" s="765"/>
      <c r="H31" s="2246"/>
      <c r="I31" s="2247"/>
      <c r="J31" s="2247"/>
      <c r="K31" s="2247"/>
    </row>
    <row r="32" spans="1:11" x14ac:dyDescent="0.2">
      <c r="A32" s="810"/>
      <c r="B32" s="237"/>
      <c r="C32" s="237"/>
      <c r="D32" s="237"/>
      <c r="E32" s="806"/>
      <c r="F32" s="812" t="s">
        <v>561</v>
      </c>
      <c r="G32" s="765"/>
      <c r="H32" s="2248"/>
      <c r="I32" s="2247"/>
      <c r="J32" s="2247"/>
      <c r="K32" s="2247"/>
    </row>
    <row r="33" spans="1:11" ht="1.5" customHeight="1" x14ac:dyDescent="0.2">
      <c r="A33" s="813" t="s">
        <v>1231</v>
      </c>
      <c r="B33" s="364"/>
      <c r="C33" s="364"/>
      <c r="D33" s="364"/>
      <c r="E33" s="364"/>
      <c r="F33" s="364"/>
      <c r="G33" s="814"/>
      <c r="H33" s="2248"/>
      <c r="I33" s="2247"/>
      <c r="J33" s="2247"/>
      <c r="K33" s="2247"/>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3" t="s">
        <v>562</v>
      </c>
      <c r="B41" s="2256"/>
      <c r="C41" s="2256"/>
      <c r="D41" s="2256"/>
      <c r="E41" s="2256"/>
      <c r="F41" s="225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1916</v>
      </c>
      <c r="B46" s="408" t="s">
        <v>1774</v>
      </c>
    </row>
    <row r="47" spans="1:11" s="824" customFormat="1" ht="12.75" customHeight="1" x14ac:dyDescent="0.2">
      <c r="A47" s="822"/>
      <c r="B47" s="823" t="s">
        <v>1775</v>
      </c>
      <c r="E47" s="823"/>
      <c r="K47" s="825"/>
    </row>
    <row r="48" spans="1:11" ht="12.75" customHeight="1" x14ac:dyDescent="0.2">
      <c r="A48" s="1553"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8" sqref="D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2034</v>
      </c>
      <c r="B1" s="2279"/>
      <c r="C1" s="2280"/>
      <c r="D1" s="827"/>
      <c r="E1" s="828"/>
      <c r="F1" s="828"/>
      <c r="G1" s="829"/>
      <c r="H1" s="830"/>
      <c r="I1" s="831"/>
      <c r="J1" s="2276"/>
      <c r="K1" s="2277"/>
      <c r="L1" s="2277"/>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365455</v>
      </c>
      <c r="D5" s="842"/>
      <c r="E5" s="842"/>
      <c r="F5" s="1781">
        <f>(C5+D5)-E5</f>
        <v>365455</v>
      </c>
      <c r="G5" s="838"/>
      <c r="H5" s="843"/>
      <c r="I5" s="843"/>
      <c r="J5" s="843"/>
      <c r="K5" s="794"/>
      <c r="L5" s="1790">
        <f>F5-K5</f>
        <v>365455</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14774714</v>
      </c>
      <c r="D8" s="845">
        <f>16300+12120+9890+12471+23814+3233+378600+223276</f>
        <v>679704</v>
      </c>
      <c r="E8" s="845"/>
      <c r="F8" s="1781">
        <f>(C8+D8)-E8</f>
        <v>15454418</v>
      </c>
      <c r="G8" s="844">
        <v>50</v>
      </c>
      <c r="H8" s="766">
        <v>6826022</v>
      </c>
      <c r="I8" s="766">
        <v>298453</v>
      </c>
      <c r="J8" s="766"/>
      <c r="K8" s="1790">
        <f>(H8+I8)-J8</f>
        <v>7124475</v>
      </c>
      <c r="L8" s="1790">
        <f>F8-K8</f>
        <v>8329943</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275425</v>
      </c>
      <c r="D10" s="847">
        <v>10293</v>
      </c>
      <c r="E10" s="847"/>
      <c r="F10" s="1785">
        <f>(C10+D10)-E10</f>
        <v>285718</v>
      </c>
      <c r="G10" s="844">
        <v>20</v>
      </c>
      <c r="H10" s="848">
        <v>223021</v>
      </c>
      <c r="I10" s="848">
        <v>4881</v>
      </c>
      <c r="J10" s="848"/>
      <c r="K10" s="1790">
        <f>(H10+I10)-J10</f>
        <v>227902</v>
      </c>
      <c r="L10" s="1790">
        <f>F10-K10</f>
        <v>57816</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2505882</v>
      </c>
      <c r="D12" s="845">
        <f>6092+27348+846+629+6528+2749+7650+3220</f>
        <v>55062</v>
      </c>
      <c r="E12" s="845"/>
      <c r="F12" s="1781">
        <f>(C12+D12)-E12</f>
        <v>2560944</v>
      </c>
      <c r="G12" s="844">
        <v>10</v>
      </c>
      <c r="H12" s="766">
        <v>1755200</v>
      </c>
      <c r="I12" s="766">
        <f>147887+13309</f>
        <v>161196</v>
      </c>
      <c r="J12" s="766"/>
      <c r="K12" s="1790">
        <f>(H12+I12)-J12</f>
        <v>1916396</v>
      </c>
      <c r="L12" s="1790">
        <f>F12-K12</f>
        <v>644548</v>
      </c>
    </row>
    <row r="13" spans="1:14" ht="14.25" thickTop="1" thickBot="1" x14ac:dyDescent="0.25">
      <c r="A13" s="849" t="s">
        <v>1184</v>
      </c>
      <c r="B13" s="841">
        <v>252</v>
      </c>
      <c r="C13" s="845">
        <v>23793</v>
      </c>
      <c r="D13" s="845">
        <v>1034</v>
      </c>
      <c r="E13" s="845"/>
      <c r="F13" s="1781">
        <f>(C13+D13)-E13</f>
        <v>24827</v>
      </c>
      <c r="G13" s="844">
        <v>5</v>
      </c>
      <c r="H13" s="766">
        <v>23793</v>
      </c>
      <c r="I13" s="766">
        <v>17</v>
      </c>
      <c r="J13" s="766"/>
      <c r="K13" s="1790">
        <f>(H13+I13)-J13</f>
        <v>23810</v>
      </c>
      <c r="L13" s="1790">
        <f>F13-K13</f>
        <v>1017</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17945269</v>
      </c>
      <c r="D16" s="1781">
        <f>SUM(D3,D5:D6,D8:D10,D12:D15)</f>
        <v>746093</v>
      </c>
      <c r="E16" s="1781">
        <f>SUM(E3,E5:E6,E8:E10,E12:E15)</f>
        <v>0</v>
      </c>
      <c r="F16" s="1781">
        <f>SUM(F3,F5:F6,F8:F10,F12:F15)</f>
        <v>18691362</v>
      </c>
      <c r="G16" s="844"/>
      <c r="H16" s="1781">
        <f>SUM(H3,H6,H8:H10,H12:H14,)</f>
        <v>8828036</v>
      </c>
      <c r="I16" s="1781">
        <f>SUM(I3,I6,I8:I10,I12:I14,)</f>
        <v>464547</v>
      </c>
      <c r="J16" s="1781">
        <f>SUM(J3,J6,J8:J10,J12:J14,)</f>
        <v>0</v>
      </c>
      <c r="K16" s="1781">
        <f>(H16+I16)-J16</f>
        <v>9292583</v>
      </c>
      <c r="L16" s="1781">
        <f>F16-K16</f>
        <v>9398779</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464547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04" activePane="bottomLeft" state="frozen"/>
      <selection activeCell="A47" sqref="A47"/>
      <selection pane="bottomLeft" activeCell="E104" sqref="E10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4" t="s">
        <v>1699</v>
      </c>
      <c r="B1" s="2285"/>
      <c r="C1" s="2285"/>
      <c r="D1" s="2285"/>
      <c r="E1" s="2285"/>
      <c r="F1" s="2286"/>
      <c r="G1" s="856"/>
    </row>
    <row r="2" spans="1:7" ht="15" customHeight="1" thickBot="1" x14ac:dyDescent="0.25">
      <c r="A2" s="2287" t="s">
        <v>498</v>
      </c>
      <c r="B2" s="2288"/>
      <c r="C2" s="2288"/>
      <c r="D2" s="2288"/>
      <c r="E2" s="2288"/>
      <c r="F2" s="228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0"/>
      <c r="B5" s="2291"/>
      <c r="C5" s="2291"/>
      <c r="D5" s="2291"/>
      <c r="E5" s="2291"/>
      <c r="F5" s="2291"/>
    </row>
    <row r="6" spans="1:7" ht="13.5" customHeight="1" thickBot="1" x14ac:dyDescent="0.25">
      <c r="A6" s="2281" t="s">
        <v>1166</v>
      </c>
      <c r="B6" s="2282"/>
      <c r="C6" s="2282"/>
      <c r="D6" s="2282"/>
      <c r="E6" s="2282"/>
      <c r="F6" s="228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12065490</v>
      </c>
      <c r="G8" s="866"/>
    </row>
    <row r="9" spans="1:7" x14ac:dyDescent="0.2">
      <c r="A9" s="870" t="s">
        <v>480</v>
      </c>
      <c r="B9" s="871" t="s">
        <v>1988</v>
      </c>
      <c r="C9" s="872"/>
      <c r="D9" s="870" t="s">
        <v>522</v>
      </c>
      <c r="E9" s="869"/>
      <c r="F9" s="1934">
        <f>'Expenditures 15-22'!K151</f>
        <v>1028998</v>
      </c>
      <c r="G9" s="873"/>
    </row>
    <row r="10" spans="1:7" x14ac:dyDescent="0.2">
      <c r="A10" s="870" t="s">
        <v>520</v>
      </c>
      <c r="B10" s="871" t="s">
        <v>1989</v>
      </c>
      <c r="C10" s="872"/>
      <c r="D10" s="870" t="s">
        <v>522</v>
      </c>
      <c r="E10" s="869"/>
      <c r="F10" s="1934">
        <f>'Expenditures 15-22'!K174</f>
        <v>210684</v>
      </c>
      <c r="G10" s="873"/>
    </row>
    <row r="11" spans="1:7" x14ac:dyDescent="0.2">
      <c r="A11" s="870" t="s">
        <v>481</v>
      </c>
      <c r="B11" s="871" t="s">
        <v>1990</v>
      </c>
      <c r="C11" s="872"/>
      <c r="D11" s="870" t="s">
        <v>522</v>
      </c>
      <c r="E11" s="869"/>
      <c r="F11" s="1934">
        <f>'Expenditures 15-22'!K210</f>
        <v>655467</v>
      </c>
      <c r="G11" s="873"/>
    </row>
    <row r="12" spans="1:7" x14ac:dyDescent="0.2">
      <c r="A12" s="870" t="s">
        <v>482</v>
      </c>
      <c r="B12" s="871" t="s">
        <v>1991</v>
      </c>
      <c r="C12" s="872"/>
      <c r="D12" s="870" t="s">
        <v>522</v>
      </c>
      <c r="E12" s="869"/>
      <c r="F12" s="1934">
        <f>'Expenditures 15-22'!K295</f>
        <v>492211</v>
      </c>
      <c r="G12" s="873"/>
    </row>
    <row r="13" spans="1:7" x14ac:dyDescent="0.2">
      <c r="A13" s="870" t="s">
        <v>108</v>
      </c>
      <c r="B13" s="871" t="s">
        <v>1992</v>
      </c>
      <c r="C13" s="872"/>
      <c r="D13" s="870" t="s">
        <v>522</v>
      </c>
      <c r="E13" s="869"/>
      <c r="F13" s="1934">
        <f>'Expenditures 15-22'!K342</f>
        <v>190016</v>
      </c>
      <c r="G13" s="874"/>
    </row>
    <row r="14" spans="1:7" ht="12" customHeight="1" thickBot="1" x14ac:dyDescent="0.25">
      <c r="A14" s="1791"/>
      <c r="B14" s="1792"/>
      <c r="C14" s="1793"/>
      <c r="D14" s="1794" t="s">
        <v>522</v>
      </c>
      <c r="E14" s="1795" t="s">
        <v>1015</v>
      </c>
      <c r="F14" s="1796">
        <f>SUM(F8:F13)</f>
        <v>14642866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60817</v>
      </c>
      <c r="G52" s="866"/>
    </row>
    <row r="53" spans="1:7" x14ac:dyDescent="0.2">
      <c r="A53" s="870" t="s">
        <v>479</v>
      </c>
      <c r="B53" s="870" t="s">
        <v>1551</v>
      </c>
      <c r="C53" s="890">
        <f>'Expenditures 15-22'!B102</f>
        <v>4000</v>
      </c>
      <c r="D53" s="889" t="str">
        <f>'Expenditures 15-22'!A102</f>
        <v>Total Payments to Other Govt Units</v>
      </c>
      <c r="E53" s="869"/>
      <c r="F53" s="1938">
        <f>'Expenditures 15-22'!K102</f>
        <v>607013</v>
      </c>
      <c r="G53" s="866"/>
    </row>
    <row r="54" spans="1:7" x14ac:dyDescent="0.2">
      <c r="A54" s="870" t="s">
        <v>479</v>
      </c>
      <c r="B54" s="870" t="s">
        <v>1552</v>
      </c>
      <c r="C54" s="890" t="s">
        <v>1039</v>
      </c>
      <c r="D54" s="886" t="s">
        <v>1157</v>
      </c>
      <c r="E54" s="869"/>
      <c r="F54" s="1938">
        <f>'Expenditures 15-22'!G114</f>
        <v>59102</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689998</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147405</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1034</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8010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2010</v>
      </c>
      <c r="E76" s="1795" t="s">
        <v>1015</v>
      </c>
      <c r="F76" s="1799">
        <f>SUM(F18:F74)</f>
        <v>1573379</v>
      </c>
      <c r="G76" s="866"/>
    </row>
    <row r="77" spans="1:8" s="894" customFormat="1" ht="12" customHeight="1" thickTop="1" thickBot="1" x14ac:dyDescent="0.25">
      <c r="A77" s="1800"/>
      <c r="B77" s="1797"/>
      <c r="C77" s="1793"/>
      <c r="D77" s="1798" t="s">
        <v>2011</v>
      </c>
      <c r="E77" s="1795"/>
      <c r="F77" s="1801">
        <f>(F14-F76)</f>
        <v>13069487</v>
      </c>
      <c r="G77" s="870"/>
    </row>
    <row r="78" spans="1:8" s="894" customFormat="1" ht="12" customHeight="1" thickTop="1" x14ac:dyDescent="0.2">
      <c r="A78" s="1802"/>
      <c r="B78" s="1797"/>
      <c r="C78" s="1793"/>
      <c r="D78" s="1798" t="s">
        <v>2058</v>
      </c>
      <c r="E78" s="1795"/>
      <c r="F78" s="899">
        <v>1182</v>
      </c>
      <c r="G78" s="900"/>
      <c r="H78" s="870"/>
    </row>
    <row r="79" spans="1:8" s="894" customFormat="1" ht="12" customHeight="1" thickBot="1" x14ac:dyDescent="0.25">
      <c r="A79" s="1803"/>
      <c r="B79" s="1797"/>
      <c r="C79" s="1793"/>
      <c r="D79" s="1798" t="s">
        <v>2012</v>
      </c>
      <c r="E79" s="1795" t="s">
        <v>1015</v>
      </c>
      <c r="F79" s="1804">
        <f>IF(F78&gt;0,F77/F78," Complete Line 78")</f>
        <v>11057.095600676819</v>
      </c>
      <c r="G79" s="870"/>
    </row>
    <row r="80" spans="1:8" s="894" customFormat="1" ht="8.25" customHeight="1" thickTop="1" x14ac:dyDescent="0.2">
      <c r="A80" s="901"/>
      <c r="B80" s="870"/>
      <c r="C80" s="872"/>
      <c r="D80" s="902"/>
      <c r="E80" s="869"/>
      <c r="F80" s="903"/>
      <c r="G80" s="870"/>
    </row>
    <row r="81" spans="1:7" s="894" customFormat="1" ht="12" thickBot="1" x14ac:dyDescent="0.25">
      <c r="A81" s="2281" t="s">
        <v>1167</v>
      </c>
      <c r="B81" s="2282"/>
      <c r="C81" s="2282"/>
      <c r="D81" s="2282"/>
      <c r="E81" s="2282"/>
      <c r="F81" s="228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26390</v>
      </c>
      <c r="G94" s="913"/>
    </row>
    <row r="95" spans="1:7" x14ac:dyDescent="0.2">
      <c r="A95" s="909" t="s">
        <v>142</v>
      </c>
      <c r="B95" s="909" t="s">
        <v>177</v>
      </c>
      <c r="C95" s="911">
        <v>1700</v>
      </c>
      <c r="D95" s="919" t="str">
        <f>'Revenues 9-14'!A82</f>
        <v>Total District/School Activity Income</v>
      </c>
      <c r="E95" s="907"/>
      <c r="F95" s="1810">
        <f>SUM('Revenues 9-14'!C82,'Revenues 9-14'!D82)</f>
        <v>10908</v>
      </c>
      <c r="G95" s="913"/>
    </row>
    <row r="96" spans="1:7" x14ac:dyDescent="0.2">
      <c r="A96" s="909" t="s">
        <v>479</v>
      </c>
      <c r="B96" s="909" t="s">
        <v>178</v>
      </c>
      <c r="C96" s="911">
        <f>'Revenues 9-14'!B84</f>
        <v>1811</v>
      </c>
      <c r="D96" s="912" t="str">
        <f>'Revenues 9-14'!A84</f>
        <v>Rentals - Regular Textbooks</v>
      </c>
      <c r="E96" s="907"/>
      <c r="F96" s="1810">
        <f>'Revenues 9-14'!C84</f>
        <v>1120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334415</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13660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489459</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1568</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25800</v>
      </c>
      <c r="G128" s="931"/>
    </row>
    <row r="129" spans="1:7" x14ac:dyDescent="0.2">
      <c r="A129" s="928" t="s">
        <v>685</v>
      </c>
      <c r="B129" s="928" t="s">
        <v>803</v>
      </c>
      <c r="C129" s="933">
        <v>4200</v>
      </c>
      <c r="D129" s="930" t="str">
        <f>'Revenues 9-14'!A201</f>
        <v>Total Food Service</v>
      </c>
      <c r="E129" s="907"/>
      <c r="F129" s="1810">
        <f>SUM('Revenues 9-14'!C201,'Revenues 9-14'!G201)</f>
        <v>851668</v>
      </c>
      <c r="G129" s="931"/>
    </row>
    <row r="130" spans="1:7" x14ac:dyDescent="0.2">
      <c r="A130" s="928" t="s">
        <v>689</v>
      </c>
      <c r="B130" s="928" t="s">
        <v>804</v>
      </c>
      <c r="C130" s="933">
        <v>4300</v>
      </c>
      <c r="D130" s="934" t="str">
        <f>'Revenues 9-14'!A211</f>
        <v>Total Title I</v>
      </c>
      <c r="E130" s="907"/>
      <c r="F130" s="1810">
        <f>SUM('Revenues 9-14'!C211,'Revenues 9-14'!D211,'Revenues 9-14'!F211,'Revenues 9-14'!G211)</f>
        <v>941284</v>
      </c>
      <c r="G130" s="931"/>
    </row>
    <row r="131" spans="1:7" x14ac:dyDescent="0.2">
      <c r="A131" s="928" t="s">
        <v>689</v>
      </c>
      <c r="B131" s="928" t="s">
        <v>805</v>
      </c>
      <c r="C131" s="933">
        <v>4400</v>
      </c>
      <c r="D131" s="934" t="str">
        <f>'Revenues 9-14'!A216</f>
        <v>Total Title IV</v>
      </c>
      <c r="E131" s="907"/>
      <c r="F131" s="1810">
        <f>SUM('Revenues 9-14'!C216,'Revenues 9-14'!D216,'Revenues 9-14'!F216,'Revenues 9-14'!G216)</f>
        <v>7648</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86094</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13613</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99059</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43233</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362871</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2057</v>
      </c>
      <c r="C175" s="1945">
        <v>3100</v>
      </c>
      <c r="D175" s="1946" t="s">
        <v>2060</v>
      </c>
      <c r="E175" s="907"/>
      <c r="F175" s="1930"/>
      <c r="G175" s="928"/>
    </row>
    <row r="176" spans="1:7" x14ac:dyDescent="0.2">
      <c r="A176" s="1943" t="s">
        <v>685</v>
      </c>
      <c r="B176" s="1944" t="s">
        <v>2057</v>
      </c>
      <c r="C176" s="1945">
        <v>3300</v>
      </c>
      <c r="D176" s="1946" t="s">
        <v>2061</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2013</v>
      </c>
      <c r="E178" s="1808" t="s">
        <v>1015</v>
      </c>
      <c r="F178" s="1809">
        <f>SUM(F84:F136,F161:F176)</f>
        <v>3308790</v>
      </c>
    </row>
    <row r="179" spans="1:7" ht="12" customHeight="1" x14ac:dyDescent="0.2">
      <c r="A179" s="1791"/>
      <c r="B179" s="1805"/>
      <c r="C179" s="1806"/>
      <c r="D179" s="1807" t="s">
        <v>2014</v>
      </c>
      <c r="E179" s="1808"/>
      <c r="F179" s="1810">
        <f>'PCTC-OEPP 27-28'!F77-F178</f>
        <v>9760697</v>
      </c>
    </row>
    <row r="180" spans="1:7" ht="12" customHeight="1" x14ac:dyDescent="0.2">
      <c r="A180" s="1791"/>
      <c r="B180" s="1805"/>
      <c r="C180" s="1806"/>
      <c r="D180" s="1807" t="s">
        <v>1923</v>
      </c>
      <c r="E180" s="1808"/>
      <c r="F180" s="1810">
        <f>'Cap Outlay Deprec 26'!I18</f>
        <v>464547</v>
      </c>
    </row>
    <row r="181" spans="1:7" ht="12" customHeight="1" x14ac:dyDescent="0.2">
      <c r="A181" s="1791"/>
      <c r="B181" s="1805"/>
      <c r="C181" s="1806"/>
      <c r="D181" s="1807" t="s">
        <v>2015</v>
      </c>
      <c r="E181" s="1808"/>
      <c r="F181" s="1810">
        <f>F179+F180</f>
        <v>10225244</v>
      </c>
    </row>
    <row r="182" spans="1:7" ht="12" customHeight="1" x14ac:dyDescent="0.2">
      <c r="A182" s="1791"/>
      <c r="B182" s="1811"/>
      <c r="C182" s="1806"/>
      <c r="D182" s="1807" t="str">
        <f>D78</f>
        <v>9 Month ADA from District Average Daily Attendance/Prior General State Aid Inquiry 2017-2018</v>
      </c>
      <c r="E182" s="1808"/>
      <c r="F182" s="1812">
        <f>'PCTC-OEPP 27-28'!F78</f>
        <v>1182</v>
      </c>
      <c r="G182" s="931"/>
    </row>
    <row r="183" spans="1:7" ht="12" customHeight="1" thickBot="1" x14ac:dyDescent="0.25">
      <c r="A183" s="1791"/>
      <c r="B183" s="1811"/>
      <c r="C183" s="1806"/>
      <c r="D183" s="1807" t="s">
        <v>2016</v>
      </c>
      <c r="E183" s="1808" t="s">
        <v>1626</v>
      </c>
      <c r="F183" s="1813">
        <f>F181/F182</f>
        <v>8650.7986463620982</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7" customFormat="1" ht="12.2" customHeight="1" x14ac:dyDescent="0.2">
      <c r="A186" s="1947" t="s">
        <v>2064</v>
      </c>
      <c r="B186" s="1948"/>
      <c r="C186" s="1949"/>
      <c r="D186" s="1948"/>
      <c r="E186" s="1949"/>
      <c r="F186" s="1948"/>
      <c r="G186" s="1948"/>
    </row>
    <row r="187" spans="1:7" s="1947" customFormat="1" ht="12.2" customHeight="1" x14ac:dyDescent="0.2">
      <c r="A187" s="1950" t="s">
        <v>2065</v>
      </c>
      <c r="C187" s="1949"/>
      <c r="D187" s="1948"/>
      <c r="E187" s="1949"/>
      <c r="F187" s="1948"/>
      <c r="G187" s="1948"/>
    </row>
    <row r="188" spans="1:7" ht="12" customHeight="1" x14ac:dyDescent="0.2">
      <c r="C188" s="950"/>
      <c r="D188" s="931"/>
      <c r="E188" s="950"/>
      <c r="F188" s="931"/>
      <c r="G188" s="931"/>
    </row>
    <row r="189" spans="1:7" x14ac:dyDescent="0.2">
      <c r="A189" s="1951" t="s">
        <v>2063</v>
      </c>
      <c r="B189" s="1952"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2" zoomScaleNormal="100" workbookViewId="0">
      <selection activeCell="A17" sqref="A17"/>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1939</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5" t="s">
        <v>1924</v>
      </c>
      <c r="B4" s="2296"/>
      <c r="C4" s="2296"/>
      <c r="D4" s="2296"/>
      <c r="E4" s="2296"/>
      <c r="F4" s="2296"/>
      <c r="G4" s="2297"/>
    </row>
    <row r="5" spans="1:7" x14ac:dyDescent="0.25">
      <c r="A5" s="2298"/>
      <c r="B5" s="2299"/>
      <c r="C5" s="2299"/>
      <c r="D5" s="2299"/>
      <c r="E5" s="2299"/>
      <c r="F5" s="2299"/>
      <c r="G5" s="2300"/>
    </row>
    <row r="6" spans="1:7" ht="18.75" x14ac:dyDescent="0.25">
      <c r="A6" s="1555" t="s">
        <v>1925</v>
      </c>
      <c r="B6" s="1556"/>
      <c r="C6" s="1556"/>
      <c r="D6" s="1556"/>
      <c r="E6" s="1556"/>
      <c r="F6" s="1556"/>
      <c r="G6" s="1557"/>
    </row>
    <row r="7" spans="1:7" ht="30.75" customHeight="1" x14ac:dyDescent="0.25">
      <c r="A7" s="2301" t="s">
        <v>2074</v>
      </c>
      <c r="B7" s="2302"/>
      <c r="C7" s="2302"/>
      <c r="D7" s="2302"/>
      <c r="E7" s="2302"/>
      <c r="F7" s="2302"/>
      <c r="G7" s="2303"/>
    </row>
    <row r="8" spans="1:7" ht="15.75" customHeight="1" x14ac:dyDescent="0.25">
      <c r="A8" s="2304" t="s">
        <v>2023</v>
      </c>
      <c r="B8" s="2305"/>
      <c r="C8" s="2305"/>
      <c r="D8" s="2305"/>
      <c r="E8" s="2305"/>
      <c r="F8" s="2305"/>
      <c r="G8" s="2306"/>
    </row>
    <row r="9" spans="1:7" ht="35.25" customHeight="1" x14ac:dyDescent="0.25">
      <c r="A9" s="2301" t="s">
        <v>2022</v>
      </c>
      <c r="B9" s="2302"/>
      <c r="C9" s="2302"/>
      <c r="D9" s="2302"/>
      <c r="E9" s="2302"/>
      <c r="F9" s="2302"/>
      <c r="G9" s="2303"/>
    </row>
    <row r="10" spans="1:7" ht="15" customHeight="1" x14ac:dyDescent="0.25">
      <c r="A10" s="1558" t="s">
        <v>1926</v>
      </c>
      <c r="B10" s="1559"/>
      <c r="C10" s="1559"/>
      <c r="D10" s="1559"/>
      <c r="E10" s="1559"/>
      <c r="F10" s="1559"/>
      <c r="G10" s="1560"/>
    </row>
    <row r="11" spans="1:7" ht="17.25" customHeight="1" x14ac:dyDescent="0.25">
      <c r="A11" s="2301" t="s">
        <v>1940</v>
      </c>
      <c r="B11" s="2302"/>
      <c r="C11" s="2302"/>
      <c r="D11" s="2302"/>
      <c r="E11" s="2302"/>
      <c r="F11" s="2302"/>
      <c r="G11" s="2303"/>
    </row>
    <row r="12" spans="1:7" ht="15" customHeight="1" x14ac:dyDescent="0.25">
      <c r="A12" s="1558" t="s">
        <v>1931</v>
      </c>
      <c r="B12" s="1559"/>
      <c r="C12" s="1559"/>
      <c r="D12" s="1559"/>
      <c r="E12" s="1559"/>
      <c r="F12" s="1559"/>
      <c r="G12" s="1560"/>
    </row>
    <row r="13" spans="1:7" ht="32.25" customHeight="1" x14ac:dyDescent="0.25">
      <c r="A13" s="2292" t="s">
        <v>1932</v>
      </c>
      <c r="B13" s="2293"/>
      <c r="C13" s="2293"/>
      <c r="D13" s="2293"/>
      <c r="E13" s="2293"/>
      <c r="F13" s="2293"/>
      <c r="G13" s="2294"/>
    </row>
    <row r="14" spans="1:7" x14ac:dyDescent="0.25">
      <c r="A14" s="1682" t="s">
        <v>1941</v>
      </c>
      <c r="B14" s="1683"/>
      <c r="C14" s="1683"/>
      <c r="D14" s="1683"/>
      <c r="E14" s="1683"/>
      <c r="F14" s="1683"/>
      <c r="G14" s="1684"/>
    </row>
    <row r="15" spans="1:7" ht="61.5" customHeight="1" x14ac:dyDescent="0.25">
      <c r="A15" s="1567" t="s">
        <v>1933</v>
      </c>
      <c r="B15" s="1567" t="s">
        <v>1934</v>
      </c>
      <c r="C15" s="1567" t="s">
        <v>1935</v>
      </c>
      <c r="D15" s="1568" t="s">
        <v>1936</v>
      </c>
      <c r="E15" s="1568" t="s">
        <v>1927</v>
      </c>
      <c r="F15" s="1568" t="s">
        <v>1937</v>
      </c>
      <c r="G15" s="1568" t="s">
        <v>1938</v>
      </c>
    </row>
    <row r="16" spans="1:7" x14ac:dyDescent="0.25">
      <c r="A16" s="1669" t="s">
        <v>1942</v>
      </c>
      <c r="B16" s="1670" t="s">
        <v>1930</v>
      </c>
      <c r="C16" s="1671" t="s">
        <v>1928</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3" t="s">
        <v>2174</v>
      </c>
      <c r="B17" s="1964" t="s">
        <v>2175</v>
      </c>
      <c r="C17" s="1965" t="s">
        <v>2176</v>
      </c>
      <c r="D17" s="1955">
        <v>30000</v>
      </c>
      <c r="E17" s="1561">
        <f t="shared" ref="E17:E141" si="1">IF(D17&lt;=25000,D17,IF(D17&gt;25000,25000,0))</f>
        <v>25000</v>
      </c>
      <c r="F17" s="1814">
        <f t="shared" si="0"/>
        <v>25000</v>
      </c>
      <c r="G17" s="1815">
        <f>IF(F17=0,0,D17-F17)</f>
        <v>5000</v>
      </c>
      <c r="H17" s="1668"/>
    </row>
    <row r="18" spans="1:8" x14ac:dyDescent="0.25">
      <c r="A18" s="1963" t="s">
        <v>2177</v>
      </c>
      <c r="B18" s="1964" t="s">
        <v>2178</v>
      </c>
      <c r="C18" s="1965" t="s">
        <v>2179</v>
      </c>
      <c r="D18" s="1866">
        <v>640688</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615688</v>
      </c>
    </row>
    <row r="19" spans="1:8" x14ac:dyDescent="0.25">
      <c r="A19" s="1963" t="s">
        <v>2174</v>
      </c>
      <c r="B19" s="1964" t="s">
        <v>2175</v>
      </c>
      <c r="C19" s="1965" t="s">
        <v>2180</v>
      </c>
      <c r="D19" s="1866">
        <v>25239</v>
      </c>
      <c r="E19" s="1561">
        <f t="shared" si="2"/>
        <v>25000</v>
      </c>
      <c r="F19" s="1814">
        <f t="shared" si="3"/>
        <v>25000</v>
      </c>
      <c r="G19" s="1815">
        <f t="shared" si="4"/>
        <v>239</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695927</v>
      </c>
      <c r="E141" s="1562">
        <f t="shared" si="1"/>
        <v>25000</v>
      </c>
      <c r="F141" s="1816">
        <f>SUM(F17:F140)</f>
        <v>75000</v>
      </c>
      <c r="G141" s="1817">
        <f>SUM(G17:G140)</f>
        <v>620927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7" t="s">
        <v>1778</v>
      </c>
      <c r="B5" s="2308"/>
      <c r="C5" s="2308"/>
      <c r="D5" s="2308"/>
      <c r="E5" s="2308"/>
      <c r="F5" s="2308"/>
      <c r="G5" s="2309"/>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276572</v>
      </c>
      <c r="F10" s="975"/>
      <c r="G10" s="976"/>
      <c r="H10" s="162"/>
      <c r="I10" s="162"/>
    </row>
    <row r="11" spans="1:9" s="669" customFormat="1" ht="22.5" customHeight="1" x14ac:dyDescent="0.2">
      <c r="A11" s="2312" t="s">
        <v>1944</v>
      </c>
      <c r="B11" s="2313"/>
      <c r="C11" s="2313"/>
      <c r="D11" s="2314"/>
      <c r="E11" s="978">
        <v>73124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8123078</v>
      </c>
      <c r="F19" s="1821"/>
      <c r="G19" s="1823">
        <f>'Expenditures 15-22'!K33-SUM('Expenditures 15-22'!G33,'Expenditures 15-22'!I33)+'Expenditures 15-22'!D229</f>
        <v>8123078</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260943</v>
      </c>
      <c r="F21" s="1824"/>
      <c r="G21" s="1827">
        <f>'Expenditures 15-22'!K42-SUM('Expenditures 15-22'!G42,'Expenditures 15-22'!I42)+'Expenditures 15-22'!K120-SUM('Expenditures 15-22'!G120,'Expenditures 15-22'!I120)+'Expenditures 15-22'!K180-SUM('Expenditures 15-22'!G180,'Expenditures 15-22'!I180)+'Expenditures 15-22'!D238</f>
        <v>260943</v>
      </c>
      <c r="H21" s="988"/>
      <c r="I21" s="162"/>
    </row>
    <row r="22" spans="1:9" s="669" customFormat="1" ht="12" customHeight="1" x14ac:dyDescent="0.2">
      <c r="A22" s="995" t="s">
        <v>585</v>
      </c>
      <c r="B22" s="996"/>
      <c r="C22" s="994">
        <v>2200</v>
      </c>
      <c r="D22" s="1824"/>
      <c r="E22" s="1826">
        <f>'Expenditures 15-22'!K47-SUM('Expenditures 15-22'!G47,'Expenditures 15-22'!I47)+'Expenditures 15-22'!D243</f>
        <v>372997</v>
      </c>
      <c r="F22" s="1824"/>
      <c r="G22" s="1827">
        <f>'Expenditures 15-22'!K47-SUM('Expenditures 15-22'!G47,'Expenditures 15-22'!I47)+'Expenditures 15-22'!D243</f>
        <v>372997</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457295</v>
      </c>
      <c r="F23" s="1824"/>
      <c r="G23" s="1826">
        <f>'Expenditures 15-22'!K53-SUM('Expenditures 15-22'!G53,'Expenditures 15-22'!I53)+'Expenditures 15-22'!D257+'Expenditures 15-22'!K330-SUM('Expenditures 15-22'!G330,'Expenditures 15-22'!I330)</f>
        <v>457295</v>
      </c>
      <c r="H23" s="988"/>
      <c r="I23" s="162"/>
    </row>
    <row r="24" spans="1:9" s="669" customFormat="1" ht="12" customHeight="1" x14ac:dyDescent="0.2">
      <c r="A24" s="995" t="s">
        <v>587</v>
      </c>
      <c r="B24" s="996"/>
      <c r="C24" s="994">
        <v>2400</v>
      </c>
      <c r="D24" s="1824"/>
      <c r="E24" s="1826">
        <f>'Expenditures 15-22'!K57-SUM('Expenditures 15-22'!G57,'Expenditures 15-22'!I57)+'Expenditures 15-22'!D261</f>
        <v>949868</v>
      </c>
      <c r="F24" s="1824"/>
      <c r="G24" s="1827">
        <f>'Expenditures 15-22'!K57-SUM('Expenditures 15-22'!G57,'Expenditures 15-22'!I57)+'Expenditures 15-22'!D261</f>
        <v>949868</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208064</v>
      </c>
      <c r="E27" s="1826">
        <f>E8</f>
        <v>0</v>
      </c>
      <c r="F27" s="1826">
        <f>'Expenditures 15-22'!K60-SUM('Expenditures 15-22'!G60,'Expenditures 15-22'!I60)+'Expenditures 15-22'!D264-E8</f>
        <v>208064</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1081812</v>
      </c>
      <c r="F28" s="1828">
        <f>'Expenditures 15-22'!K61-SUM('Expenditures 15-22'!G61,'Expenditures 15-22'!I61)+'Expenditures 15-22'!K124-SUM('Expenditures 15-22'!G124,'Expenditures 15-22'!I124)+'Expenditures 15-22'!D266-E9</f>
        <v>1081812</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656188</v>
      </c>
      <c r="F29" s="1824"/>
      <c r="G29" s="1827">
        <f>'Expenditures 15-22'!K62-SUM('Expenditures 15-22'!G62,'Expenditures 15-22'!I62)+'Expenditures 15-22'!K125-SUM('Expenditures 15-22'!G125,'Expenditures 15-22'!I125)+'Expenditures 15-22'!K182-SUM('Expenditures 15-22'!G182,'Expenditures 15-22'!I182)+'Expenditures 15-22'!D267</f>
        <v>656188</v>
      </c>
      <c r="H29" s="986"/>
    </row>
    <row r="30" spans="1:9" ht="12" customHeight="1" x14ac:dyDescent="0.2">
      <c r="A30" s="995" t="s">
        <v>102</v>
      </c>
      <c r="B30" s="998"/>
      <c r="C30" s="994">
        <v>2560</v>
      </c>
      <c r="D30" s="1824"/>
      <c r="E30" s="1826">
        <f>'Expenditures 15-22'!K63-SUM('Expenditures 15-22'!G63,'Expenditures 15-22'!I63)+'Expenditures 15-22'!D268-E10</f>
        <v>543910</v>
      </c>
      <c r="F30" s="1824"/>
      <c r="G30" s="1826">
        <f>'Expenditures 15-22'!K63-SUM('Expenditures 15-22'!G63,'Expenditures 15-22'!I63)+'Expenditures 15-22'!D268-E10</f>
        <v>543910</v>
      </c>
    </row>
    <row r="31" spans="1:9" ht="12" customHeight="1" x14ac:dyDescent="0.2">
      <c r="A31" s="995" t="s">
        <v>103</v>
      </c>
      <c r="B31" s="998"/>
      <c r="C31" s="994">
        <v>2570</v>
      </c>
      <c r="D31" s="1826">
        <f>'Expenditures 15-22'!K64-SUM('Expenditures 15-22'!G64,'Expenditures 15-22'!I64)+'Expenditures 15-22'!D269-E12</f>
        <v>7080</v>
      </c>
      <c r="E31" s="1826">
        <f>E12</f>
        <v>0</v>
      </c>
      <c r="F31" s="1826">
        <f>'Expenditures 15-22'!K64-SUM('Expenditures 15-22'!G64,'Expenditures 15-22'!I64)+'Expenditures 15-22'!D269-E12</f>
        <v>7080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11163</v>
      </c>
      <c r="F34" s="1824"/>
      <c r="G34" s="1826">
        <f>'Expenditures 15-22'!K68-SUM('Expenditures 15-22'!G68,'Expenditures 15-22'!I68)+'Expenditures 15-22'!D273</f>
        <v>11163</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57238</v>
      </c>
      <c r="F38" s="1824"/>
      <c r="G38" s="1826">
        <f>'Expenditures 15-22'!K73-SUM('Expenditures 15-22'!G73,'Expenditures 15-22'!I73)+'Expenditures 15-22'!K128-SUM('Expenditures 15-22'!G128,'Expenditures 15-22'!I128)+'Expenditures 15-22'!K183-SUM('Expenditures 15-22'!G183,'Expenditures 15-22'!I183)+'Expenditures 15-22'!D278</f>
        <v>57238</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68827</v>
      </c>
      <c r="F39" s="1824"/>
      <c r="G39" s="1826">
        <f>'Expenditures 15-22'!K75-SUM('Expenditures 15-22'!G75,'Expenditures 15-22'!I75)+'Expenditures 15-22'!K130-SUM('Expenditures 15-22'!G130,'Expenditures 15-22'!I130)+'Expenditures 15-22'!K185-SUM('Expenditures 15-22'!G185,'Expenditures 15-22'!I185)+'Expenditures 15-22'!D280</f>
        <v>68827</v>
      </c>
    </row>
    <row r="40" spans="1:7" ht="12" customHeight="1" x14ac:dyDescent="0.2">
      <c r="A40" s="991" t="s">
        <v>1929</v>
      </c>
      <c r="B40" s="992"/>
      <c r="C40" s="994"/>
      <c r="D40" s="1824"/>
      <c r="E40" s="1828">
        <f>-'Contracts Paid in CY 29'!G141</f>
        <v>-620927</v>
      </c>
      <c r="F40" s="1824"/>
      <c r="G40" s="1828">
        <f>-'Contracts Paid in CY 29'!G141</f>
        <v>-620927</v>
      </c>
    </row>
    <row r="41" spans="1:7" ht="12" customHeight="1" x14ac:dyDescent="0.2">
      <c r="A41" s="999" t="s">
        <v>158</v>
      </c>
      <c r="B41" s="1000"/>
      <c r="C41" s="1001"/>
      <c r="D41" s="1828">
        <f>SUM(D19:D39)</f>
        <v>215144</v>
      </c>
      <c r="E41" s="1828">
        <f>SUM(E19:E40)</f>
        <v>11962392</v>
      </c>
      <c r="F41" s="1828">
        <f>SUM(F19:F39)</f>
        <v>1296956</v>
      </c>
      <c r="G41" s="1828">
        <f>SUM(G19:G40)</f>
        <v>10880580</v>
      </c>
    </row>
    <row r="42" spans="1:7" x14ac:dyDescent="0.2">
      <c r="A42" s="988"/>
      <c r="B42" s="162"/>
      <c r="C42" s="1002"/>
      <c r="D42" s="2310" t="s">
        <v>543</v>
      </c>
      <c r="E42" s="2311"/>
      <c r="F42" s="1003" t="s">
        <v>544</v>
      </c>
      <c r="G42" s="1004"/>
    </row>
    <row r="43" spans="1:7" ht="12" customHeight="1" x14ac:dyDescent="0.2">
      <c r="A43" s="988"/>
      <c r="B43" s="162"/>
      <c r="C43" s="1002"/>
      <c r="D43" s="1829" t="s">
        <v>493</v>
      </c>
      <c r="E43" s="1830">
        <f>D41</f>
        <v>215144</v>
      </c>
      <c r="F43" s="1829" t="s">
        <v>495</v>
      </c>
      <c r="G43" s="1830">
        <f>F41</f>
        <v>1296956</v>
      </c>
    </row>
    <row r="44" spans="1:7" ht="12" customHeight="1" x14ac:dyDescent="0.2">
      <c r="A44" s="988"/>
      <c r="B44" s="162"/>
      <c r="C44" s="1002"/>
      <c r="D44" s="1829" t="s">
        <v>494</v>
      </c>
      <c r="E44" s="1830">
        <f>E41</f>
        <v>11962392</v>
      </c>
      <c r="F44" s="1829" t="s">
        <v>494</v>
      </c>
      <c r="G44" s="1830">
        <f>G41</f>
        <v>10880580</v>
      </c>
    </row>
    <row r="45" spans="1:7" ht="12" customHeight="1" x14ac:dyDescent="0.2">
      <c r="A45" s="988"/>
      <c r="B45" s="162"/>
      <c r="C45" s="162"/>
      <c r="D45" s="1831" t="s">
        <v>1063</v>
      </c>
      <c r="E45" s="1832">
        <f>(E43/E44)</f>
        <v>1.7985031756190567E-2</v>
      </c>
      <c r="F45" s="1831" t="s">
        <v>1063</v>
      </c>
      <c r="G45" s="1832">
        <f>(G43/G44)</f>
        <v>0.11919916033887899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9" t="s">
        <v>1446</v>
      </c>
      <c r="B1" s="2329"/>
      <c r="C1" s="2329"/>
      <c r="D1" s="2329"/>
      <c r="E1" s="2329"/>
      <c r="F1" s="2329"/>
    </row>
    <row r="2" spans="1:10" x14ac:dyDescent="0.2">
      <c r="A2" s="1911" t="s">
        <v>2047</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0" t="s">
        <v>1627</v>
      </c>
      <c r="B5" s="2331"/>
      <c r="C5" s="2332"/>
      <c r="D5" s="2332"/>
      <c r="E5" s="2332"/>
      <c r="F5" s="2332"/>
    </row>
    <row r="6" spans="1:10" ht="12" customHeight="1" x14ac:dyDescent="0.25">
      <c r="A6" s="1874"/>
      <c r="B6" s="1875"/>
      <c r="C6" s="2333" t="str">
        <f>COVER!A17</f>
        <v>Centralia City SD 135</v>
      </c>
      <c r="D6" s="2333"/>
      <c r="E6" s="2333"/>
      <c r="F6" s="1876"/>
    </row>
    <row r="7" spans="1:10" ht="11.25" customHeight="1" thickBot="1" x14ac:dyDescent="0.3">
      <c r="A7" s="1874"/>
      <c r="B7" s="1875"/>
      <c r="C7" s="2334">
        <f>COVER!A13</f>
        <v>13058135002</v>
      </c>
      <c r="D7" s="2334"/>
      <c r="E7" s="2334"/>
      <c r="F7" s="1876"/>
    </row>
    <row r="8" spans="1:10" ht="25.5" customHeight="1" thickBot="1" x14ac:dyDescent="0.25">
      <c r="A8" s="1917" t="s">
        <v>2024</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2087</v>
      </c>
      <c r="D26" s="1889" t="s">
        <v>2087</v>
      </c>
      <c r="E26" s="1892" t="s">
        <v>2087</v>
      </c>
      <c r="F26" s="1891" t="s">
        <v>2094</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5</v>
      </c>
      <c r="I34" s="1902">
        <f>SUM(I11:I32)</f>
        <v>5</v>
      </c>
      <c r="J34" s="1902">
        <f>SUM(J11:J32)</f>
        <v>5</v>
      </c>
      <c r="K34" s="1902">
        <f>SUM(H34:J34)</f>
        <v>15</v>
      </c>
    </row>
    <row r="35" spans="1:11" ht="12" customHeight="1" x14ac:dyDescent="0.2">
      <c r="A35" s="1895" t="s">
        <v>1459</v>
      </c>
      <c r="B35" s="1896"/>
      <c r="C35" s="2335"/>
      <c r="D35" s="2335"/>
      <c r="E35" s="2335"/>
      <c r="F35" s="2336"/>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5"/>
      <c r="B43" s="2316"/>
      <c r="C43" s="2316"/>
      <c r="D43" s="2316"/>
      <c r="E43" s="2316"/>
      <c r="F43" s="2317"/>
      <c r="H43" s="1903"/>
      <c r="I43" s="1903"/>
      <c r="J43" s="1903"/>
      <c r="K43" s="1903"/>
    </row>
    <row r="44" spans="1:11" s="1894" customFormat="1" ht="12" hidden="1" customHeight="1" x14ac:dyDescent="0.25">
      <c r="A44" s="2315"/>
      <c r="B44" s="2316"/>
      <c r="C44" s="2316"/>
      <c r="D44" s="2316"/>
      <c r="E44" s="2316"/>
      <c r="F44" s="2317"/>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2" t="str">
        <f>COVER!A17</f>
        <v>Centralia City SD 135</v>
      </c>
      <c r="J6" s="2343"/>
      <c r="Q6" s="1685"/>
    </row>
    <row r="7" spans="1:17" x14ac:dyDescent="0.2">
      <c r="A7" s="2344" t="s">
        <v>924</v>
      </c>
      <c r="B7" s="2345"/>
      <c r="C7" s="2345"/>
      <c r="D7" s="2345"/>
      <c r="E7" s="2346"/>
      <c r="F7" s="1018"/>
      <c r="G7" s="1010"/>
      <c r="H7" s="1017" t="s">
        <v>390</v>
      </c>
      <c r="I7" s="2347">
        <f>COVER!A13</f>
        <v>13058135002</v>
      </c>
      <c r="J7" s="2347"/>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8" t="s">
        <v>502</v>
      </c>
      <c r="B11" s="2349"/>
      <c r="C11" s="235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215667</v>
      </c>
      <c r="F12" s="1040"/>
      <c r="G12" s="1833">
        <f t="shared" ref="G12:G18" si="0">SUM(E12:F12)</f>
        <v>215667</v>
      </c>
      <c r="H12" s="1041"/>
      <c r="I12" s="1040"/>
      <c r="J12" s="1833">
        <f t="shared" ref="J12:J18" si="1">SUM(H12:I12)</f>
        <v>0</v>
      </c>
    </row>
    <row r="13" spans="1:17" ht="15" customHeight="1" x14ac:dyDescent="0.2">
      <c r="A13" s="1036">
        <v>2</v>
      </c>
      <c r="B13" s="1037" t="s">
        <v>44</v>
      </c>
      <c r="C13" s="1038"/>
      <c r="D13" s="1039">
        <v>2330</v>
      </c>
      <c r="E13" s="1833">
        <f>'Expenditures 15-22'!K51</f>
        <v>6430</v>
      </c>
      <c r="F13" s="1040"/>
      <c r="G13" s="1833">
        <f t="shared" si="0"/>
        <v>6430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6077</v>
      </c>
      <c r="F16" s="1040"/>
      <c r="G16" s="1833">
        <f t="shared" si="0"/>
        <v>6077</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1" t="s">
        <v>7</v>
      </c>
      <c r="C18" s="2352"/>
      <c r="D18" s="2353"/>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228174</v>
      </c>
      <c r="F19" s="1835">
        <f t="shared" si="2"/>
        <v>0</v>
      </c>
      <c r="G19" s="1835">
        <f t="shared" si="2"/>
        <v>228174</v>
      </c>
      <c r="H19" s="1835">
        <f t="shared" si="2"/>
        <v>0</v>
      </c>
      <c r="I19" s="1835">
        <f t="shared" si="2"/>
        <v>0</v>
      </c>
      <c r="J19" s="1835">
        <f t="shared" si="2"/>
        <v>0</v>
      </c>
    </row>
    <row r="20" spans="1:10" ht="13.5" thickTop="1" x14ac:dyDescent="0.2">
      <c r="A20" s="1036">
        <v>9</v>
      </c>
      <c r="B20" s="2354" t="s">
        <v>1703</v>
      </c>
      <c r="C20" s="2354"/>
      <c r="D20" s="2355"/>
      <c r="E20" s="1047"/>
      <c r="F20" s="1047"/>
      <c r="G20" s="1047"/>
      <c r="H20" s="1047"/>
      <c r="I20" s="1047"/>
      <c r="J20" s="1836"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0"/>
      <c r="D26" s="2360"/>
      <c r="E26" s="1051"/>
      <c r="F26" s="2359"/>
      <c r="G26" s="2359"/>
    </row>
    <row r="27" spans="1:10" x14ac:dyDescent="0.2">
      <c r="B27" s="1048"/>
      <c r="C27" s="1052" t="s">
        <v>1093</v>
      </c>
      <c r="D27" s="1053"/>
      <c r="E27" s="1054"/>
      <c r="F27" s="2356" t="s">
        <v>1589</v>
      </c>
      <c r="G27" s="2356"/>
    </row>
    <row r="28" spans="1:10" ht="28.5" customHeight="1" x14ac:dyDescent="0.2">
      <c r="B28" s="1048"/>
      <c r="C28" s="2358"/>
      <c r="D28" s="2358"/>
      <c r="E28" s="1055"/>
      <c r="F28" s="2358"/>
      <c r="G28" s="2358"/>
    </row>
    <row r="29" spans="1:10" x14ac:dyDescent="0.2">
      <c r="B29" s="1048"/>
      <c r="C29" s="1056" t="s">
        <v>1642</v>
      </c>
      <c r="E29" s="1057"/>
      <c r="F29" s="2357" t="s">
        <v>1590</v>
      </c>
      <c r="G29" s="235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3"/>
    </row>
    <row r="36" spans="1:10" ht="13.5" customHeight="1" x14ac:dyDescent="0.2">
      <c r="B36" s="1062"/>
      <c r="C36" s="2341" t="s">
        <v>1943</v>
      </c>
      <c r="D36" s="2340"/>
      <c r="E36" s="2340"/>
      <c r="F36" s="2340"/>
      <c r="G36" s="2340"/>
      <c r="H36" s="2340"/>
      <c r="I36" s="2340"/>
      <c r="J36" s="1064"/>
    </row>
    <row r="37" spans="1:10" ht="22.5" customHeight="1" x14ac:dyDescent="0.2">
      <c r="C37" s="2340"/>
      <c r="D37" s="2340"/>
      <c r="E37" s="2340"/>
      <c r="F37" s="2340"/>
      <c r="G37" s="2340"/>
      <c r="H37" s="2340"/>
      <c r="I37" s="2340"/>
      <c r="J37" s="1064"/>
    </row>
    <row r="38" spans="1:10" ht="7.5" customHeight="1" x14ac:dyDescent="0.2">
      <c r="C38" s="1063"/>
      <c r="D38" s="1065"/>
      <c r="E38" s="1066"/>
      <c r="F38" s="1067"/>
      <c r="G38" s="1066"/>
    </row>
    <row r="39" spans="1:10" ht="13.5" customHeight="1" x14ac:dyDescent="0.2">
      <c r="B39" s="1062"/>
      <c r="C39" s="2337" t="s">
        <v>937</v>
      </c>
      <c r="D39" s="2338"/>
      <c r="E39" s="2338"/>
      <c r="F39" s="2338"/>
      <c r="G39" s="2338"/>
      <c r="H39" s="2338"/>
      <c r="I39" s="233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F66"/>
  <sheetViews>
    <sheetView showGridLines="0" zoomScale="110" zoomScaleNormal="110" workbookViewId="0">
      <selection activeCell="J17" sqref="J17"/>
    </sheetView>
  </sheetViews>
  <sheetFormatPr defaultColWidth="9.140625" defaultRowHeight="12.75" x14ac:dyDescent="0.2"/>
  <cols>
    <col min="1" max="1" width="3" style="329" customWidth="1"/>
    <col min="2" max="2" width="39.140625" style="329" customWidth="1"/>
    <col min="3" max="3" width="3.140625" style="329" customWidth="1"/>
    <col min="4" max="5" width="9.140625" style="329"/>
    <col min="6" max="6" width="11" style="329" bestFit="1" customWidth="1"/>
    <col min="7" max="16384" width="9.140625" style="329"/>
  </cols>
  <sheetData>
    <row r="2" spans="1:6" x14ac:dyDescent="0.2">
      <c r="A2" s="389" t="s">
        <v>276</v>
      </c>
    </row>
    <row r="3" spans="1:6" x14ac:dyDescent="0.2">
      <c r="A3" s="329" t="s">
        <v>277</v>
      </c>
    </row>
    <row r="5" spans="1:6" x14ac:dyDescent="0.2">
      <c r="A5" s="1956" t="s">
        <v>2095</v>
      </c>
    </row>
    <row r="6" spans="1:6" x14ac:dyDescent="0.2">
      <c r="A6" s="1956"/>
      <c r="B6" s="329" t="s">
        <v>2096</v>
      </c>
      <c r="F6" s="1958">
        <f>+'Revenues 9-14'!C74-F7-F8</f>
        <v>2199</v>
      </c>
    </row>
    <row r="7" spans="1:6" x14ac:dyDescent="0.2">
      <c r="A7" s="1956"/>
      <c r="B7" s="329" t="s">
        <v>2099</v>
      </c>
      <c r="F7" s="1959">
        <v>9150</v>
      </c>
    </row>
    <row r="8" spans="1:6" x14ac:dyDescent="0.2">
      <c r="A8" s="1956"/>
      <c r="B8" s="329" t="s">
        <v>2100</v>
      </c>
      <c r="F8" s="1960">
        <v>8700</v>
      </c>
    </row>
    <row r="9" spans="1:6" ht="13.5" thickBot="1" x14ac:dyDescent="0.25">
      <c r="A9" s="1957"/>
      <c r="F9" s="1961">
        <f>+F6+F7+F8</f>
        <v>20049</v>
      </c>
    </row>
    <row r="10" spans="1:6" ht="13.5" thickTop="1" x14ac:dyDescent="0.2">
      <c r="A10" s="1957"/>
    </row>
    <row r="11" spans="1:6" x14ac:dyDescent="0.2">
      <c r="A11" s="1957"/>
    </row>
    <row r="12" spans="1:6" x14ac:dyDescent="0.2">
      <c r="A12" s="1957" t="s">
        <v>2104</v>
      </c>
    </row>
    <row r="13" spans="1:6" x14ac:dyDescent="0.2">
      <c r="A13" s="1957"/>
      <c r="B13" s="329" t="s">
        <v>2097</v>
      </c>
      <c r="F13" s="1958">
        <v>114496</v>
      </c>
    </row>
    <row r="14" spans="1:6" x14ac:dyDescent="0.2">
      <c r="A14" s="1957"/>
      <c r="B14" s="329" t="s">
        <v>2098</v>
      </c>
      <c r="F14" s="1959">
        <v>30225</v>
      </c>
    </row>
    <row r="15" spans="1:6" x14ac:dyDescent="0.2">
      <c r="A15" s="1957"/>
      <c r="B15" s="329" t="s">
        <v>2101</v>
      </c>
      <c r="F15" s="1959">
        <f>21+59+12+3+576+15+30+331+603</f>
        <v>1650</v>
      </c>
    </row>
    <row r="16" spans="1:6" x14ac:dyDescent="0.2">
      <c r="A16" s="1957"/>
      <c r="B16" s="329" t="s">
        <v>2103</v>
      </c>
      <c r="F16" s="1959">
        <f>465+2473+3000</f>
        <v>5938</v>
      </c>
    </row>
    <row r="17" spans="1:6" x14ac:dyDescent="0.2">
      <c r="A17" s="1957"/>
      <c r="B17" s="329" t="s">
        <v>2102</v>
      </c>
      <c r="F17" s="1960">
        <f>166932-F13-F14-F15-F16</f>
        <v>14623</v>
      </c>
    </row>
    <row r="18" spans="1:6" ht="13.5" thickBot="1" x14ac:dyDescent="0.25">
      <c r="A18" s="1957"/>
      <c r="F18" s="1961">
        <f>SUM(F13:F17)</f>
        <v>166932</v>
      </c>
    </row>
    <row r="19" spans="1:6" ht="13.5" thickTop="1" x14ac:dyDescent="0.2">
      <c r="A19" s="1957"/>
    </row>
    <row r="20" spans="1:6" x14ac:dyDescent="0.2">
      <c r="A20" s="1957" t="s">
        <v>2106</v>
      </c>
    </row>
    <row r="21" spans="1:6" ht="13.5" thickBot="1" x14ac:dyDescent="0.25">
      <c r="A21" s="1957"/>
      <c r="B21" s="329" t="s">
        <v>2103</v>
      </c>
      <c r="F21" s="1962">
        <v>3218</v>
      </c>
    </row>
    <row r="22" spans="1:6" ht="13.5" thickTop="1" x14ac:dyDescent="0.2">
      <c r="A22" s="1957"/>
    </row>
    <row r="23" spans="1:6" x14ac:dyDescent="0.2">
      <c r="A23" s="1957" t="s">
        <v>2105</v>
      </c>
    </row>
    <row r="24" spans="1:6" ht="13.5" thickBot="1" x14ac:dyDescent="0.25">
      <c r="A24" s="1957"/>
      <c r="B24" s="329" t="s">
        <v>2107</v>
      </c>
      <c r="F24" s="1962">
        <v>249</v>
      </c>
    </row>
    <row r="25" spans="1:6" ht="13.5" thickTop="1" x14ac:dyDescent="0.2">
      <c r="A25" s="1957"/>
    </row>
    <row r="26" spans="1:6" x14ac:dyDescent="0.2">
      <c r="A26" s="1957" t="s">
        <v>2108</v>
      </c>
    </row>
    <row r="27" spans="1:6" ht="13.5" thickBot="1" x14ac:dyDescent="0.25">
      <c r="A27" s="1957"/>
      <c r="B27" s="329" t="s">
        <v>2109</v>
      </c>
      <c r="F27" s="1962">
        <f>+'Expenditures 15-22'!E128</f>
        <v>57238</v>
      </c>
    </row>
    <row r="28" spans="1:6" ht="13.5" thickTop="1" x14ac:dyDescent="0.2">
      <c r="A28" s="1957"/>
    </row>
    <row r="29" spans="1:6" x14ac:dyDescent="0.2">
      <c r="A29" s="1957" t="s">
        <v>2110</v>
      </c>
    </row>
    <row r="30" spans="1:6" ht="13.5" thickBot="1" x14ac:dyDescent="0.25">
      <c r="A30" s="1957"/>
      <c r="B30" s="329" t="s">
        <v>2111</v>
      </c>
      <c r="F30" s="1962">
        <f>+'Expenditures 15-22'!H171</f>
        <v>265</v>
      </c>
    </row>
    <row r="31" spans="1:6" ht="13.5" thickTop="1" x14ac:dyDescent="0.2">
      <c r="A31" s="1957"/>
    </row>
    <row r="32" spans="1:6" x14ac:dyDescent="0.2">
      <c r="A32" s="1957"/>
    </row>
    <row r="33" spans="1:1" x14ac:dyDescent="0.2">
      <c r="A33" s="1957"/>
    </row>
    <row r="34" spans="1:1" x14ac:dyDescent="0.2">
      <c r="A34" s="1957"/>
    </row>
    <row r="35" spans="1:1" x14ac:dyDescent="0.2">
      <c r="A35" s="1957"/>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row>
    <row r="66" spans="1:2" x14ac:dyDescent="0.2">
      <c r="B66" s="1070"/>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7" zoomScale="110" zoomScaleNormal="110" workbookViewId="0">
      <selection activeCell="E28" sqref="E2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8" t="s">
        <v>1709</v>
      </c>
    </row>
    <row r="23" spans="1:5" x14ac:dyDescent="0.2">
      <c r="A23" s="168"/>
      <c r="B23" s="162" t="s">
        <v>1968</v>
      </c>
      <c r="D23" s="167" t="s">
        <v>658</v>
      </c>
      <c r="E23" s="1858"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8" t="s">
        <v>1125</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715</v>
      </c>
      <c r="B40" s="2075"/>
      <c r="C40" s="2075"/>
      <c r="D40" s="2075"/>
      <c r="E40" s="2075"/>
    </row>
    <row r="41" spans="1:5" x14ac:dyDescent="0.2">
      <c r="A41" s="2076" t="s">
        <v>1706</v>
      </c>
      <c r="B41" s="2076"/>
      <c r="C41" s="2076"/>
      <c r="D41" s="2076"/>
      <c r="E41" s="2076"/>
    </row>
    <row r="42" spans="1:5" ht="12.75" customHeight="1" x14ac:dyDescent="0.2">
      <c r="A42" s="2077" t="s">
        <v>1080</v>
      </c>
      <c r="B42" s="2077"/>
      <c r="C42" s="2077"/>
      <c r="D42" s="2077"/>
      <c r="E42" s="2077"/>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6" t="s">
        <v>1878</v>
      </c>
    </row>
    <row r="60" spans="1:3" x14ac:dyDescent="0.2">
      <c r="A60" s="196"/>
      <c r="B60" s="1506"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8"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7"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08" sqref="C10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1" t="s">
        <v>1784</v>
      </c>
      <c r="B18" s="23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2143125</xdr:colOff>
                <xdr:row>3</xdr:row>
                <xdr:rowOff>57150</xdr:rowOff>
              </from>
              <to>
                <xdr:col>1</xdr:col>
                <xdr:colOff>3048000</xdr:colOff>
                <xdr:row>8</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3448050</xdr:colOff>
                <xdr:row>3</xdr:row>
                <xdr:rowOff>85725</xdr:rowOff>
              </from>
              <to>
                <xdr:col>2</xdr:col>
                <xdr:colOff>371475</xdr:colOff>
                <xdr:row>8</xdr:row>
                <xdr:rowOff>47625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1790</v>
      </c>
      <c r="B1" s="2363"/>
      <c r="C1" s="2363"/>
      <c r="D1" s="2363"/>
      <c r="E1" s="2363"/>
      <c r="F1" s="2364"/>
    </row>
    <row r="2" spans="1:8" ht="45" customHeight="1" x14ac:dyDescent="0.2">
      <c r="A2" s="2372" t="s">
        <v>1791</v>
      </c>
      <c r="B2" s="2373"/>
      <c r="C2" s="2373"/>
      <c r="D2" s="2373"/>
      <c r="E2" s="2373"/>
      <c r="F2" s="2374"/>
      <c r="G2" s="1074"/>
      <c r="H2" s="1074"/>
    </row>
    <row r="3" spans="1:8" ht="57" customHeight="1" x14ac:dyDescent="0.2">
      <c r="A3" s="2375" t="s">
        <v>1786</v>
      </c>
      <c r="B3" s="2376"/>
      <c r="C3" s="2376"/>
      <c r="D3" s="2376"/>
      <c r="E3" s="2376"/>
      <c r="F3" s="2377"/>
      <c r="G3" s="1074"/>
      <c r="H3" s="1074"/>
    </row>
    <row r="4" spans="1:8" ht="14.25" customHeight="1" x14ac:dyDescent="0.2">
      <c r="A4" s="2381" t="s">
        <v>2055</v>
      </c>
      <c r="B4" s="2382"/>
      <c r="C4" s="2382"/>
      <c r="D4" s="2382"/>
      <c r="E4" s="2382"/>
      <c r="F4" s="2383"/>
      <c r="G4" s="1074"/>
      <c r="H4" s="1074"/>
    </row>
    <row r="5" spans="1:8" ht="14.25" customHeight="1" x14ac:dyDescent="0.2">
      <c r="A5" s="2384" t="s">
        <v>2056</v>
      </c>
      <c r="B5" s="2385"/>
      <c r="C5" s="2385"/>
      <c r="D5" s="2385"/>
      <c r="E5" s="2385"/>
      <c r="F5" s="2386"/>
      <c r="G5" s="1074"/>
      <c r="H5" s="1074"/>
    </row>
    <row r="6" spans="1:8" s="1075" customFormat="1" ht="41.25" customHeight="1" x14ac:dyDescent="0.2">
      <c r="A6" s="2378" t="s">
        <v>1792</v>
      </c>
      <c r="B6" s="2379"/>
      <c r="C6" s="2379"/>
      <c r="D6" s="2379"/>
      <c r="E6" s="2379"/>
      <c r="F6" s="2380"/>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12638159</v>
      </c>
      <c r="C8" s="1837">
        <f>'Acct Summary 7-8'!D8</f>
        <v>376806</v>
      </c>
      <c r="D8" s="1837">
        <f>'Acct Summary 7-8'!F8</f>
        <v>1268383</v>
      </c>
      <c r="E8" s="1837">
        <f>'Acct Summary 7-8'!I8</f>
        <v>58589</v>
      </c>
      <c r="F8" s="1837">
        <f>SUM(B8:E8)</f>
        <v>14341937</v>
      </c>
    </row>
    <row r="9" spans="1:8" s="1079" customFormat="1" ht="14.25" customHeight="1" thickBot="1" x14ac:dyDescent="0.25">
      <c r="A9" s="1078" t="s">
        <v>1436</v>
      </c>
      <c r="B9" s="1838">
        <f>'Acct Summary 7-8'!C17</f>
        <v>12065490</v>
      </c>
      <c r="C9" s="1838">
        <f>'Acct Summary 7-8'!D17</f>
        <v>1028998</v>
      </c>
      <c r="D9" s="1838">
        <f>'Acct Summary 7-8'!F17</f>
        <v>655467</v>
      </c>
      <c r="E9" s="1837"/>
      <c r="F9" s="1837">
        <f>SUM(B9:E9)</f>
        <v>13749955</v>
      </c>
    </row>
    <row r="10" spans="1:8" s="1079" customFormat="1" ht="14.25" thickTop="1" thickBot="1" x14ac:dyDescent="0.25">
      <c r="A10" s="1080" t="s">
        <v>1437</v>
      </c>
      <c r="B10" s="1839">
        <f>(B8-B9)</f>
        <v>572669</v>
      </c>
      <c r="C10" s="1839">
        <f>(C8-C9)</f>
        <v>-652192</v>
      </c>
      <c r="D10" s="1839">
        <f>(D8-D9)</f>
        <v>612916</v>
      </c>
      <c r="E10" s="1838">
        <f>(E8-E9)</f>
        <v>58589</v>
      </c>
      <c r="F10" s="1840">
        <f>SUM(F8-F9)</f>
        <v>591982</v>
      </c>
    </row>
    <row r="11" spans="1:8" s="1079" customFormat="1" ht="14.25" thickTop="1" thickBot="1" x14ac:dyDescent="0.25">
      <c r="A11" s="1081" t="s">
        <v>1785</v>
      </c>
      <c r="B11" s="1841">
        <f>'Acct Summary 7-8'!C81</f>
        <v>4308023</v>
      </c>
      <c r="C11" s="1841">
        <f>'Acct Summary 7-8'!D81</f>
        <v>131637</v>
      </c>
      <c r="D11" s="1841">
        <f>'Acct Summary 7-8'!F81</f>
        <v>788051</v>
      </c>
      <c r="E11" s="1841">
        <f>'Acct Summary 7-8'!I81</f>
        <v>0</v>
      </c>
      <c r="F11" s="1842">
        <f>SUM(B11:E11)</f>
        <v>5227711</v>
      </c>
    </row>
    <row r="12" spans="1:8" ht="16.5" customHeight="1" thickTop="1" x14ac:dyDescent="0.2">
      <c r="A12" s="1082"/>
      <c r="B12" s="1083"/>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84"/>
      <c r="B13" s="1085"/>
      <c r="C13" s="2366"/>
      <c r="D13" s="2367"/>
      <c r="E13" s="2367"/>
      <c r="F13" s="2368"/>
      <c r="H13" s="1074"/>
    </row>
    <row r="14" spans="1:8" ht="19.5" customHeight="1" x14ac:dyDescent="0.2">
      <c r="A14" s="1084"/>
      <c r="B14" s="1085"/>
      <c r="C14" s="2366"/>
      <c r="D14" s="2367"/>
      <c r="E14" s="2367"/>
      <c r="F14" s="2368"/>
      <c r="H14" s="1074"/>
    </row>
    <row r="15" spans="1:8" ht="17.25" customHeight="1" x14ac:dyDescent="0.2">
      <c r="A15" s="1084"/>
      <c r="B15" s="1085"/>
      <c r="C15" s="2369"/>
      <c r="D15" s="2370"/>
      <c r="E15" s="2370"/>
      <c r="F15" s="2371"/>
      <c r="H15" s="1074"/>
    </row>
    <row r="16" spans="1:8" s="310" customFormat="1" ht="51.75" hidden="1" customHeight="1" x14ac:dyDescent="0.2">
      <c r="A16" s="2365" t="s">
        <v>1787</v>
      </c>
      <c r="B16" s="2365"/>
      <c r="C16" s="2365"/>
      <c r="D16" s="2365"/>
      <c r="E16" s="2365"/>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7" t="s">
        <v>686</v>
      </c>
      <c r="B3" s="2388"/>
      <c r="C3" s="2388"/>
      <c r="D3" s="2389"/>
    </row>
    <row r="4" spans="1:4" x14ac:dyDescent="0.2">
      <c r="A4" s="1152" t="s">
        <v>1793</v>
      </c>
      <c r="B4" s="1153"/>
      <c r="C4" s="1154"/>
      <c r="D4" s="1155"/>
    </row>
    <row r="5" spans="1:4" ht="21" customHeight="1" x14ac:dyDescent="0.2">
      <c r="A5" s="1148"/>
      <c r="B5" s="1149">
        <v>1</v>
      </c>
      <c r="C5" s="1150" t="s">
        <v>1945</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8" t="s">
        <v>1584</v>
      </c>
      <c r="D7" s="2399"/>
    </row>
    <row r="8" spans="1:4" s="669" customFormat="1" ht="12.75" x14ac:dyDescent="0.2">
      <c r="A8" s="1138"/>
      <c r="B8" s="1093"/>
      <c r="C8" s="1096" t="s">
        <v>1583</v>
      </c>
      <c r="D8" s="1097"/>
    </row>
    <row r="9" spans="1:4" s="669" customFormat="1" ht="14.25" customHeight="1" x14ac:dyDescent="0.2">
      <c r="A9" s="1138"/>
      <c r="B9" s="1093">
        <f>B7+1</f>
        <v>4</v>
      </c>
      <c r="C9" s="1094" t="s">
        <v>2048</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0" t="s">
        <v>1065</v>
      </c>
      <c r="B15" s="2391"/>
      <c r="C15" s="2391"/>
      <c r="D15" s="2392"/>
    </row>
    <row r="16" spans="1:4" s="669" customFormat="1" ht="24" customHeight="1" x14ac:dyDescent="0.2">
      <c r="A16" s="2393" t="s">
        <v>684</v>
      </c>
      <c r="B16" s="2394"/>
      <c r="C16" s="2394"/>
      <c r="D16" s="2395"/>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2" t="s">
        <v>332</v>
      </c>
      <c r="D21" s="2403"/>
    </row>
    <row r="22" spans="1:10" ht="12.75" x14ac:dyDescent="0.2">
      <c r="A22" s="1139"/>
      <c r="B22" s="1140">
        <v>2</v>
      </c>
      <c r="C22" s="2400" t="s">
        <v>1605</v>
      </c>
      <c r="D22" s="2401"/>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4" t="s">
        <v>557</v>
      </c>
      <c r="D43" s="2405"/>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6" t="s">
        <v>817</v>
      </c>
      <c r="D56" s="2397"/>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2049</v>
      </c>
      <c r="D66" s="1125"/>
    </row>
    <row r="67" spans="1:4" x14ac:dyDescent="0.2">
      <c r="A67" s="1119"/>
      <c r="B67" s="1140"/>
      <c r="C67" s="1147" t="s">
        <v>1079</v>
      </c>
      <c r="D67" s="1125"/>
    </row>
    <row r="68" spans="1:4" x14ac:dyDescent="0.2">
      <c r="A68" s="1100"/>
      <c r="B68" s="1110"/>
      <c r="C68" s="1102" t="s">
        <v>2050</v>
      </c>
      <c r="D68" s="1124" t="str">
        <f>IF('Short-Term Long-Term Debt 24'!F49=SUM(,'Acct Summary 7-8'!C33:K33),"OK","ERROR!")</f>
        <v>ERROR!</v>
      </c>
    </row>
    <row r="69" spans="1:4" x14ac:dyDescent="0.2">
      <c r="A69" s="1100"/>
      <c r="B69" s="1110"/>
      <c r="C69" s="1102" t="s">
        <v>2051</v>
      </c>
      <c r="D69" s="1124" t="str">
        <f>IF('Expenditures 15-22'!H170&lt;&gt;'Short-Term Long-Term Debt 24'!H49,"ERROR!","OK")</f>
        <v>OK</v>
      </c>
    </row>
    <row r="70" spans="1:4" x14ac:dyDescent="0.2">
      <c r="A70" s="1098"/>
      <c r="B70" s="1120">
        <f>B66+1</f>
        <v>9</v>
      </c>
      <c r="C70" s="2396" t="s">
        <v>1797</v>
      </c>
      <c r="D70" s="2397"/>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2052</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2053</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2054</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13058135002</v>
      </c>
    </row>
    <row r="3" spans="1:2" x14ac:dyDescent="0.2">
      <c r="A3" t="s">
        <v>1013</v>
      </c>
      <c r="B3" s="138" t="str">
        <f>COVER!A15</f>
        <v>Marion</v>
      </c>
    </row>
    <row r="4" spans="1:2" x14ac:dyDescent="0.2">
      <c r="A4" t="s">
        <v>1064</v>
      </c>
      <c r="B4" s="138" t="str">
        <f>COVER!A17</f>
        <v>Centralia City SD 135</v>
      </c>
    </row>
    <row r="5" spans="1:2" x14ac:dyDescent="0.2">
      <c r="A5" t="s">
        <v>728</v>
      </c>
      <c r="B5" s="138" t="str">
        <f>COVER!A38</f>
        <v>Craig E. Clark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066-004976</v>
      </c>
    </row>
    <row r="16" spans="1:2" x14ac:dyDescent="0.2">
      <c r="A16" t="s">
        <v>442</v>
      </c>
      <c r="B16" s="138" t="str">
        <f>COVER!T13</f>
        <v>Glass and Shuffett, Ltd.</v>
      </c>
    </row>
    <row r="17" spans="1:2" x14ac:dyDescent="0.2">
      <c r="A17" t="s">
        <v>939</v>
      </c>
      <c r="B17" s="138" t="str">
        <f>COVER!T15</f>
        <v>Bo Thomas, CPA</v>
      </c>
    </row>
    <row r="18" spans="1:2" x14ac:dyDescent="0.2">
      <c r="A18" t="s">
        <v>1212</v>
      </c>
      <c r="B18" s="138" t="str">
        <f>COVER!T17</f>
        <v>1819 West McCord St., P.O. Box489</v>
      </c>
    </row>
    <row r="19" spans="1:2" x14ac:dyDescent="0.2">
      <c r="A19" t="s">
        <v>941</v>
      </c>
      <c r="B19" s="138" t="str">
        <f>COVER!T25</f>
        <v>gandscpa@sbcglobal.net</v>
      </c>
    </row>
    <row r="20" spans="1:2" x14ac:dyDescent="0.2">
      <c r="A20" t="s">
        <v>942</v>
      </c>
      <c r="B20" s="138" t="str">
        <f>COVER!T19</f>
        <v>Centralia</v>
      </c>
    </row>
    <row r="21" spans="1:2" x14ac:dyDescent="0.2">
      <c r="A21" t="s">
        <v>500</v>
      </c>
      <c r="B21" s="138" t="str">
        <f>COVER!X19</f>
        <v>IL</v>
      </c>
    </row>
    <row r="22" spans="1:2" x14ac:dyDescent="0.2">
      <c r="A22" t="s">
        <v>943</v>
      </c>
      <c r="B22" s="138">
        <f>COVER!Z19</f>
        <v>62801</v>
      </c>
    </row>
    <row r="23" spans="1:2" x14ac:dyDescent="0.2">
      <c r="A23" t="s">
        <v>1214</v>
      </c>
      <c r="B23" s="138" t="str">
        <f>COVER!T21</f>
        <v>618-532-5683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4308023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4308023</v>
      </c>
      <c r="D92" s="2" t="str">
        <f t="shared" si="0"/>
        <v>Error?</v>
      </c>
    </row>
    <row r="93" spans="1:4" x14ac:dyDescent="0.2">
      <c r="A93" s="5">
        <v>32</v>
      </c>
      <c r="B93" s="138">
        <f>'Assets-Liab 5-6'!C41</f>
        <v>4308023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131637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131637</v>
      </c>
      <c r="D123" s="2" t="str">
        <f t="shared" si="0"/>
        <v>Error?</v>
      </c>
    </row>
    <row r="124" spans="1:4" x14ac:dyDescent="0.2">
      <c r="A124" s="5">
        <v>63</v>
      </c>
      <c r="B124" s="138">
        <f>'Assets-Liab 5-6'!D41</f>
        <v>131637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38177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38177</v>
      </c>
      <c r="D140" s="2" t="str">
        <f t="shared" si="1"/>
        <v>Error?</v>
      </c>
    </row>
    <row r="141" spans="1:4" x14ac:dyDescent="0.2">
      <c r="A141" s="5">
        <v>80</v>
      </c>
      <c r="B141" s="138">
        <f>'Assets-Liab 5-6'!E41</f>
        <v>38177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788051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788051</v>
      </c>
      <c r="D170" s="2" t="str">
        <f t="shared" si="1"/>
        <v>Error?</v>
      </c>
    </row>
    <row r="171" spans="1:4" x14ac:dyDescent="0.2">
      <c r="A171" s="5">
        <v>110</v>
      </c>
      <c r="B171" s="138">
        <f>'Assets-Liab 5-6'!F41</f>
        <v>788051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254875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254875</v>
      </c>
      <c r="D189" s="2" t="str">
        <f t="shared" si="1"/>
        <v>Error?</v>
      </c>
    </row>
    <row r="190" spans="1:4" x14ac:dyDescent="0.2">
      <c r="A190" s="5">
        <v>129</v>
      </c>
      <c r="B190" s="138">
        <f>'Assets-Liab 5-6'!G41</f>
        <v>254875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500000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500000</v>
      </c>
      <c r="D212" s="2" t="str">
        <f t="shared" si="2"/>
        <v>Error?</v>
      </c>
    </row>
    <row r="213" spans="1:4" x14ac:dyDescent="0.2">
      <c r="A213" s="12">
        <v>152</v>
      </c>
      <c r="B213" s="138">
        <f>'Assets-Liab 5-6'!H41</f>
        <v>500000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365455</v>
      </c>
      <c r="D273" s="2" t="str">
        <f t="shared" si="3"/>
        <v>Error?</v>
      </c>
    </row>
    <row r="274" spans="1:4" x14ac:dyDescent="0.2">
      <c r="A274" s="5">
        <v>213</v>
      </c>
      <c r="B274" s="138">
        <f>'Assets-Liab 5-6'!M17</f>
        <v>15454418</v>
      </c>
      <c r="D274" s="2" t="str">
        <f t="shared" si="3"/>
        <v>Error?</v>
      </c>
    </row>
    <row r="275" spans="1:4" x14ac:dyDescent="0.2">
      <c r="A275" s="5">
        <v>214</v>
      </c>
      <c r="B275" s="138">
        <f>'Assets-Liab 5-6'!M18</f>
        <v>285718</v>
      </c>
      <c r="D275" s="2" t="str">
        <f t="shared" si="3"/>
        <v>Error?</v>
      </c>
    </row>
    <row r="276" spans="1:4" x14ac:dyDescent="0.2">
      <c r="A276" s="5">
        <v>215</v>
      </c>
      <c r="B276" s="138">
        <f>'Assets-Liab 5-6'!M19</f>
        <v>2585771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18691362</v>
      </c>
      <c r="C279" s="2" t="s">
        <v>594</v>
      </c>
      <c r="D279" s="2" t="str">
        <f t="shared" si="3"/>
        <v>Error?</v>
      </c>
    </row>
    <row r="280" spans="1:4" x14ac:dyDescent="0.2">
      <c r="A280" s="5">
        <v>219</v>
      </c>
      <c r="B280" s="138">
        <f>'Assets-Liab 5-6'!M40</f>
        <v>18691362</v>
      </c>
      <c r="D280" s="2" t="str">
        <f t="shared" si="3"/>
        <v>Error?</v>
      </c>
    </row>
    <row r="281" spans="1:4" x14ac:dyDescent="0.2">
      <c r="A281" s="5">
        <v>220</v>
      </c>
      <c r="B281" s="138">
        <f>'Assets-Liab 5-6'!M41</f>
        <v>18691362</v>
      </c>
      <c r="C281" s="2" t="s">
        <v>594</v>
      </c>
      <c r="D281" s="2" t="str">
        <f t="shared" si="3"/>
        <v>Error?</v>
      </c>
    </row>
    <row r="282" spans="1:4" x14ac:dyDescent="0.2">
      <c r="A282" s="5">
        <v>221</v>
      </c>
      <c r="B282" s="138">
        <f>'Assets-Liab 5-6'!N21</f>
        <v>38177</v>
      </c>
      <c r="D282" s="2" t="str">
        <f t="shared" si="3"/>
        <v>Error?</v>
      </c>
    </row>
    <row r="283" spans="1:4" x14ac:dyDescent="0.2">
      <c r="A283" s="5">
        <v>222</v>
      </c>
      <c r="B283" s="138">
        <f>'Assets-Liab 5-6'!N22</f>
        <v>2081940</v>
      </c>
      <c r="D283" s="2" t="str">
        <f t="shared" si="3"/>
        <v>Error?</v>
      </c>
    </row>
    <row r="284" spans="1:4" x14ac:dyDescent="0.2">
      <c r="A284" s="5">
        <v>223</v>
      </c>
      <c r="B284" s="138">
        <f>'Assets-Liab 5-6'!N23</f>
        <v>2120117</v>
      </c>
      <c r="C284" s="2" t="s">
        <v>594</v>
      </c>
      <c r="D284" s="2" t="str">
        <f t="shared" si="3"/>
        <v>Error?</v>
      </c>
    </row>
    <row r="285" spans="1:4" x14ac:dyDescent="0.2">
      <c r="A285" s="5">
        <v>224</v>
      </c>
      <c r="B285" s="138">
        <f>'Assets-Liab 5-6'!N36</f>
        <v>2120117</v>
      </c>
      <c r="D285" s="2" t="str">
        <f t="shared" si="3"/>
        <v>Error?</v>
      </c>
    </row>
    <row r="286" spans="1:4" x14ac:dyDescent="0.2">
      <c r="A286" s="10">
        <v>225</v>
      </c>
      <c r="D286" s="2" t="str">
        <f t="shared" si="3"/>
        <v>OK</v>
      </c>
    </row>
    <row r="287" spans="1:4" x14ac:dyDescent="0.2">
      <c r="A287" s="5">
        <v>226</v>
      </c>
      <c r="B287" s="138">
        <f>'Assets-Liab 5-6'!N37</f>
        <v>2120117</v>
      </c>
      <c r="C287" s="2" t="s">
        <v>594</v>
      </c>
      <c r="D287" s="2" t="str">
        <f t="shared" si="3"/>
        <v>Error?</v>
      </c>
    </row>
    <row r="288" spans="1:4" x14ac:dyDescent="0.2">
      <c r="A288" s="5">
        <v>227</v>
      </c>
      <c r="B288" s="138">
        <f>'Assets-Liab 5-6'!N41</f>
        <v>2120117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1343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3758895</v>
      </c>
      <c r="D705" s="2" t="str">
        <f t="shared" si="10"/>
        <v>Error?</v>
      </c>
    </row>
    <row r="706" spans="1:4" x14ac:dyDescent="0.2">
      <c r="A706" s="5">
        <v>645</v>
      </c>
      <c r="B706" s="138">
        <f>'Expenditures 15-22'!C16</f>
        <v>20277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5955820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56768</v>
      </c>
      <c r="D722" s="2" t="str">
        <f t="shared" si="10"/>
        <v>Error?</v>
      </c>
    </row>
    <row r="723" spans="1:4" x14ac:dyDescent="0.2">
      <c r="A723" s="5">
        <v>662</v>
      </c>
      <c r="B723" s="138">
        <f>'Expenditures 15-22'!C38</f>
        <v>96762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153530</v>
      </c>
      <c r="C727" s="2" t="s">
        <v>594</v>
      </c>
      <c r="D727" s="2" t="str">
        <f t="shared" si="10"/>
        <v>Error?</v>
      </c>
    </row>
    <row r="728" spans="1:4" x14ac:dyDescent="0.2">
      <c r="A728" s="5">
        <v>667</v>
      </c>
      <c r="B728" s="138">
        <f>'Expenditures 15-22'!C44</f>
        <v>9020</v>
      </c>
      <c r="D728" s="2" t="str">
        <f t="shared" si="10"/>
        <v>Error?</v>
      </c>
    </row>
    <row r="729" spans="1:4" x14ac:dyDescent="0.2">
      <c r="A729" s="5">
        <v>668</v>
      </c>
      <c r="B729" s="138">
        <f>'Expenditures 15-22'!C45</f>
        <v>225786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234806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161393</v>
      </c>
      <c r="D733" s="2" t="str">
        <f t="shared" si="10"/>
        <v>Error?</v>
      </c>
    </row>
    <row r="734" spans="1:4" x14ac:dyDescent="0.2">
      <c r="A734" s="5">
        <v>673</v>
      </c>
      <c r="B734" s="138">
        <f>'Expenditures 15-22'!C53</f>
        <v>166393</v>
      </c>
      <c r="C734" s="2" t="s">
        <v>594</v>
      </c>
      <c r="D734" s="2" t="str">
        <f t="shared" si="10"/>
        <v>Error?</v>
      </c>
    </row>
    <row r="735" spans="1:4" x14ac:dyDescent="0.2">
      <c r="A735" s="5">
        <v>674</v>
      </c>
      <c r="B735" s="138">
        <f>'Expenditures 15-22'!C55</f>
        <v>710849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710849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153226</v>
      </c>
      <c r="D739" s="2" t="str">
        <f t="shared" si="10"/>
        <v>Error?</v>
      </c>
    </row>
    <row r="740" spans="1:4" x14ac:dyDescent="0.2">
      <c r="A740" s="5">
        <v>679</v>
      </c>
      <c r="B740" s="138">
        <f>'Expenditures 15-22'!C61</f>
        <v>465453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357056</v>
      </c>
      <c r="D742" s="2" t="str">
        <f t="shared" si="10"/>
        <v>Error?</v>
      </c>
    </row>
    <row r="743" spans="1:4" x14ac:dyDescent="0.2">
      <c r="A743" s="5">
        <v>682</v>
      </c>
      <c r="B743" s="138">
        <f>'Expenditures 15-22'!C64</f>
        <v>5149</v>
      </c>
      <c r="D743" s="2" t="str">
        <f t="shared" si="10"/>
        <v>Error?</v>
      </c>
    </row>
    <row r="744" spans="1:4" x14ac:dyDescent="0.2">
      <c r="A744" s="10">
        <v>683</v>
      </c>
      <c r="D744" s="2" t="str">
        <f t="shared" si="10"/>
        <v>OK</v>
      </c>
    </row>
    <row r="745" spans="1:4" x14ac:dyDescent="0.2">
      <c r="A745" s="5">
        <v>684</v>
      </c>
      <c r="B745" s="138">
        <f>'Expenditures 15-22'!C65</f>
        <v>980884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9000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9000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2255462</v>
      </c>
      <c r="C755" s="2" t="s">
        <v>594</v>
      </c>
      <c r="D755" s="2" t="str">
        <f t="shared" si="10"/>
        <v>Error?</v>
      </c>
    </row>
    <row r="756" spans="1:4" x14ac:dyDescent="0.2">
      <c r="A756" s="5">
        <v>695</v>
      </c>
      <c r="B756" s="138">
        <f>'Expenditures 15-22'!C75</f>
        <v>41334</v>
      </c>
      <c r="D756" s="2" t="str">
        <f t="shared" si="10"/>
        <v>Error?</v>
      </c>
    </row>
    <row r="757" spans="1:4" x14ac:dyDescent="0.2">
      <c r="A757" s="5">
        <v>696</v>
      </c>
      <c r="B757" s="138">
        <f>'Expenditures 15-22'!C114</f>
        <v>8252616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1075789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1706240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16363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16363</v>
      </c>
      <c r="C785" s="2" t="s">
        <v>594</v>
      </c>
      <c r="D785" s="2" t="str">
        <f t="shared" si="11"/>
        <v>Error?</v>
      </c>
    </row>
    <row r="786" spans="1:4" x14ac:dyDescent="0.2">
      <c r="A786" s="5">
        <v>725</v>
      </c>
      <c r="B786" s="138">
        <f>'Expenditures 15-22'!D44</f>
        <v>1157</v>
      </c>
      <c r="D786" s="2" t="str">
        <f t="shared" si="11"/>
        <v>Error?</v>
      </c>
    </row>
    <row r="787" spans="1:4" x14ac:dyDescent="0.2">
      <c r="A787" s="5">
        <v>726</v>
      </c>
      <c r="B787" s="138">
        <f>'Expenditures 15-22'!D45</f>
        <v>51887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53044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32114</v>
      </c>
      <c r="D791" s="2" t="str">
        <f t="shared" si="11"/>
        <v>Error?</v>
      </c>
    </row>
    <row r="792" spans="1:4" x14ac:dyDescent="0.2">
      <c r="A792" s="5">
        <v>731</v>
      </c>
      <c r="B792" s="138">
        <f>'Expenditures 15-22'!D53</f>
        <v>33244</v>
      </c>
      <c r="C792" s="2" t="s">
        <v>594</v>
      </c>
      <c r="D792" s="2" t="str">
        <f t="shared" si="11"/>
        <v>Error?</v>
      </c>
    </row>
    <row r="793" spans="1:4" x14ac:dyDescent="0.2">
      <c r="A793" s="5">
        <v>732</v>
      </c>
      <c r="B793" s="138">
        <f>'Expenditures 15-22'!D55</f>
        <v>167596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167596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17630</v>
      </c>
      <c r="D797" s="2" t="str">
        <f t="shared" si="11"/>
        <v>Error?</v>
      </c>
    </row>
    <row r="798" spans="1:4" x14ac:dyDescent="0.2">
      <c r="A798" s="5">
        <v>737</v>
      </c>
      <c r="B798" s="138">
        <f>'Expenditures 15-22'!D61</f>
        <v>83438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110967</v>
      </c>
      <c r="D800" s="2" t="str">
        <f t="shared" si="11"/>
        <v>Error?</v>
      </c>
    </row>
    <row r="801" spans="1:4" x14ac:dyDescent="0.2">
      <c r="A801" s="5">
        <v>740</v>
      </c>
      <c r="B801" s="138">
        <f>'Expenditures 15-22'!D64</f>
        <v>928</v>
      </c>
      <c r="D801" s="2" t="str">
        <f t="shared" si="11"/>
        <v>Error?</v>
      </c>
    </row>
    <row r="802" spans="1:4" x14ac:dyDescent="0.2">
      <c r="A802" s="10">
        <v>741</v>
      </c>
      <c r="D802" s="2" t="str">
        <f t="shared" si="11"/>
        <v>OK</v>
      </c>
    </row>
    <row r="803" spans="1:4" x14ac:dyDescent="0.2">
      <c r="A803" s="5">
        <v>742</v>
      </c>
      <c r="B803" s="138">
        <f>'Expenditures 15-22'!D65</f>
        <v>212963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2033</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2033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485243</v>
      </c>
      <c r="C813" s="2" t="s">
        <v>594</v>
      </c>
      <c r="D813" s="2" t="str">
        <f t="shared" si="11"/>
        <v>Error?</v>
      </c>
    </row>
    <row r="814" spans="1:4" x14ac:dyDescent="0.2">
      <c r="A814" s="5">
        <v>753</v>
      </c>
      <c r="B814" s="138">
        <f>'Expenditures 15-22'!D75</f>
        <v>9279</v>
      </c>
      <c r="D814" s="2" t="str">
        <f t="shared" si="11"/>
        <v>Error?</v>
      </c>
    </row>
    <row r="815" spans="1:4" x14ac:dyDescent="0.2">
      <c r="A815" s="5">
        <v>754</v>
      </c>
      <c r="B815" s="138">
        <f>'Expenditures 15-22'!D114</f>
        <v>2200762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107187</v>
      </c>
      <c r="D821" s="2" t="str">
        <f t="shared" si="11"/>
        <v>Error?</v>
      </c>
    </row>
    <row r="822" spans="1:4" x14ac:dyDescent="0.2">
      <c r="A822" s="5">
        <v>761</v>
      </c>
      <c r="B822" s="138">
        <f>'Expenditures 15-22'!E16</f>
        <v>55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10665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149081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23208</v>
      </c>
      <c r="D838" s="2" t="str">
        <f t="shared" si="12"/>
        <v>Error?</v>
      </c>
    </row>
    <row r="839" spans="1:4" x14ac:dyDescent="0.2">
      <c r="A839" s="5">
        <v>778</v>
      </c>
      <c r="B839" s="138">
        <f>'Expenditures 15-22'!E38</f>
        <v>34823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58031</v>
      </c>
      <c r="C843" s="2" t="s">
        <v>594</v>
      </c>
      <c r="D843" s="2" t="str">
        <f t="shared" si="12"/>
        <v>Error?</v>
      </c>
    </row>
    <row r="844" spans="1:4" x14ac:dyDescent="0.2">
      <c r="A844" s="5">
        <v>783</v>
      </c>
      <c r="B844" s="138">
        <f>'Expenditures 15-22'!E44</f>
        <v>22423</v>
      </c>
      <c r="D844" s="2" t="str">
        <f t="shared" si="12"/>
        <v>Error?</v>
      </c>
    </row>
    <row r="845" spans="1:4" x14ac:dyDescent="0.2">
      <c r="A845" s="5">
        <v>784</v>
      </c>
      <c r="B845" s="138">
        <f>'Expenditures 15-22'!E45</f>
        <v>1323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23746</v>
      </c>
      <c r="C847" s="2" t="s">
        <v>594</v>
      </c>
      <c r="D847" s="2" t="str">
        <f t="shared" si="12"/>
        <v>Error?</v>
      </c>
    </row>
    <row r="848" spans="1:4" x14ac:dyDescent="0.2">
      <c r="A848" s="5">
        <v>787</v>
      </c>
      <c r="B848" s="138">
        <f>'Expenditures 15-22'!E49</f>
        <v>30145</v>
      </c>
      <c r="D848" s="2" t="str">
        <f t="shared" si="12"/>
        <v>Error?</v>
      </c>
    </row>
    <row r="849" spans="1:4" x14ac:dyDescent="0.2">
      <c r="A849" s="5">
        <v>788</v>
      </c>
      <c r="B849" s="138">
        <f>'Expenditures 15-22'!E50</f>
        <v>13993</v>
      </c>
      <c r="D849" s="2" t="str">
        <f t="shared" si="12"/>
        <v>Error?</v>
      </c>
    </row>
    <row r="850" spans="1:4" x14ac:dyDescent="0.2">
      <c r="A850" s="5">
        <v>789</v>
      </c>
      <c r="B850" s="138">
        <f>'Expenditures 15-22'!E53</f>
        <v>44438</v>
      </c>
      <c r="C850" s="2" t="s">
        <v>594</v>
      </c>
      <c r="D850" s="2" t="str">
        <f t="shared" si="12"/>
        <v>Error?</v>
      </c>
    </row>
    <row r="851" spans="1:4" x14ac:dyDescent="0.2">
      <c r="A851" s="5">
        <v>790</v>
      </c>
      <c r="B851" s="138">
        <f>'Expenditures 15-22'!E55</f>
        <v>14443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14443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7725</v>
      </c>
      <c r="D855" s="2" t="str">
        <f t="shared" si="12"/>
        <v>Error?</v>
      </c>
    </row>
    <row r="856" spans="1:4" x14ac:dyDescent="0.2">
      <c r="A856" s="5">
        <v>795</v>
      </c>
      <c r="B856" s="138">
        <f>'Expenditures 15-22'!E61</f>
        <v>122699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133943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274601</v>
      </c>
      <c r="C871" s="2" t="s">
        <v>594</v>
      </c>
      <c r="D871" s="2" t="str">
        <f t="shared" si="12"/>
        <v>Error?</v>
      </c>
    </row>
    <row r="872" spans="1:4" x14ac:dyDescent="0.2">
      <c r="A872" s="5">
        <v>811</v>
      </c>
      <c r="B872" s="138">
        <f>'Expenditures 15-22'!E75</f>
        <v>7760</v>
      </c>
      <c r="D872" s="2" t="str">
        <f t="shared" si="12"/>
        <v>Error?</v>
      </c>
    </row>
    <row r="873" spans="1:4" x14ac:dyDescent="0.2">
      <c r="A873" s="5">
        <v>812</v>
      </c>
      <c r="B873" s="138">
        <f>'Expenditures 15-22'!E114</f>
        <v>1038455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25900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3576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90443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4018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4018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5958</v>
      </c>
      <c r="D903" s="2" t="str">
        <f t="shared" si="13"/>
        <v>Error?</v>
      </c>
    </row>
    <row r="904" spans="1:4" x14ac:dyDescent="0.2">
      <c r="A904" s="5">
        <v>843</v>
      </c>
      <c r="B904" s="138">
        <f>'Expenditures 15-22'!F46</f>
        <v>19965</v>
      </c>
      <c r="D904" s="2" t="str">
        <f t="shared" si="13"/>
        <v>Error?</v>
      </c>
    </row>
    <row r="905" spans="1:4" x14ac:dyDescent="0.2">
      <c r="A905" s="5">
        <v>844</v>
      </c>
      <c r="B905" s="138">
        <f>'Expenditures 15-22'!F47</f>
        <v>25923</v>
      </c>
      <c r="C905" s="2" t="s">
        <v>594</v>
      </c>
      <c r="D905" s="2" t="str">
        <f t="shared" si="13"/>
        <v>Error?</v>
      </c>
    </row>
    <row r="906" spans="1:4" x14ac:dyDescent="0.2">
      <c r="A906" s="5">
        <v>845</v>
      </c>
      <c r="B906" s="138">
        <f>'Expenditures 15-22'!F49</f>
        <v>2597</v>
      </c>
      <c r="D906" s="2" t="str">
        <f t="shared" si="13"/>
        <v>Error?</v>
      </c>
    </row>
    <row r="907" spans="1:4" x14ac:dyDescent="0.2">
      <c r="A907" s="5">
        <v>846</v>
      </c>
      <c r="B907" s="138">
        <f>'Expenditures 15-22'!F50</f>
        <v>6596</v>
      </c>
      <c r="D907" s="2" t="str">
        <f t="shared" si="13"/>
        <v>Error?</v>
      </c>
    </row>
    <row r="908" spans="1:4" x14ac:dyDescent="0.2">
      <c r="A908" s="5">
        <v>847</v>
      </c>
      <c r="B908" s="138">
        <f>'Expenditures 15-22'!F53</f>
        <v>9193</v>
      </c>
      <c r="C908" s="2" t="s">
        <v>594</v>
      </c>
      <c r="D908" s="2" t="str">
        <f t="shared" si="13"/>
        <v>Error?</v>
      </c>
    </row>
    <row r="909" spans="1:4" x14ac:dyDescent="0.2">
      <c r="A909" s="5">
        <v>848</v>
      </c>
      <c r="B909" s="138">
        <f>'Expenditures 15-22'!F55</f>
        <v>7294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7294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1175</v>
      </c>
      <c r="D913" s="2" t="str">
        <f t="shared" si="13"/>
        <v>Error?</v>
      </c>
    </row>
    <row r="914" spans="1:4" x14ac:dyDescent="0.2">
      <c r="A914" s="5">
        <v>853</v>
      </c>
      <c r="B914" s="138">
        <f>'Expenditures 15-22'!F61</f>
        <v>40231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286713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328119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374547</v>
      </c>
      <c r="C929" s="2" t="s">
        <v>594</v>
      </c>
      <c r="D929" s="2" t="str">
        <f t="shared" si="13"/>
        <v>Error?</v>
      </c>
    </row>
    <row r="930" spans="1:4" x14ac:dyDescent="0.2">
      <c r="A930" s="5">
        <v>869</v>
      </c>
      <c r="B930" s="138">
        <f>'Expenditures 15-22'!F75</f>
        <v>2444</v>
      </c>
      <c r="D930" s="2" t="str">
        <f t="shared" si="13"/>
        <v>Error?</v>
      </c>
    </row>
    <row r="931" spans="1:4" x14ac:dyDescent="0.2">
      <c r="A931" s="5">
        <v>870</v>
      </c>
      <c r="B931" s="138">
        <f>'Expenditures 15-22'!F114</f>
        <v>467434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6092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33127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846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846</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4353</v>
      </c>
      <c r="D964" s="2" t="str">
        <f t="shared" si="14"/>
        <v>Error?</v>
      </c>
    </row>
    <row r="965" spans="1:4" x14ac:dyDescent="0.2">
      <c r="A965" s="5">
        <v>904</v>
      </c>
      <c r="B965" s="138">
        <f>'Expenditures 15-22'!G50</f>
        <v>629</v>
      </c>
      <c r="D965" s="2" t="str">
        <f t="shared" si="14"/>
        <v>Error?</v>
      </c>
    </row>
    <row r="966" spans="1:4" x14ac:dyDescent="0.2">
      <c r="A966" s="5">
        <v>905</v>
      </c>
      <c r="B966" s="138">
        <f>'Expenditures 15-22'!G53</f>
        <v>4982</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6528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13619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20147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25975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59102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1232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19210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26969</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26969</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942</v>
      </c>
      <c r="D1023" s="2" t="str">
        <f t="shared" ref="D1023:D1086" si="15">IF(ISBLANK(B1023),"OK",IF(A1023-B1023=0,"OK","Error?"))</f>
        <v>Error?</v>
      </c>
    </row>
    <row r="1024" spans="1:4" x14ac:dyDescent="0.2">
      <c r="A1024" s="5">
        <v>963</v>
      </c>
      <c r="B1024" s="138">
        <f>'Expenditures 15-22'!H53</f>
        <v>942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27911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47121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4975095</v>
      </c>
      <c r="C1093" s="2" t="s">
        <v>594</v>
      </c>
      <c r="D1093" s="2" t="str">
        <f t="shared" si="16"/>
        <v>Error?</v>
      </c>
    </row>
    <row r="1094" spans="1:4" x14ac:dyDescent="0.2">
      <c r="A1094" s="5">
        <v>1033</v>
      </c>
      <c r="B1094" s="138">
        <f>'Expenditures 15-22'!K16</f>
        <v>20332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14241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7953921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96339</v>
      </c>
      <c r="C1110" s="2" t="s">
        <v>594</v>
      </c>
      <c r="D1110" s="2" t="str">
        <f t="shared" si="16"/>
        <v>Error?</v>
      </c>
    </row>
    <row r="1111" spans="1:4" x14ac:dyDescent="0.2">
      <c r="A1111" s="5">
        <v>1050</v>
      </c>
      <c r="B1111" s="138">
        <f>'Expenditures 15-22'!K38</f>
        <v>163418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259757</v>
      </c>
      <c r="C1115" s="2" t="s">
        <v>594</v>
      </c>
      <c r="D1115" s="2" t="str">
        <f t="shared" si="16"/>
        <v>Error?</v>
      </c>
    </row>
    <row r="1116" spans="1:4" x14ac:dyDescent="0.2">
      <c r="A1116" s="5">
        <v>1055</v>
      </c>
      <c r="B1116" s="138">
        <f>'Expenditures 15-22'!K44</f>
        <v>32600</v>
      </c>
      <c r="C1116" s="2" t="s">
        <v>594</v>
      </c>
      <c r="D1116" s="2" t="str">
        <f t="shared" si="16"/>
        <v>Error?</v>
      </c>
    </row>
    <row r="1117" spans="1:4" x14ac:dyDescent="0.2">
      <c r="A1117" s="5">
        <v>1056</v>
      </c>
      <c r="B1117" s="138">
        <f>'Expenditures 15-22'!K45</f>
        <v>284954</v>
      </c>
      <c r="C1117" s="2" t="s">
        <v>594</v>
      </c>
      <c r="D1117" s="2" t="str">
        <f t="shared" si="16"/>
        <v>Error?</v>
      </c>
    </row>
    <row r="1118" spans="1:4" x14ac:dyDescent="0.2">
      <c r="A1118" s="5">
        <v>1057</v>
      </c>
      <c r="B1118" s="138">
        <f>'Expenditures 15-22'!K46</f>
        <v>19965</v>
      </c>
      <c r="C1118" s="2" t="s">
        <v>594</v>
      </c>
      <c r="D1118" s="2" t="str">
        <f t="shared" si="16"/>
        <v>Error?</v>
      </c>
    </row>
    <row r="1119" spans="1:4" x14ac:dyDescent="0.2">
      <c r="A1119" s="5">
        <v>1058</v>
      </c>
      <c r="B1119" s="138">
        <f>'Expenditures 15-22'!K47</f>
        <v>337519</v>
      </c>
      <c r="C1119" s="2" t="s">
        <v>594</v>
      </c>
      <c r="D1119" s="2" t="str">
        <f t="shared" si="16"/>
        <v>Error?</v>
      </c>
    </row>
    <row r="1120" spans="1:4" x14ac:dyDescent="0.2">
      <c r="A1120" s="5">
        <v>1059</v>
      </c>
      <c r="B1120" s="138">
        <f>'Expenditures 15-22'!K49</f>
        <v>37095</v>
      </c>
      <c r="C1120" s="2" t="s">
        <v>594</v>
      </c>
      <c r="D1120" s="2" t="str">
        <f t="shared" si="16"/>
        <v>Error?</v>
      </c>
    </row>
    <row r="1121" spans="1:4" x14ac:dyDescent="0.2">
      <c r="A1121" s="5">
        <v>1060</v>
      </c>
      <c r="B1121" s="138">
        <f>'Expenditures 15-22'!K50</f>
        <v>215667</v>
      </c>
      <c r="C1121" s="2" t="s">
        <v>594</v>
      </c>
      <c r="D1121" s="2" t="str">
        <f t="shared" si="16"/>
        <v>Error?</v>
      </c>
    </row>
    <row r="1122" spans="1:4" x14ac:dyDescent="0.2">
      <c r="A1122" s="5">
        <v>1061</v>
      </c>
      <c r="B1122" s="138">
        <f>'Expenditures 15-22'!K53</f>
        <v>259192</v>
      </c>
      <c r="C1122" s="2" t="s">
        <v>594</v>
      </c>
      <c r="D1122" s="2" t="str">
        <f t="shared" si="16"/>
        <v>Error?</v>
      </c>
    </row>
    <row r="1123" spans="1:4" x14ac:dyDescent="0.2">
      <c r="A1123" s="5">
        <v>1062</v>
      </c>
      <c r="B1123" s="138">
        <f>'Expenditures 15-22'!K55</f>
        <v>900182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900182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179756</v>
      </c>
      <c r="C1127" s="2" t="s">
        <v>594</v>
      </c>
      <c r="D1127" s="2" t="str">
        <f t="shared" si="16"/>
        <v>Error?</v>
      </c>
    </row>
    <row r="1128" spans="1:4" x14ac:dyDescent="0.2">
      <c r="A1128" s="5">
        <v>1067</v>
      </c>
      <c r="B1128" s="138">
        <f>'Expenditures 15-22'!K61</f>
        <v>718349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771874</v>
      </c>
      <c r="C1130" s="2" t="s">
        <v>594</v>
      </c>
      <c r="D1130" s="2" t="str">
        <f t="shared" si="16"/>
        <v>Error?</v>
      </c>
    </row>
    <row r="1131" spans="1:4" x14ac:dyDescent="0.2">
      <c r="A1131" s="5">
        <v>1070</v>
      </c>
      <c r="B1131" s="138">
        <f>'Expenditures 15-22'!K64</f>
        <v>6077</v>
      </c>
      <c r="C1131" s="2" t="s">
        <v>594</v>
      </c>
      <c r="D1131" s="2" t="str">
        <f t="shared" si="16"/>
        <v>Error?</v>
      </c>
    </row>
    <row r="1132" spans="1:4" x14ac:dyDescent="0.2">
      <c r="A1132" s="10">
        <v>1071</v>
      </c>
      <c r="D1132" s="2" t="str">
        <f t="shared" si="16"/>
        <v>OK</v>
      </c>
    </row>
    <row r="1133" spans="1:4" x14ac:dyDescent="0.2">
      <c r="A1133" s="5">
        <v>1072</v>
      </c>
      <c r="B1133" s="138">
        <f>'Expenditures 15-22'!K65</f>
        <v>1676056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11033</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11033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3443739</v>
      </c>
      <c r="C1143" s="2" t="s">
        <v>594</v>
      </c>
      <c r="D1143" s="2" t="str">
        <f t="shared" si="16"/>
        <v>Error?</v>
      </c>
    </row>
    <row r="1144" spans="1:4" x14ac:dyDescent="0.2">
      <c r="A1144" s="5">
        <v>1083</v>
      </c>
      <c r="B1144" s="138">
        <f>'Expenditures 15-22'!K75</f>
        <v>60817</v>
      </c>
      <c r="C1144" s="2" t="s">
        <v>594</v>
      </c>
      <c r="D1144" s="2" t="str">
        <f t="shared" si="16"/>
        <v>Error?</v>
      </c>
    </row>
    <row r="1145" spans="1:4" x14ac:dyDescent="0.2">
      <c r="A1145" s="5">
        <v>1084</v>
      </c>
      <c r="B1145" s="138">
        <f>'Expenditures 15-22'!K102</f>
        <v>607013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12065490</v>
      </c>
      <c r="C1152" s="2" t="s">
        <v>594</v>
      </c>
      <c r="D1152" s="2" t="str">
        <f t="shared" si="17"/>
        <v>Error?</v>
      </c>
    </row>
    <row r="1153" spans="1:4" x14ac:dyDescent="0.2">
      <c r="A1153" s="5">
        <v>1092</v>
      </c>
      <c r="B1153" s="138">
        <f>'Expenditures 15-22'!K115</f>
        <v>572669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51930</v>
      </c>
      <c r="D1237" s="2" t="str">
        <f t="shared" si="18"/>
        <v>Error?</v>
      </c>
    </row>
    <row r="1238" spans="1:4" x14ac:dyDescent="0.2">
      <c r="A1238" s="10">
        <v>1177</v>
      </c>
      <c r="D1238" s="2" t="str">
        <f t="shared" si="18"/>
        <v>OK</v>
      </c>
    </row>
    <row r="1239" spans="1:4" x14ac:dyDescent="0.2">
      <c r="A1239" s="5">
        <v>1178</v>
      </c>
      <c r="B1239" s="138">
        <f>'Expenditures 15-22'!E127</f>
        <v>51930</v>
      </c>
      <c r="C1239" s="2" t="s">
        <v>594</v>
      </c>
      <c r="D1239" s="2" t="str">
        <f t="shared" si="18"/>
        <v>Error?</v>
      </c>
    </row>
    <row r="1240" spans="1:4" x14ac:dyDescent="0.2">
      <c r="A1240" s="5">
        <v>1179</v>
      </c>
      <c r="B1240" s="138">
        <f>'Expenditures 15-22'!E128</f>
        <v>57238</v>
      </c>
      <c r="D1240" s="2" t="str">
        <f t="shared" si="18"/>
        <v>Error?</v>
      </c>
    </row>
    <row r="1241" spans="1:4" x14ac:dyDescent="0.2">
      <c r="A1241" s="5">
        <v>1180</v>
      </c>
      <c r="B1241" s="138">
        <f>'Expenditures 15-22'!E129</f>
        <v>109168</v>
      </c>
      <c r="C1241" s="2" t="s">
        <v>594</v>
      </c>
      <c r="D1241" s="2" t="str">
        <f t="shared" si="18"/>
        <v>Error?</v>
      </c>
    </row>
    <row r="1242" spans="1:4" x14ac:dyDescent="0.2">
      <c r="A1242" s="5">
        <v>1181</v>
      </c>
      <c r="B1242" s="138">
        <f>'Expenditures 15-22'!E151</f>
        <v>109168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229832</v>
      </c>
      <c r="D1245" s="2" t="str">
        <f t="shared" si="18"/>
        <v>Error?</v>
      </c>
    </row>
    <row r="1246" spans="1:4" x14ac:dyDescent="0.2">
      <c r="A1246" s="10">
        <v>1185</v>
      </c>
      <c r="D1246" s="2" t="str">
        <f t="shared" si="18"/>
        <v>OK</v>
      </c>
    </row>
    <row r="1247" spans="1:4" x14ac:dyDescent="0.2">
      <c r="A1247" s="5">
        <v>1186</v>
      </c>
      <c r="B1247" s="138">
        <f>'Expenditures 15-22'!F127</f>
        <v>229832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229832</v>
      </c>
      <c r="C1249" s="2" t="s">
        <v>594</v>
      </c>
      <c r="D1249" s="2" t="str">
        <f t="shared" si="18"/>
        <v>Error?</v>
      </c>
    </row>
    <row r="1250" spans="1:4" x14ac:dyDescent="0.2">
      <c r="A1250" s="5">
        <v>1189</v>
      </c>
      <c r="B1250" s="138">
        <f>'Expenditures 15-22'!F151</f>
        <v>229832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422392</v>
      </c>
      <c r="D1252" s="2" t="str">
        <f t="shared" si="18"/>
        <v>Error?</v>
      </c>
    </row>
    <row r="1253" spans="1:4" x14ac:dyDescent="0.2">
      <c r="A1253" s="5">
        <v>1192</v>
      </c>
      <c r="B1253" s="138">
        <f>'Expenditures 15-22'!G124</f>
        <v>267606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689998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689998</v>
      </c>
      <c r="C1258" s="2" t="s">
        <v>594</v>
      </c>
      <c r="D1258" s="2" t="str">
        <f t="shared" si="18"/>
        <v>Error?</v>
      </c>
    </row>
    <row r="1259" spans="1:4" x14ac:dyDescent="0.2">
      <c r="A1259" s="5">
        <v>1198</v>
      </c>
      <c r="B1259" s="138">
        <f>'Expenditures 15-22'!G151</f>
        <v>689998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422392</v>
      </c>
      <c r="C1275" s="2" t="s">
        <v>594</v>
      </c>
      <c r="D1275" s="2" t="str">
        <f t="shared" si="18"/>
        <v>Error?</v>
      </c>
    </row>
    <row r="1276" spans="1:4" x14ac:dyDescent="0.2">
      <c r="A1276" s="5">
        <v>1215</v>
      </c>
      <c r="B1276" s="138">
        <f>'Expenditures 15-22'!K124</f>
        <v>549368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971760</v>
      </c>
      <c r="C1279" s="2" t="s">
        <v>594</v>
      </c>
      <c r="D1279" s="2" t="str">
        <f t="shared" ref="D1279:D1342" si="19">IF(ISBLANK(B1279),"OK",IF(A1279-B1279=0,"OK","Error?"))</f>
        <v>Error?</v>
      </c>
    </row>
    <row r="1280" spans="1:4" x14ac:dyDescent="0.2">
      <c r="A1280" s="5">
        <v>1219</v>
      </c>
      <c r="B1280" s="138">
        <f>'Expenditures 15-22'!K128</f>
        <v>57238</v>
      </c>
      <c r="C1280" s="2" t="s">
        <v>594</v>
      </c>
      <c r="D1280" s="2" t="str">
        <f t="shared" si="19"/>
        <v>Error?</v>
      </c>
    </row>
    <row r="1281" spans="1:4" x14ac:dyDescent="0.2">
      <c r="A1281" s="5">
        <v>1220</v>
      </c>
      <c r="B1281" s="138">
        <f>'Expenditures 15-22'!K129</f>
        <v>1028998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1028998</v>
      </c>
      <c r="C1288" s="2" t="s">
        <v>594</v>
      </c>
      <c r="D1288" s="2" t="str">
        <f t="shared" si="19"/>
        <v>Error?</v>
      </c>
    </row>
    <row r="1289" spans="1:4" x14ac:dyDescent="0.2">
      <c r="A1289" s="5">
        <v>1228</v>
      </c>
      <c r="B1289" s="138">
        <f>'Expenditures 15-22'!K152</f>
        <v>-652192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63014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147405</v>
      </c>
      <c r="D1315" s="2" t="str">
        <f t="shared" si="19"/>
        <v>Error?</v>
      </c>
    </row>
    <row r="1316" spans="1:4" x14ac:dyDescent="0.2">
      <c r="A1316" s="5">
        <v>1255</v>
      </c>
      <c r="B1316" s="138">
        <f>'Expenditures 15-22'!H171</f>
        <v>265</v>
      </c>
      <c r="D1316" s="2" t="str">
        <f t="shared" si="19"/>
        <v>Error?</v>
      </c>
    </row>
    <row r="1317" spans="1:4" x14ac:dyDescent="0.2">
      <c r="A1317" s="5">
        <v>1256</v>
      </c>
      <c r="B1317" s="138">
        <f>'Expenditures 15-22'!H172</f>
        <v>210684</v>
      </c>
      <c r="C1317" s="2" t="s">
        <v>594</v>
      </c>
      <c r="D1317" s="2" t="str">
        <f t="shared" si="19"/>
        <v>Error?</v>
      </c>
    </row>
    <row r="1318" spans="1:4" x14ac:dyDescent="0.2">
      <c r="A1318" s="5">
        <v>1257</v>
      </c>
      <c r="B1318" s="138">
        <f>'Expenditures 15-22'!H174</f>
        <v>210684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63014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147405</v>
      </c>
      <c r="C1329" s="2" t="s">
        <v>594</v>
      </c>
      <c r="D1329" s="2" t="str">
        <f t="shared" si="19"/>
        <v>Error?</v>
      </c>
    </row>
    <row r="1330" spans="1:4" x14ac:dyDescent="0.2">
      <c r="A1330" s="5">
        <v>1269</v>
      </c>
      <c r="B1330" s="138">
        <f>'Expenditures 15-22'!K171</f>
        <v>265</v>
      </c>
      <c r="C1330" s="2" t="s">
        <v>594</v>
      </c>
      <c r="D1330" s="2" t="str">
        <f t="shared" si="19"/>
        <v>Error?</v>
      </c>
    </row>
    <row r="1331" spans="1:4" x14ac:dyDescent="0.2">
      <c r="A1331" s="5">
        <v>1270</v>
      </c>
      <c r="B1331" s="138">
        <f>'Expenditures 15-22'!K172</f>
        <v>210684</v>
      </c>
      <c r="C1331" s="2" t="s">
        <v>594</v>
      </c>
      <c r="D1331" s="2" t="str">
        <f t="shared" si="19"/>
        <v>Error?</v>
      </c>
    </row>
    <row r="1332" spans="1:4" x14ac:dyDescent="0.2">
      <c r="A1332" s="5">
        <v>1271</v>
      </c>
      <c r="B1332" s="138">
        <f>'Expenditures 15-22'!K174</f>
        <v>210684</v>
      </c>
      <c r="C1332" s="2" t="s">
        <v>594</v>
      </c>
      <c r="D1332" s="2" t="str">
        <f t="shared" si="19"/>
        <v>Error?</v>
      </c>
    </row>
    <row r="1333" spans="1:4" x14ac:dyDescent="0.2">
      <c r="A1333" s="5">
        <v>1272</v>
      </c>
      <c r="B1333" s="138">
        <f>'Expenditures 15-22'!K175</f>
        <v>1549</v>
      </c>
      <c r="C1333" s="2" t="s">
        <v>594</v>
      </c>
      <c r="D1333" s="2" t="str">
        <f t="shared" si="19"/>
        <v>Error?</v>
      </c>
    </row>
    <row r="1334" spans="1:4" x14ac:dyDescent="0.2">
      <c r="A1334" s="10">
        <v>1273</v>
      </c>
      <c r="D1334" s="2" t="str">
        <f t="shared" si="19"/>
        <v>OK</v>
      </c>
    </row>
    <row r="1335" spans="1:4" x14ac:dyDescent="0.2">
      <c r="A1335" s="5">
        <v>1274</v>
      </c>
      <c r="B1335" s="138">
        <f>'Expenditures 15-22'!C182</f>
        <v>9250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9250</v>
      </c>
      <c r="C1339" s="2" t="s">
        <v>594</v>
      </c>
      <c r="D1339" s="2" t="str">
        <f t="shared" si="19"/>
        <v>Error?</v>
      </c>
    </row>
    <row r="1340" spans="1:4" x14ac:dyDescent="0.2">
      <c r="A1340" s="5">
        <v>1279</v>
      </c>
      <c r="B1340" s="138">
        <f>'Expenditures 15-22'!C210</f>
        <v>9250</v>
      </c>
      <c r="C1340" s="2" t="s">
        <v>594</v>
      </c>
      <c r="D1340" s="2" t="str">
        <f t="shared" si="19"/>
        <v>Error?</v>
      </c>
    </row>
    <row r="1341" spans="1:4" x14ac:dyDescent="0.2">
      <c r="A1341" s="5">
        <v>1280</v>
      </c>
      <c r="B1341" s="138">
        <f>'Expenditures 15-22'!D182</f>
        <v>780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780</v>
      </c>
      <c r="C1345" s="2" t="s">
        <v>594</v>
      </c>
      <c r="D1345" s="2" t="str">
        <f t="shared" si="20"/>
        <v>Error?</v>
      </c>
    </row>
    <row r="1346" spans="1:4" x14ac:dyDescent="0.2">
      <c r="A1346" s="5">
        <v>1285</v>
      </c>
      <c r="B1346" s="138">
        <f>'Expenditures 15-22'!D210</f>
        <v>780</v>
      </c>
      <c r="C1346" s="2" t="s">
        <v>594</v>
      </c>
      <c r="D1346" s="2" t="str">
        <f t="shared" si="20"/>
        <v>Error?</v>
      </c>
    </row>
    <row r="1347" spans="1:4" x14ac:dyDescent="0.2">
      <c r="A1347" s="5">
        <v>1286</v>
      </c>
      <c r="B1347" s="138">
        <f>'Expenditures 15-22'!E182</f>
        <v>644004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644004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644004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1034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1034</v>
      </c>
      <c r="C1364" s="2" t="s">
        <v>594</v>
      </c>
      <c r="D1364" s="2" t="str">
        <f t="shared" si="20"/>
        <v>Error?</v>
      </c>
    </row>
    <row r="1365" spans="1:4" x14ac:dyDescent="0.2">
      <c r="A1365" s="5">
        <v>1304</v>
      </c>
      <c r="B1365" s="138">
        <f>'Expenditures 15-22'!G210</f>
        <v>1034</v>
      </c>
      <c r="C1365" s="2" t="s">
        <v>594</v>
      </c>
      <c r="D1365" s="2" t="str">
        <f t="shared" si="20"/>
        <v>Error?</v>
      </c>
    </row>
    <row r="1366" spans="1:4" x14ac:dyDescent="0.2">
      <c r="A1366" s="5">
        <v>1305</v>
      </c>
      <c r="B1366" s="138">
        <f>'Expenditures 15-22'!H182</f>
        <v>399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399</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399</v>
      </c>
      <c r="C1376" s="2" t="s">
        <v>594</v>
      </c>
      <c r="D1376" s="2" t="str">
        <f t="shared" si="20"/>
        <v>Error?</v>
      </c>
    </row>
    <row r="1377" spans="1:4" x14ac:dyDescent="0.2">
      <c r="A1377" s="5">
        <v>1316</v>
      </c>
      <c r="B1377" s="138">
        <f>'Expenditures 15-22'!K182</f>
        <v>655467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655467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655467</v>
      </c>
      <c r="C1388" s="2" t="s">
        <v>594</v>
      </c>
      <c r="D1388" s="2" t="str">
        <f t="shared" si="20"/>
        <v>Error?</v>
      </c>
    </row>
    <row r="1389" spans="1:4" x14ac:dyDescent="0.2">
      <c r="A1389" s="5">
        <v>1328</v>
      </c>
      <c r="B1389" s="138">
        <f>'Expenditures 15-22'!K211</f>
        <v>612916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294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202284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811</v>
      </c>
      <c r="D1412" s="2" t="str">
        <f t="shared" si="21"/>
        <v>Error?</v>
      </c>
    </row>
    <row r="1413" spans="1:4" x14ac:dyDescent="0.2">
      <c r="A1413" s="5">
        <v>1352</v>
      </c>
      <c r="B1413" s="138">
        <f>'Expenditures 15-22'!D234</f>
        <v>1221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2032</v>
      </c>
      <c r="C1417" s="2" t="s">
        <v>594</v>
      </c>
      <c r="D1417" s="2" t="str">
        <f t="shared" si="21"/>
        <v>Error?</v>
      </c>
    </row>
    <row r="1418" spans="1:4" x14ac:dyDescent="0.2">
      <c r="A1418" s="5">
        <v>1357</v>
      </c>
      <c r="B1418" s="138">
        <f>'Expenditures 15-22'!D240</f>
        <v>283</v>
      </c>
      <c r="D1418" s="2" t="str">
        <f t="shared" si="21"/>
        <v>Error?</v>
      </c>
    </row>
    <row r="1419" spans="1:4" x14ac:dyDescent="0.2">
      <c r="A1419" s="5">
        <v>1358</v>
      </c>
      <c r="B1419" s="138">
        <f>'Expenditures 15-22'!D241</f>
        <v>35195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35478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10137</v>
      </c>
      <c r="D1423" s="2" t="str">
        <f t="shared" si="21"/>
        <v>Error?</v>
      </c>
    </row>
    <row r="1424" spans="1:4" x14ac:dyDescent="0.2">
      <c r="A1424" s="5">
        <v>1363</v>
      </c>
      <c r="B1424" s="138">
        <f>'Expenditures 15-22'!D257</f>
        <v>13069</v>
      </c>
      <c r="C1424" s="2" t="s">
        <v>594</v>
      </c>
      <c r="D1424" s="2" t="str">
        <f t="shared" si="21"/>
        <v>Error?</v>
      </c>
    </row>
    <row r="1425" spans="1:4" x14ac:dyDescent="0.2">
      <c r="A1425" s="5">
        <v>1364</v>
      </c>
      <c r="B1425" s="138">
        <f>'Expenditures 15-22'!D259</f>
        <v>49686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49686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28308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88229</v>
      </c>
      <c r="D1431" s="2" t="str">
        <f t="shared" si="21"/>
        <v>Error?</v>
      </c>
    </row>
    <row r="1432" spans="1:4" x14ac:dyDescent="0.2">
      <c r="A1432" s="5">
        <v>1371</v>
      </c>
      <c r="B1432" s="138">
        <f>'Expenditures 15-22'!D267</f>
        <v>1755</v>
      </c>
      <c r="D1432" s="2" t="str">
        <f t="shared" si="21"/>
        <v>Error?</v>
      </c>
    </row>
    <row r="1433" spans="1:4" x14ac:dyDescent="0.2">
      <c r="A1433" s="5">
        <v>1372</v>
      </c>
      <c r="B1433" s="138">
        <f>'Expenditures 15-22'!D268</f>
        <v>62227</v>
      </c>
      <c r="D1433" s="2" t="str">
        <f t="shared" si="21"/>
        <v>Error?</v>
      </c>
    </row>
    <row r="1434" spans="1:4" x14ac:dyDescent="0.2">
      <c r="A1434" s="5">
        <v>1373</v>
      </c>
      <c r="B1434" s="138">
        <f>'Expenditures 15-22'!D269</f>
        <v>1003</v>
      </c>
      <c r="D1434" s="2" t="str">
        <f t="shared" si="21"/>
        <v>Error?</v>
      </c>
    </row>
    <row r="1435" spans="1:4" x14ac:dyDescent="0.2">
      <c r="A1435" s="10">
        <v>1374</v>
      </c>
      <c r="D1435" s="2" t="str">
        <f t="shared" si="21"/>
        <v>OK</v>
      </c>
    </row>
    <row r="1436" spans="1:4" x14ac:dyDescent="0.2">
      <c r="A1436" s="5">
        <v>1375</v>
      </c>
      <c r="B1436" s="138">
        <f>'Expenditures 15-22'!D270</f>
        <v>181522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130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130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281917</v>
      </c>
      <c r="C1446" s="2" t="s">
        <v>594</v>
      </c>
      <c r="D1446" s="2" t="str">
        <f t="shared" si="21"/>
        <v>Error?</v>
      </c>
    </row>
    <row r="1447" spans="1:4" x14ac:dyDescent="0.2">
      <c r="A1447" s="5">
        <v>1386</v>
      </c>
      <c r="B1447" s="138">
        <f>'Expenditures 15-22'!D280</f>
        <v>8010</v>
      </c>
      <c r="D1447" s="2" t="str">
        <f t="shared" si="21"/>
        <v>Error?</v>
      </c>
    </row>
    <row r="1448" spans="1:4" x14ac:dyDescent="0.2">
      <c r="A1448" s="5">
        <v>1387</v>
      </c>
      <c r="B1448" s="138">
        <f>'Expenditures 15-22'!D295</f>
        <v>492211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294</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202284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811</v>
      </c>
      <c r="C1476" s="2" t="s">
        <v>594</v>
      </c>
      <c r="D1476" s="2" t="str">
        <f t="shared" si="22"/>
        <v>Error?</v>
      </c>
    </row>
    <row r="1477" spans="1:4" x14ac:dyDescent="0.2">
      <c r="A1477" s="5">
        <v>1416</v>
      </c>
      <c r="B1477" s="138">
        <f>'Expenditures 15-22'!K234</f>
        <v>1221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2032</v>
      </c>
      <c r="C1481" s="2" t="s">
        <v>594</v>
      </c>
      <c r="D1481" s="2" t="str">
        <f t="shared" si="22"/>
        <v>Error?</v>
      </c>
    </row>
    <row r="1482" spans="1:4" x14ac:dyDescent="0.2">
      <c r="A1482" s="5">
        <v>1421</v>
      </c>
      <c r="B1482" s="138">
        <f>'Expenditures 15-22'!K240</f>
        <v>283</v>
      </c>
      <c r="C1482" s="2" t="s">
        <v>594</v>
      </c>
      <c r="D1482" s="2" t="str">
        <f t="shared" si="22"/>
        <v>Error?</v>
      </c>
    </row>
    <row r="1483" spans="1:4" x14ac:dyDescent="0.2">
      <c r="A1483" s="5">
        <v>1422</v>
      </c>
      <c r="B1483" s="138">
        <f>'Expenditures 15-22'!K241</f>
        <v>35195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35478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10137</v>
      </c>
      <c r="C1487" s="2" t="s">
        <v>594</v>
      </c>
      <c r="D1487" s="2" t="str">
        <f t="shared" si="22"/>
        <v>Error?</v>
      </c>
    </row>
    <row r="1488" spans="1:4" x14ac:dyDescent="0.2">
      <c r="A1488" s="5">
        <v>1427</v>
      </c>
      <c r="B1488" s="138">
        <f>'Expenditures 15-22'!K257</f>
        <v>13069</v>
      </c>
      <c r="C1488" s="2" t="s">
        <v>594</v>
      </c>
      <c r="D1488" s="2" t="str">
        <f t="shared" si="22"/>
        <v>Error?</v>
      </c>
    </row>
    <row r="1489" spans="1:4" x14ac:dyDescent="0.2">
      <c r="A1489" s="5">
        <v>1428</v>
      </c>
      <c r="B1489" s="138">
        <f>'Expenditures 15-22'!K259</f>
        <v>49686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49686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28308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88229</v>
      </c>
      <c r="C1495" s="2" t="s">
        <v>594</v>
      </c>
      <c r="D1495" s="2" t="str">
        <f t="shared" si="22"/>
        <v>Error?</v>
      </c>
    </row>
    <row r="1496" spans="1:4" x14ac:dyDescent="0.2">
      <c r="A1496" s="5">
        <v>1435</v>
      </c>
      <c r="B1496" s="138">
        <f>'Expenditures 15-22'!K267</f>
        <v>1755</v>
      </c>
      <c r="C1496" s="2" t="s">
        <v>594</v>
      </c>
      <c r="D1496" s="2" t="str">
        <f t="shared" si="22"/>
        <v>Error?</v>
      </c>
    </row>
    <row r="1497" spans="1:4" x14ac:dyDescent="0.2">
      <c r="A1497" s="5">
        <v>1436</v>
      </c>
      <c r="B1497" s="138">
        <f>'Expenditures 15-22'!K268</f>
        <v>62227</v>
      </c>
      <c r="C1497" s="2" t="s">
        <v>594</v>
      </c>
      <c r="D1497" s="2" t="str">
        <f t="shared" si="22"/>
        <v>Error?</v>
      </c>
    </row>
    <row r="1498" spans="1:4" x14ac:dyDescent="0.2">
      <c r="A1498" s="5">
        <v>1437</v>
      </c>
      <c r="B1498" s="138">
        <f>'Expenditures 15-22'!K269</f>
        <v>1003</v>
      </c>
      <c r="C1498" s="2" t="s">
        <v>594</v>
      </c>
      <c r="D1498" s="2" t="str">
        <f t="shared" si="22"/>
        <v>Error?</v>
      </c>
    </row>
    <row r="1499" spans="1:4" x14ac:dyDescent="0.2">
      <c r="A1499" s="10">
        <v>1438</v>
      </c>
      <c r="D1499" s="2" t="str">
        <f t="shared" si="22"/>
        <v>OK</v>
      </c>
    </row>
    <row r="1500" spans="1:4" x14ac:dyDescent="0.2">
      <c r="A1500" s="5">
        <v>1439</v>
      </c>
      <c r="B1500" s="138">
        <f>'Expenditures 15-22'!K270</f>
        <v>181522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130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130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281917</v>
      </c>
      <c r="C1510" s="2" t="s">
        <v>594</v>
      </c>
      <c r="D1510" s="2" t="str">
        <f t="shared" si="22"/>
        <v>Error?</v>
      </c>
    </row>
    <row r="1511" spans="1:4" x14ac:dyDescent="0.2">
      <c r="A1511" s="5">
        <v>1450</v>
      </c>
      <c r="B1511" s="138">
        <f>'Expenditures 15-22'!K280</f>
        <v>8010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492211</v>
      </c>
      <c r="C1517" s="2" t="s">
        <v>594</v>
      </c>
      <c r="D1517" s="2" t="str">
        <f t="shared" si="22"/>
        <v>Error?</v>
      </c>
    </row>
    <row r="1518" spans="1:4" x14ac:dyDescent="0.2">
      <c r="A1518" s="5">
        <v>1457</v>
      </c>
      <c r="B1518" s="138">
        <f>'Expenditures 15-22'!K296</f>
        <v>50456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500000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3671900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4308023</v>
      </c>
      <c r="C1630" s="2" t="s">
        <v>594</v>
      </c>
      <c r="D1630" s="2" t="str">
        <f t="shared" si="24"/>
        <v>Error?</v>
      </c>
    </row>
    <row r="1631" spans="1:4" x14ac:dyDescent="0.2">
      <c r="A1631" s="5">
        <v>1570</v>
      </c>
      <c r="B1631" s="138">
        <f>'Acct Summary 7-8'!D79</f>
        <v>619586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131637</v>
      </c>
      <c r="C1644" s="2" t="s">
        <v>594</v>
      </c>
      <c r="D1644" s="2" t="str">
        <f t="shared" si="24"/>
        <v>Error?</v>
      </c>
    </row>
    <row r="1645" spans="1:4" x14ac:dyDescent="0.2">
      <c r="A1645" s="5">
        <v>1584</v>
      </c>
      <c r="B1645" s="138">
        <f>'Acct Summary 7-8'!E79</f>
        <v>38214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38177</v>
      </c>
      <c r="C1658" s="2" t="s">
        <v>594</v>
      </c>
      <c r="D1658" s="2" t="str">
        <f t="shared" si="24"/>
        <v>Error?</v>
      </c>
    </row>
    <row r="1659" spans="1:4" x14ac:dyDescent="0.2">
      <c r="A1659" s="5">
        <v>1598</v>
      </c>
      <c r="B1659" s="138">
        <f>'Acct Summary 7-8'!F79</f>
        <v>175135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788051</v>
      </c>
      <c r="C1672" s="2" t="s">
        <v>594</v>
      </c>
      <c r="D1672" s="2" t="str">
        <f t="shared" si="25"/>
        <v>Error?</v>
      </c>
    </row>
    <row r="1673" spans="1:4" x14ac:dyDescent="0.2">
      <c r="A1673" s="5">
        <v>1612</v>
      </c>
      <c r="B1673" s="138">
        <f>'Acct Summary 7-8'!G79</f>
        <v>204419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254875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500000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1851842</v>
      </c>
      <c r="C1744" s="2" t="s">
        <v>594</v>
      </c>
      <c r="D1744" s="2" t="str">
        <f t="shared" si="26"/>
        <v>Error?</v>
      </c>
    </row>
    <row r="1745" spans="1:5" x14ac:dyDescent="0.2">
      <c r="A1745" s="5">
        <v>1684</v>
      </c>
      <c r="B1745" s="138">
        <f>'Tax Sched 23'!B5</f>
        <v>287577</v>
      </c>
      <c r="C1745" s="2" t="s">
        <v>594</v>
      </c>
      <c r="D1745" s="2" t="str">
        <f t="shared" si="26"/>
        <v>Error?</v>
      </c>
    </row>
    <row r="1746" spans="1:5" x14ac:dyDescent="0.2">
      <c r="A1746" s="5">
        <v>1685</v>
      </c>
      <c r="B1746" s="138">
        <f>'Tax Sched 23'!B6</f>
        <v>207339</v>
      </c>
      <c r="C1746" s="2" t="s">
        <v>594</v>
      </c>
      <c r="D1746" s="2" t="str">
        <f t="shared" si="26"/>
        <v>Error?</v>
      </c>
    </row>
    <row r="1747" spans="1:5" x14ac:dyDescent="0.2">
      <c r="A1747" s="5">
        <v>1686</v>
      </c>
      <c r="B1747" s="138">
        <f>'Tax Sched 23'!B7</f>
        <v>137357</v>
      </c>
      <c r="C1747" s="2" t="s">
        <v>594</v>
      </c>
      <c r="D1747" s="2" t="str">
        <f t="shared" si="26"/>
        <v>Error?</v>
      </c>
    </row>
    <row r="1748" spans="1:5" x14ac:dyDescent="0.2">
      <c r="A1748" s="5">
        <v>1687</v>
      </c>
      <c r="B1748" s="138">
        <f>'Tax Sched 23'!B8</f>
        <v>232222</v>
      </c>
      <c r="C1748" s="2" t="s">
        <v>594</v>
      </c>
      <c r="D1748" s="2" t="str">
        <f t="shared" si="26"/>
        <v>Error?</v>
      </c>
    </row>
    <row r="1749" spans="1:5" x14ac:dyDescent="0.2">
      <c r="A1749" s="5">
        <v>1688</v>
      </c>
      <c r="B1749" s="138">
        <f>'Tax Sched 23'!B10</f>
        <v>57238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257885</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22893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3256907</v>
      </c>
      <c r="C1759" s="2" t="s">
        <v>594</v>
      </c>
      <c r="D1759" s="2" t="str">
        <f t="shared" si="26"/>
        <v>Error?</v>
      </c>
    </row>
    <row r="1760" spans="1:5" x14ac:dyDescent="0.2">
      <c r="A1760" s="5">
        <v>1699</v>
      </c>
      <c r="B1760" s="138">
        <f>'Tax Sched 23'!D4</f>
        <v>1851842</v>
      </c>
      <c r="C1760" s="2" t="s">
        <v>594</v>
      </c>
      <c r="D1760" s="2" t="str">
        <f t="shared" si="26"/>
        <v>Error?</v>
      </c>
    </row>
    <row r="1761" spans="1:5" x14ac:dyDescent="0.2">
      <c r="A1761" s="5">
        <v>1700</v>
      </c>
      <c r="B1761" s="138">
        <f>'Tax Sched 23'!D5</f>
        <v>287577</v>
      </c>
      <c r="C1761" s="2" t="s">
        <v>594</v>
      </c>
      <c r="D1761" s="2" t="str">
        <f t="shared" si="26"/>
        <v>Error?</v>
      </c>
    </row>
    <row r="1762" spans="1:5" s="8" customFormat="1" x14ac:dyDescent="0.2">
      <c r="A1762" s="5">
        <v>1701</v>
      </c>
      <c r="B1762" s="138">
        <f>'Tax Sched 23'!D6</f>
        <v>207339</v>
      </c>
      <c r="C1762" s="2" t="s">
        <v>594</v>
      </c>
      <c r="D1762" s="2" t="str">
        <f t="shared" si="26"/>
        <v>Error?</v>
      </c>
      <c r="E1762" s="9"/>
    </row>
    <row r="1763" spans="1:5" x14ac:dyDescent="0.2">
      <c r="A1763" s="5">
        <v>1702</v>
      </c>
      <c r="B1763" s="138">
        <f>'Tax Sched 23'!D7</f>
        <v>137357</v>
      </c>
      <c r="C1763" s="2" t="s">
        <v>594</v>
      </c>
      <c r="D1763" s="2" t="str">
        <f t="shared" si="26"/>
        <v>Error?</v>
      </c>
    </row>
    <row r="1764" spans="1:5" x14ac:dyDescent="0.2">
      <c r="A1764" s="5">
        <v>1703</v>
      </c>
      <c r="B1764" s="138">
        <f>'Tax Sched 23'!D8</f>
        <v>232222</v>
      </c>
      <c r="C1764" s="2" t="s">
        <v>594</v>
      </c>
      <c r="D1764" s="2" t="str">
        <f t="shared" si="26"/>
        <v>Error?</v>
      </c>
    </row>
    <row r="1765" spans="1:5" x14ac:dyDescent="0.2">
      <c r="A1765" s="5">
        <v>1704</v>
      </c>
      <c r="B1765" s="138">
        <f>'Tax Sched 23'!D10</f>
        <v>57238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257885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22893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3256907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1940046</v>
      </c>
      <c r="C1792" s="2" t="s">
        <v>594</v>
      </c>
      <c r="D1792" s="2" t="str">
        <f t="shared" si="27"/>
        <v>Error?</v>
      </c>
    </row>
    <row r="1793" spans="1:4" x14ac:dyDescent="0.2">
      <c r="A1793" s="5">
        <v>1732</v>
      </c>
      <c r="B1793" s="138">
        <f>'Tax Sched 23'!F5</f>
        <v>299390</v>
      </c>
      <c r="C1793" s="2" t="s">
        <v>594</v>
      </c>
      <c r="D1793" s="2" t="str">
        <f t="shared" si="27"/>
        <v>Error?</v>
      </c>
    </row>
    <row r="1794" spans="1:4" x14ac:dyDescent="0.2">
      <c r="A1794" s="5">
        <v>1733</v>
      </c>
      <c r="B1794" s="138">
        <f>'Tax Sched 23'!F6</f>
        <v>210690</v>
      </c>
      <c r="C1794" s="2" t="s">
        <v>594</v>
      </c>
      <c r="D1794" s="2" t="str">
        <f t="shared" si="27"/>
        <v>Error?</v>
      </c>
    </row>
    <row r="1795" spans="1:4" x14ac:dyDescent="0.2">
      <c r="A1795" s="5">
        <v>1734</v>
      </c>
      <c r="B1795" s="138">
        <f>'Tax Sched 23'!F7</f>
        <v>143707</v>
      </c>
      <c r="C1795" s="2" t="s">
        <v>594</v>
      </c>
      <c r="D1795" s="2" t="str">
        <f t="shared" si="27"/>
        <v>Error?</v>
      </c>
    </row>
    <row r="1796" spans="1:4" x14ac:dyDescent="0.2">
      <c r="A1796" s="5">
        <v>1735</v>
      </c>
      <c r="B1796" s="138">
        <f>'Tax Sched 23'!F8</f>
        <v>211631</v>
      </c>
      <c r="C1796" s="2" t="s">
        <v>594</v>
      </c>
      <c r="D1796" s="2" t="str">
        <f t="shared" si="27"/>
        <v>Error?</v>
      </c>
    </row>
    <row r="1797" spans="1:4" x14ac:dyDescent="0.2">
      <c r="A1797" s="5">
        <v>1736</v>
      </c>
      <c r="B1797" s="138">
        <f>'Tax Sched 23'!F10</f>
        <v>59878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269810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23951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3372508</v>
      </c>
      <c r="C1807" s="2" t="s">
        <v>594</v>
      </c>
      <c r="D1807" s="2" t="str">
        <f t="shared" si="27"/>
        <v>Error?</v>
      </c>
    </row>
    <row r="1808" spans="1:4" x14ac:dyDescent="0.2">
      <c r="A1808" s="5">
        <v>1747</v>
      </c>
      <c r="B1808" s="138">
        <f>'Tax Sched 23'!E4</f>
        <v>1940046</v>
      </c>
      <c r="D1808" s="2" t="str">
        <f t="shared" si="27"/>
        <v>Error?</v>
      </c>
    </row>
    <row r="1809" spans="1:4" x14ac:dyDescent="0.2">
      <c r="A1809" s="5">
        <v>1748</v>
      </c>
      <c r="B1809" s="138">
        <f>'Tax Sched 23'!E5</f>
        <v>299390</v>
      </c>
      <c r="D1809" s="2" t="str">
        <f t="shared" si="27"/>
        <v>Error?</v>
      </c>
    </row>
    <row r="1810" spans="1:4" x14ac:dyDescent="0.2">
      <c r="A1810" s="5">
        <v>1749</v>
      </c>
      <c r="B1810" s="138">
        <f>'Tax Sched 23'!E6</f>
        <v>210690</v>
      </c>
      <c r="D1810" s="2" t="str">
        <f t="shared" si="27"/>
        <v>Error?</v>
      </c>
    </row>
    <row r="1811" spans="1:4" x14ac:dyDescent="0.2">
      <c r="A1811" s="5">
        <v>1750</v>
      </c>
      <c r="B1811" s="138">
        <f>'Tax Sched 23'!E7</f>
        <v>143707</v>
      </c>
      <c r="D1811" s="2" t="str">
        <f t="shared" si="27"/>
        <v>Error?</v>
      </c>
    </row>
    <row r="1812" spans="1:4" x14ac:dyDescent="0.2">
      <c r="A1812" s="5">
        <v>1751</v>
      </c>
      <c r="B1812" s="138">
        <f>'Tax Sched 23'!E8</f>
        <v>211631</v>
      </c>
      <c r="D1812" s="2" t="str">
        <f t="shared" si="27"/>
        <v>Error?</v>
      </c>
    </row>
    <row r="1813" spans="1:4" x14ac:dyDescent="0.2">
      <c r="A1813" s="5">
        <v>1752</v>
      </c>
      <c r="B1813" s="138">
        <f>'Tax Sched 23'!E10</f>
        <v>59878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269810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23951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3372508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2100000</v>
      </c>
      <c r="C1939" s="2" t="s">
        <v>594</v>
      </c>
      <c r="D1939" s="2" t="str">
        <f t="shared" si="29"/>
        <v>Error?</v>
      </c>
    </row>
    <row r="1940" spans="1:5" x14ac:dyDescent="0.2">
      <c r="A1940" s="5">
        <v>1879</v>
      </c>
      <c r="B1940" s="138">
        <f>'Short-Term Long-Term Debt 24'!F49</f>
        <v>167522</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22893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22893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22893</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22893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365455</v>
      </c>
      <c r="D2008" s="2" t="str">
        <f t="shared" si="30"/>
        <v>Error?</v>
      </c>
    </row>
    <row r="2009" spans="1:4" x14ac:dyDescent="0.2">
      <c r="A2009" s="5">
        <v>1948</v>
      </c>
      <c r="B2009" s="138">
        <f>'Cap Outlay Deprec 26'!C8</f>
        <v>14774714</v>
      </c>
      <c r="D2009" s="2" t="str">
        <f t="shared" si="30"/>
        <v>Error?</v>
      </c>
    </row>
    <row r="2010" spans="1:4" x14ac:dyDescent="0.2">
      <c r="A2010" s="5">
        <v>1949</v>
      </c>
      <c r="B2010" s="138">
        <f>'Cap Outlay Deprec 26'!C10</f>
        <v>275425</v>
      </c>
      <c r="D2010" s="2" t="str">
        <f t="shared" si="30"/>
        <v>Error?</v>
      </c>
    </row>
    <row r="2011" spans="1:4" x14ac:dyDescent="0.2">
      <c r="A2011" s="5">
        <v>1950</v>
      </c>
      <c r="B2011" s="138">
        <f>'Cap Outlay Deprec 26'!C12</f>
        <v>2505882</v>
      </c>
      <c r="D2011" s="2" t="str">
        <f t="shared" si="30"/>
        <v>Error?</v>
      </c>
    </row>
    <row r="2012" spans="1:4" x14ac:dyDescent="0.2">
      <c r="A2012" s="5">
        <v>1951</v>
      </c>
      <c r="B2012" s="138">
        <f>'Cap Outlay Deprec 26'!C13</f>
        <v>23793</v>
      </c>
      <c r="D2012" s="2" t="str">
        <f t="shared" si="30"/>
        <v>Error?</v>
      </c>
    </row>
    <row r="2013" spans="1:4" x14ac:dyDescent="0.2">
      <c r="A2013" s="5">
        <v>1952</v>
      </c>
      <c r="B2013" s="138">
        <f>'Cap Outlay Deprec 26'!C16</f>
        <v>17945269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679704</v>
      </c>
      <c r="D2015" s="2" t="str">
        <f t="shared" si="30"/>
        <v>Error?</v>
      </c>
    </row>
    <row r="2016" spans="1:4" x14ac:dyDescent="0.2">
      <c r="A2016" s="5">
        <v>1955</v>
      </c>
      <c r="B2016" s="138">
        <f>'Cap Outlay Deprec 26'!D10</f>
        <v>10293</v>
      </c>
      <c r="D2016" s="2" t="str">
        <f t="shared" si="30"/>
        <v>Error?</v>
      </c>
    </row>
    <row r="2017" spans="1:4" x14ac:dyDescent="0.2">
      <c r="A2017" s="5">
        <v>1956</v>
      </c>
      <c r="B2017" s="138">
        <f>'Cap Outlay Deprec 26'!D12</f>
        <v>55062</v>
      </c>
      <c r="D2017" s="2" t="str">
        <f t="shared" si="30"/>
        <v>Error?</v>
      </c>
    </row>
    <row r="2018" spans="1:4" x14ac:dyDescent="0.2">
      <c r="A2018" s="5">
        <v>1957</v>
      </c>
      <c r="B2018" s="138">
        <f>'Cap Outlay Deprec 26'!D13</f>
        <v>1034</v>
      </c>
      <c r="D2018" s="2" t="str">
        <f t="shared" si="30"/>
        <v>Error?</v>
      </c>
    </row>
    <row r="2019" spans="1:4" x14ac:dyDescent="0.2">
      <c r="A2019" s="5">
        <v>1958</v>
      </c>
      <c r="B2019" s="138">
        <f>'Cap Outlay Deprec 26'!D16</f>
        <v>746093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365455</v>
      </c>
      <c r="C2026" s="2" t="s">
        <v>594</v>
      </c>
      <c r="D2026" s="2" t="str">
        <f t="shared" si="30"/>
        <v>Error?</v>
      </c>
    </row>
    <row r="2027" spans="1:4" x14ac:dyDescent="0.2">
      <c r="A2027" s="5">
        <v>1966</v>
      </c>
      <c r="B2027" s="138">
        <f>'Cap Outlay Deprec 26'!F8</f>
        <v>15454418</v>
      </c>
      <c r="C2027" s="2" t="s">
        <v>594</v>
      </c>
      <c r="D2027" s="2" t="str">
        <f t="shared" si="30"/>
        <v>Error?</v>
      </c>
    </row>
    <row r="2028" spans="1:4" x14ac:dyDescent="0.2">
      <c r="A2028" s="5">
        <v>1967</v>
      </c>
      <c r="B2028" s="138">
        <f>'Cap Outlay Deprec 26'!F10</f>
        <v>285718</v>
      </c>
      <c r="C2028" s="2" t="s">
        <v>594</v>
      </c>
      <c r="D2028" s="2" t="str">
        <f t="shared" si="30"/>
        <v>Error?</v>
      </c>
    </row>
    <row r="2029" spans="1:4" x14ac:dyDescent="0.2">
      <c r="A2029" s="5">
        <v>1968</v>
      </c>
      <c r="B2029" s="138">
        <f>'Cap Outlay Deprec 26'!F12</f>
        <v>2560944</v>
      </c>
      <c r="C2029" s="2" t="s">
        <v>594</v>
      </c>
      <c r="D2029" s="2" t="str">
        <f t="shared" si="30"/>
        <v>Error?</v>
      </c>
    </row>
    <row r="2030" spans="1:4" x14ac:dyDescent="0.2">
      <c r="A2030" s="5">
        <v>1969</v>
      </c>
      <c r="B2030" s="138">
        <f>'Cap Outlay Deprec 26'!F13</f>
        <v>24827</v>
      </c>
      <c r="C2030" s="2" t="s">
        <v>594</v>
      </c>
      <c r="D2030" s="2" t="str">
        <f t="shared" si="30"/>
        <v>Error?</v>
      </c>
    </row>
    <row r="2031" spans="1:4" x14ac:dyDescent="0.2">
      <c r="A2031" s="5">
        <v>1970</v>
      </c>
      <c r="B2031" s="138">
        <f>'Cap Outlay Deprec 26'!F16</f>
        <v>18691362</v>
      </c>
      <c r="C2031" s="2" t="s">
        <v>594</v>
      </c>
      <c r="D2031" s="2" t="str">
        <f t="shared" si="30"/>
        <v>Error?</v>
      </c>
    </row>
    <row r="2032" spans="1:4" x14ac:dyDescent="0.2">
      <c r="A2032" s="10">
        <v>1971</v>
      </c>
      <c r="D2032" s="2" t="str">
        <f t="shared" si="30"/>
        <v>OK</v>
      </c>
    </row>
    <row r="2033" spans="1:4" x14ac:dyDescent="0.2">
      <c r="A2033" s="5">
        <v>1972</v>
      </c>
      <c r="B2033" s="138">
        <f>'Cap Outlay Deprec 26'!H8</f>
        <v>6826022</v>
      </c>
      <c r="D2033" s="2" t="str">
        <f t="shared" si="30"/>
        <v>Error?</v>
      </c>
    </row>
    <row r="2034" spans="1:4" x14ac:dyDescent="0.2">
      <c r="A2034" s="5">
        <v>1973</v>
      </c>
      <c r="B2034" s="138">
        <f>'Cap Outlay Deprec 26'!H10</f>
        <v>223021</v>
      </c>
      <c r="D2034" s="2" t="str">
        <f t="shared" si="30"/>
        <v>Error?</v>
      </c>
    </row>
    <row r="2035" spans="1:4" x14ac:dyDescent="0.2">
      <c r="A2035" s="5">
        <v>1974</v>
      </c>
      <c r="B2035" s="138">
        <f>'Cap Outlay Deprec 26'!H12</f>
        <v>1755200</v>
      </c>
      <c r="D2035" s="2" t="str">
        <f t="shared" si="30"/>
        <v>Error?</v>
      </c>
    </row>
    <row r="2036" spans="1:4" x14ac:dyDescent="0.2">
      <c r="A2036" s="5">
        <v>1975</v>
      </c>
      <c r="B2036" s="138">
        <f>'Cap Outlay Deprec 26'!H13</f>
        <v>23793</v>
      </c>
      <c r="D2036" s="2" t="str">
        <f t="shared" si="30"/>
        <v>Error?</v>
      </c>
    </row>
    <row r="2037" spans="1:4" x14ac:dyDescent="0.2">
      <c r="A2037" s="5">
        <v>1976</v>
      </c>
      <c r="B2037" s="138">
        <f>'Cap Outlay Deprec 26'!H16</f>
        <v>8828036</v>
      </c>
      <c r="C2037" s="2" t="s">
        <v>594</v>
      </c>
      <c r="D2037" s="2" t="str">
        <f t="shared" si="30"/>
        <v>Error?</v>
      </c>
    </row>
    <row r="2038" spans="1:4" x14ac:dyDescent="0.2">
      <c r="A2038" s="10">
        <v>1977</v>
      </c>
      <c r="D2038" s="2" t="str">
        <f t="shared" si="30"/>
        <v>OK</v>
      </c>
    </row>
    <row r="2039" spans="1:4" x14ac:dyDescent="0.2">
      <c r="A2039" s="5">
        <v>1978</v>
      </c>
      <c r="B2039" s="138">
        <f>'Cap Outlay Deprec 26'!I8</f>
        <v>298453</v>
      </c>
      <c r="D2039" s="2" t="str">
        <f t="shared" si="30"/>
        <v>Error?</v>
      </c>
    </row>
    <row r="2040" spans="1:4" x14ac:dyDescent="0.2">
      <c r="A2040" s="5">
        <v>1979</v>
      </c>
      <c r="B2040" s="138">
        <f>'Cap Outlay Deprec 26'!I10</f>
        <v>4881</v>
      </c>
      <c r="D2040" s="2" t="str">
        <f t="shared" si="30"/>
        <v>Error?</v>
      </c>
    </row>
    <row r="2041" spans="1:4" x14ac:dyDescent="0.2">
      <c r="A2041" s="5">
        <v>1980</v>
      </c>
      <c r="B2041" s="138">
        <f>'Cap Outlay Deprec 26'!I12</f>
        <v>161196</v>
      </c>
      <c r="D2041" s="2" t="str">
        <f t="shared" si="30"/>
        <v>Error?</v>
      </c>
    </row>
    <row r="2042" spans="1:4" x14ac:dyDescent="0.2">
      <c r="A2042" s="5">
        <v>1981</v>
      </c>
      <c r="B2042" s="138">
        <f>'Cap Outlay Deprec 26'!I13</f>
        <v>17</v>
      </c>
      <c r="D2042" s="2" t="str">
        <f t="shared" si="30"/>
        <v>Error?</v>
      </c>
    </row>
    <row r="2043" spans="1:4" x14ac:dyDescent="0.2">
      <c r="A2043" s="5">
        <v>1982</v>
      </c>
      <c r="B2043" s="138">
        <f>'Cap Outlay Deprec 26'!I16</f>
        <v>464547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7124475</v>
      </c>
      <c r="C2051" s="2" t="s">
        <v>594</v>
      </c>
      <c r="D2051" s="2" t="str">
        <f t="shared" si="31"/>
        <v>Error?</v>
      </c>
    </row>
    <row r="2052" spans="1:4" x14ac:dyDescent="0.2">
      <c r="A2052" s="5">
        <v>1991</v>
      </c>
      <c r="B2052" s="138">
        <f>'Cap Outlay Deprec 26'!K10</f>
        <v>227902</v>
      </c>
      <c r="C2052" s="2" t="s">
        <v>594</v>
      </c>
      <c r="D2052" s="2" t="str">
        <f t="shared" si="31"/>
        <v>Error?</v>
      </c>
    </row>
    <row r="2053" spans="1:4" x14ac:dyDescent="0.2">
      <c r="A2053" s="5">
        <v>1992</v>
      </c>
      <c r="B2053" s="138">
        <f>'Cap Outlay Deprec 26'!K12</f>
        <v>1916396</v>
      </c>
      <c r="C2053" s="2" t="s">
        <v>594</v>
      </c>
      <c r="D2053" s="2" t="str">
        <f t="shared" si="31"/>
        <v>Error?</v>
      </c>
    </row>
    <row r="2054" spans="1:4" x14ac:dyDescent="0.2">
      <c r="A2054" s="5">
        <v>1993</v>
      </c>
      <c r="B2054" s="138">
        <f>'Cap Outlay Deprec 26'!K13</f>
        <v>23810</v>
      </c>
      <c r="C2054" s="2" t="s">
        <v>594</v>
      </c>
      <c r="D2054" s="2" t="str">
        <f t="shared" si="31"/>
        <v>Error?</v>
      </c>
    </row>
    <row r="2055" spans="1:4" x14ac:dyDescent="0.2">
      <c r="A2055" s="5">
        <v>1994</v>
      </c>
      <c r="B2055" s="138">
        <f>'Cap Outlay Deprec 26'!K16</f>
        <v>9292583</v>
      </c>
      <c r="C2055" s="2" t="s">
        <v>594</v>
      </c>
      <c r="D2055" s="2" t="str">
        <f t="shared" si="31"/>
        <v>Error?</v>
      </c>
    </row>
    <row r="2056" spans="1:4" x14ac:dyDescent="0.2">
      <c r="A2056" s="5">
        <v>1995</v>
      </c>
      <c r="B2056" s="138">
        <f>'Cap Outlay Deprec 26'!L5</f>
        <v>365455</v>
      </c>
      <c r="C2056" s="2" t="s">
        <v>594</v>
      </c>
      <c r="D2056" s="2" t="str">
        <f t="shared" si="31"/>
        <v>Error?</v>
      </c>
    </row>
    <row r="2057" spans="1:4" x14ac:dyDescent="0.2">
      <c r="A2057" s="5">
        <v>1996</v>
      </c>
      <c r="B2057" s="138">
        <f>'Cap Outlay Deprec 26'!L8</f>
        <v>8329943</v>
      </c>
      <c r="C2057" s="2" t="s">
        <v>594</v>
      </c>
      <c r="D2057" s="2" t="str">
        <f t="shared" si="31"/>
        <v>Error?</v>
      </c>
    </row>
    <row r="2058" spans="1:4" x14ac:dyDescent="0.2">
      <c r="A2058" s="5">
        <v>1997</v>
      </c>
      <c r="B2058" s="138">
        <f>'Cap Outlay Deprec 26'!L10</f>
        <v>57816</v>
      </c>
      <c r="C2058" s="2" t="s">
        <v>594</v>
      </c>
      <c r="D2058" s="2" t="str">
        <f t="shared" si="31"/>
        <v>Error?</v>
      </c>
    </row>
    <row r="2059" spans="1:4" x14ac:dyDescent="0.2">
      <c r="A2059" s="5">
        <v>1998</v>
      </c>
      <c r="B2059" s="138">
        <f>'Cap Outlay Deprec 26'!L12</f>
        <v>644548</v>
      </c>
      <c r="C2059" s="2" t="s">
        <v>594</v>
      </c>
      <c r="D2059" s="2" t="str">
        <f t="shared" si="31"/>
        <v>Error?</v>
      </c>
    </row>
    <row r="2060" spans="1:4" x14ac:dyDescent="0.2">
      <c r="A2060" s="5">
        <v>1999</v>
      </c>
      <c r="B2060" s="138">
        <f>'Cap Outlay Deprec 26'!L13</f>
        <v>1017</v>
      </c>
      <c r="C2060" s="2" t="s">
        <v>594</v>
      </c>
      <c r="D2060" s="2" t="str">
        <f t="shared" si="31"/>
        <v>Error?</v>
      </c>
    </row>
    <row r="2061" spans="1:4" x14ac:dyDescent="0.2">
      <c r="A2061" s="5">
        <v>2000</v>
      </c>
      <c r="B2061" s="138">
        <f>'Cap Outlay Deprec 26'!L16</f>
        <v>9398779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607013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57246</v>
      </c>
      <c r="C2105" s="2" t="s">
        <v>594</v>
      </c>
      <c r="D2105" s="2" t="str">
        <f t="shared" si="31"/>
        <v>Error?</v>
      </c>
    </row>
    <row r="2106" spans="1:4" x14ac:dyDescent="0.2">
      <c r="A2106" s="5">
        <v>2045</v>
      </c>
      <c r="B2106" s="138">
        <f>'Acct Summary 7-8'!I48</f>
        <v>1343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2112674</v>
      </c>
      <c r="C2551" s="2" t="s">
        <v>594</v>
      </c>
      <c r="D2551" s="2" t="str">
        <f t="shared" si="38"/>
        <v>Error?</v>
      </c>
    </row>
    <row r="2552" spans="1:4" x14ac:dyDescent="0.2">
      <c r="A2552" s="10">
        <v>2491</v>
      </c>
      <c r="D2552" s="2" t="str">
        <f t="shared" si="38"/>
        <v>OK</v>
      </c>
    </row>
    <row r="2553" spans="1:4" x14ac:dyDescent="0.2">
      <c r="A2553" s="5">
        <v>2492</v>
      </c>
      <c r="B2553" s="138">
        <f>'Acct Summary 7-8'!C6</f>
        <v>8190443</v>
      </c>
      <c r="C2553" s="2" t="s">
        <v>594</v>
      </c>
      <c r="D2553" s="2" t="str">
        <f t="shared" si="38"/>
        <v>Error?</v>
      </c>
    </row>
    <row r="2554" spans="1:4" x14ac:dyDescent="0.2">
      <c r="A2554" s="5">
        <v>2493</v>
      </c>
      <c r="B2554" s="138">
        <f>'Acct Summary 7-8'!C7</f>
        <v>2335042</v>
      </c>
      <c r="C2554" s="2" t="s">
        <v>594</v>
      </c>
      <c r="D2554" s="2" t="str">
        <f t="shared" si="38"/>
        <v>Error?</v>
      </c>
    </row>
    <row r="2555" spans="1:4" x14ac:dyDescent="0.2">
      <c r="A2555" s="5">
        <v>2494</v>
      </c>
      <c r="B2555" s="138">
        <f>'Acct Summary 7-8'!C8</f>
        <v>12638159</v>
      </c>
      <c r="C2555" s="2" t="s">
        <v>594</v>
      </c>
      <c r="D2555" s="2" t="str">
        <f t="shared" si="38"/>
        <v>Error?</v>
      </c>
    </row>
    <row r="2556" spans="1:4" x14ac:dyDescent="0.2">
      <c r="A2556" s="5">
        <v>2495</v>
      </c>
      <c r="B2556" s="138">
        <f>'Acct Summary 7-8'!C12</f>
        <v>7953921</v>
      </c>
      <c r="C2556" s="2" t="s">
        <v>594</v>
      </c>
      <c r="D2556" s="2" t="str">
        <f t="shared" si="38"/>
        <v>Error?</v>
      </c>
    </row>
    <row r="2557" spans="1:4" x14ac:dyDescent="0.2">
      <c r="A2557" s="5">
        <v>2496</v>
      </c>
      <c r="B2557" s="138">
        <f>'Acct Summary 7-8'!C13</f>
        <v>3443739</v>
      </c>
      <c r="C2557" s="2" t="s">
        <v>594</v>
      </c>
      <c r="D2557" s="2" t="str">
        <f t="shared" si="38"/>
        <v>Error?</v>
      </c>
    </row>
    <row r="2558" spans="1:4" x14ac:dyDescent="0.2">
      <c r="A2558" s="5">
        <v>2497</v>
      </c>
      <c r="B2558" s="138">
        <f>'Acct Summary 7-8'!C14</f>
        <v>60817</v>
      </c>
      <c r="C2558" s="2" t="s">
        <v>594</v>
      </c>
      <c r="D2558" s="2" t="str">
        <f t="shared" si="38"/>
        <v>Error?</v>
      </c>
    </row>
    <row r="2559" spans="1:4" x14ac:dyDescent="0.2">
      <c r="A2559" s="5">
        <v>2498</v>
      </c>
      <c r="B2559" s="138">
        <f>'Acct Summary 7-8'!C15</f>
        <v>607013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12065490</v>
      </c>
      <c r="C2561" s="2" t="s">
        <v>594</v>
      </c>
      <c r="D2561" s="2" t="str">
        <f t="shared" si="39"/>
        <v>Error?</v>
      </c>
    </row>
    <row r="2562" spans="1:4" x14ac:dyDescent="0.2">
      <c r="A2562" s="5">
        <v>2501</v>
      </c>
      <c r="B2562" s="138">
        <f>'Acct Summary 7-8'!C20</f>
        <v>572669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376806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376806</v>
      </c>
      <c r="C2568" s="2" t="s">
        <v>594</v>
      </c>
      <c r="D2568" s="2" t="str">
        <f t="shared" si="39"/>
        <v>Error?</v>
      </c>
    </row>
    <row r="2569" spans="1:4" x14ac:dyDescent="0.2">
      <c r="A2569" s="5">
        <v>2508</v>
      </c>
      <c r="B2569" s="138">
        <f>'Acct Summary 7-8'!D13</f>
        <v>1028998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1028998</v>
      </c>
      <c r="C2573" s="2" t="s">
        <v>594</v>
      </c>
      <c r="D2573" s="2" t="str">
        <f t="shared" si="39"/>
        <v>Error?</v>
      </c>
    </row>
    <row r="2574" spans="1:4" x14ac:dyDescent="0.2">
      <c r="A2574" s="5">
        <v>2513</v>
      </c>
      <c r="B2574" s="138">
        <f>'Acct Summary 7-8'!D20</f>
        <v>-652192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732054</v>
      </c>
      <c r="C2591" s="2" t="s">
        <v>594</v>
      </c>
      <c r="D2591" s="2" t="str">
        <f t="shared" si="39"/>
        <v>Error?</v>
      </c>
    </row>
    <row r="2592" spans="1:4" x14ac:dyDescent="0.2">
      <c r="A2592" s="10">
        <v>2531</v>
      </c>
      <c r="D2592" s="2" t="str">
        <f t="shared" si="39"/>
        <v>OK</v>
      </c>
    </row>
    <row r="2593" spans="1:4" x14ac:dyDescent="0.2">
      <c r="A2593" s="5">
        <v>2532</v>
      </c>
      <c r="B2593" s="138">
        <f>'Acct Summary 7-8'!F6</f>
        <v>489459</v>
      </c>
      <c r="C2593" s="2" t="s">
        <v>594</v>
      </c>
      <c r="D2593" s="2" t="str">
        <f t="shared" si="39"/>
        <v>Error?</v>
      </c>
    </row>
    <row r="2594" spans="1:4" x14ac:dyDescent="0.2">
      <c r="A2594" s="5">
        <v>2533</v>
      </c>
      <c r="B2594" s="138">
        <f>'Acct Summary 7-8'!F7</f>
        <v>46870</v>
      </c>
      <c r="C2594" s="2" t="s">
        <v>594</v>
      </c>
      <c r="D2594" s="2" t="str">
        <f t="shared" si="39"/>
        <v>Error?</v>
      </c>
    </row>
    <row r="2595" spans="1:4" x14ac:dyDescent="0.2">
      <c r="A2595" s="5">
        <v>2534</v>
      </c>
      <c r="B2595" s="138">
        <f>'Acct Summary 7-8'!F8</f>
        <v>1268383</v>
      </c>
      <c r="C2595" s="2" t="s">
        <v>594</v>
      </c>
      <c r="D2595" s="2" t="str">
        <f t="shared" si="39"/>
        <v>Error?</v>
      </c>
    </row>
    <row r="2596" spans="1:4" x14ac:dyDescent="0.2">
      <c r="A2596" s="5">
        <v>2535</v>
      </c>
      <c r="B2596" s="138">
        <f>'Acct Summary 7-8'!F13</f>
        <v>655467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655467</v>
      </c>
      <c r="C2600" s="2" t="s">
        <v>594</v>
      </c>
      <c r="D2600" s="2" t="str">
        <f t="shared" si="39"/>
        <v>Error?</v>
      </c>
    </row>
    <row r="2601" spans="1:4" x14ac:dyDescent="0.2">
      <c r="A2601" s="5">
        <v>2540</v>
      </c>
      <c r="B2601" s="138">
        <f>'Acct Summary 7-8'!F20</f>
        <v>612916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472905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69762</v>
      </c>
      <c r="C2605" s="2" t="s">
        <v>594</v>
      </c>
      <c r="D2605" s="2" t="str">
        <f t="shared" si="39"/>
        <v>Error?</v>
      </c>
    </row>
    <row r="2606" spans="1:4" x14ac:dyDescent="0.2">
      <c r="A2606" s="5">
        <v>2545</v>
      </c>
      <c r="B2606" s="138">
        <f>'Acct Summary 7-8'!G8</f>
        <v>542667</v>
      </c>
      <c r="C2606" s="2" t="s">
        <v>594</v>
      </c>
      <c r="D2606" s="2" t="str">
        <f t="shared" si="39"/>
        <v>Error?</v>
      </c>
    </row>
    <row r="2607" spans="1:4" x14ac:dyDescent="0.2">
      <c r="A2607" s="5">
        <v>2546</v>
      </c>
      <c r="B2607" s="138">
        <f>'Acct Summary 7-8'!G12</f>
        <v>202284</v>
      </c>
      <c r="C2607" s="2" t="s">
        <v>594</v>
      </c>
      <c r="D2607" s="2" t="str">
        <f t="shared" si="39"/>
        <v>Error?</v>
      </c>
    </row>
    <row r="2608" spans="1:4" x14ac:dyDescent="0.2">
      <c r="A2608" s="5">
        <v>2547</v>
      </c>
      <c r="B2608" s="138">
        <f>'Acct Summary 7-8'!G13</f>
        <v>281917</v>
      </c>
      <c r="C2608" s="2" t="s">
        <v>594</v>
      </c>
      <c r="D2608" s="2" t="str">
        <f t="shared" si="39"/>
        <v>Error?</v>
      </c>
    </row>
    <row r="2609" spans="1:4" x14ac:dyDescent="0.2">
      <c r="A2609" s="5">
        <v>2548</v>
      </c>
      <c r="B2609" s="138">
        <f>'Acct Summary 7-8'!G14</f>
        <v>8010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492211</v>
      </c>
      <c r="C2612" s="2" t="s">
        <v>594</v>
      </c>
      <c r="D2612" s="2" t="str">
        <f t="shared" si="39"/>
        <v>Error?</v>
      </c>
    </row>
    <row r="2613" spans="1:4" x14ac:dyDescent="0.2">
      <c r="A2613" s="5">
        <v>2552</v>
      </c>
      <c r="B2613" s="138">
        <f>'Acct Summary 7-8'!G20</f>
        <v>50456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212233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212233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210684</v>
      </c>
      <c r="C2634" s="2" t="s">
        <v>594</v>
      </c>
      <c r="D2634" s="2" t="str">
        <f t="shared" si="40"/>
        <v>Error?</v>
      </c>
    </row>
    <row r="2635" spans="1:4" x14ac:dyDescent="0.2">
      <c r="A2635" s="5">
        <v>2574</v>
      </c>
      <c r="B2635" s="138">
        <f>'Acct Summary 7-8'!E17</f>
        <v>210684</v>
      </c>
      <c r="C2635" s="2" t="s">
        <v>594</v>
      </c>
      <c r="D2635" s="2" t="str">
        <f t="shared" si="40"/>
        <v>Error?</v>
      </c>
    </row>
    <row r="2636" spans="1:4" x14ac:dyDescent="0.2">
      <c r="A2636" s="5">
        <v>2575</v>
      </c>
      <c r="B2636" s="138">
        <f>'Acct Summary 7-8'!E20</f>
        <v>1549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500000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500000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500000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5000</v>
      </c>
      <c r="D2718" s="2" t="str">
        <f t="shared" si="41"/>
        <v>Error?</v>
      </c>
    </row>
    <row r="2719" spans="1:4" x14ac:dyDescent="0.2">
      <c r="A2719" s="5">
        <v>2658</v>
      </c>
      <c r="B2719" s="138">
        <f>'Expenditures 15-22'!D51</f>
        <v>1130</v>
      </c>
      <c r="D2719" s="2" t="str">
        <f t="shared" si="41"/>
        <v>Error?</v>
      </c>
    </row>
    <row r="2720" spans="1:4" x14ac:dyDescent="0.2">
      <c r="A2720" s="5">
        <v>2659</v>
      </c>
      <c r="B2720" s="138">
        <f>'Expenditures 15-22'!E51</f>
        <v>300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6430</v>
      </c>
      <c r="C2724" s="2" t="s">
        <v>594</v>
      </c>
      <c r="D2724" s="2" t="str">
        <f t="shared" si="41"/>
        <v>Error?</v>
      </c>
    </row>
    <row r="2725" spans="1:4" x14ac:dyDescent="0.2">
      <c r="A2725" s="5">
        <v>2664</v>
      </c>
      <c r="B2725" s="138">
        <f>'Expenditures 15-22'!D247</f>
        <v>74</v>
      </c>
      <c r="D2725" s="2" t="str">
        <f t="shared" si="41"/>
        <v>Error?</v>
      </c>
    </row>
    <row r="2726" spans="1:4" x14ac:dyDescent="0.2">
      <c r="A2726" s="5">
        <v>2665</v>
      </c>
      <c r="B2726" s="138">
        <f>'Expenditures 15-22'!K247</f>
        <v>74</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4865</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607013</v>
      </c>
      <c r="C2789" s="2" t="s">
        <v>594</v>
      </c>
      <c r="D2789" s="2" t="str">
        <f t="shared" si="42"/>
        <v>Error?</v>
      </c>
    </row>
    <row r="2790" spans="1:4" x14ac:dyDescent="0.2">
      <c r="A2790" s="5">
        <v>2729</v>
      </c>
      <c r="B2790" s="138">
        <f>'Expenditures 15-22'!E102</f>
        <v>607013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4865</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69633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69633</v>
      </c>
      <c r="D2914" s="2" t="str">
        <f t="shared" si="44"/>
        <v>Error?</v>
      </c>
    </row>
    <row r="2915" spans="1:4" x14ac:dyDescent="0.2">
      <c r="A2915" s="10">
        <v>2854</v>
      </c>
      <c r="D2915" s="2" t="str">
        <f t="shared" si="44"/>
        <v>OK</v>
      </c>
    </row>
    <row r="2916" spans="1:4" x14ac:dyDescent="0.2">
      <c r="A2916" s="5">
        <v>2855</v>
      </c>
      <c r="B2916" s="138">
        <f>'Assets-Liab 5-6'!L34</f>
        <v>69633</v>
      </c>
      <c r="C2916" s="2" t="s">
        <v>594</v>
      </c>
      <c r="D2916" s="2" t="str">
        <f t="shared" si="44"/>
        <v>Error?</v>
      </c>
    </row>
    <row r="2917" spans="1:4" x14ac:dyDescent="0.2">
      <c r="A2917" s="5">
        <v>2856</v>
      </c>
      <c r="B2917" s="138">
        <f>'Assets-Liab 5-6'!L41</f>
        <v>69633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607013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607013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286580</v>
      </c>
      <c r="D3055" s="2" t="str">
        <f t="shared" si="46"/>
        <v>Error?</v>
      </c>
    </row>
    <row r="3056" spans="1:4" x14ac:dyDescent="0.2">
      <c r="A3056" s="5">
        <v>2995</v>
      </c>
      <c r="B3056" s="138">
        <f>'Expenditures 15-22'!D10</f>
        <v>112917</v>
      </c>
      <c r="D3056" s="2" t="str">
        <f t="shared" si="46"/>
        <v>Error?</v>
      </c>
    </row>
    <row r="3057" spans="1:4" x14ac:dyDescent="0.2">
      <c r="A3057" s="5">
        <v>2996</v>
      </c>
      <c r="B3057" s="138">
        <f>'Expenditures 15-22'!E10</f>
        <v>25760</v>
      </c>
      <c r="D3057" s="2" t="str">
        <f t="shared" si="46"/>
        <v>Error?</v>
      </c>
    </row>
    <row r="3058" spans="1:4" x14ac:dyDescent="0.2">
      <c r="A3058" s="5">
        <v>2997</v>
      </c>
      <c r="B3058" s="138">
        <f>'Expenditures 15-22'!F10</f>
        <v>47642</v>
      </c>
      <c r="D3058" s="2" t="str">
        <f t="shared" si="46"/>
        <v>Error?</v>
      </c>
    </row>
    <row r="3059" spans="1:4" x14ac:dyDescent="0.2">
      <c r="A3059" s="5">
        <v>2998</v>
      </c>
      <c r="B3059" s="138">
        <f>'Expenditures 15-22'!G10</f>
        <v>27035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499934</v>
      </c>
      <c r="C3062" s="2" t="s">
        <v>594</v>
      </c>
      <c r="D3062" s="2" t="str">
        <f t="shared" si="46"/>
        <v>Error?</v>
      </c>
    </row>
    <row r="3063" spans="1:4" x14ac:dyDescent="0.2">
      <c r="A3063" s="10">
        <v>3002</v>
      </c>
      <c r="D3063" s="2" t="str">
        <f t="shared" si="46"/>
        <v>OK</v>
      </c>
    </row>
    <row r="3064" spans="1:4" x14ac:dyDescent="0.2">
      <c r="A3064" s="5">
        <v>3003</v>
      </c>
      <c r="B3064" s="138">
        <f>'Expenditures 15-22'!D219</f>
        <v>14168</v>
      </c>
      <c r="D3064" s="2" t="str">
        <f t="shared" si="46"/>
        <v>Error?</v>
      </c>
    </row>
    <row r="3065" spans="1:4" x14ac:dyDescent="0.2">
      <c r="A3065" s="5">
        <v>3004</v>
      </c>
      <c r="B3065" s="138">
        <f>'Expenditures 15-22'!K219</f>
        <v>14168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58589</v>
      </c>
      <c r="C3225" s="2" t="s">
        <v>594</v>
      </c>
      <c r="D3225" s="2" t="str">
        <f t="shared" si="49"/>
        <v>Error?</v>
      </c>
    </row>
    <row r="3226" spans="1:4" x14ac:dyDescent="0.2">
      <c r="A3226" s="5">
        <v>3165</v>
      </c>
      <c r="B3226" s="138">
        <f>'Acct Summary 7-8'!I8</f>
        <v>58589</v>
      </c>
      <c r="C3226" s="2" t="s">
        <v>594</v>
      </c>
      <c r="D3226" s="2" t="str">
        <f t="shared" si="49"/>
        <v>Error?</v>
      </c>
    </row>
    <row r="3227" spans="1:4" x14ac:dyDescent="0.2">
      <c r="A3227" s="5">
        <v>3166</v>
      </c>
      <c r="B3227" s="138">
        <f>'Acct Summary 7-8'!I20</f>
        <v>58589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63454</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63454</v>
      </c>
      <c r="C3232" s="2" t="s">
        <v>594</v>
      </c>
      <c r="D3232" s="2" t="str">
        <f t="shared" si="49"/>
        <v>Error?</v>
      </c>
    </row>
    <row r="3233" spans="1:4" x14ac:dyDescent="0.2">
      <c r="A3233" s="5">
        <v>3172</v>
      </c>
      <c r="B3233" s="138">
        <f>'Acct Summary 7-8'!C78</f>
        <v>636123</v>
      </c>
      <c r="C3233" s="2" t="s">
        <v>594</v>
      </c>
      <c r="D3233" s="2" t="str">
        <f t="shared" si="49"/>
        <v>Error?</v>
      </c>
    </row>
    <row r="3234" spans="1:4" x14ac:dyDescent="0.2">
      <c r="A3234" s="5">
        <v>3173</v>
      </c>
      <c r="B3234" s="138">
        <f>'Acct Summary 7-8'!D43</f>
        <v>167522</v>
      </c>
      <c r="D3234" s="2" t="str">
        <f t="shared" si="49"/>
        <v>Error?</v>
      </c>
    </row>
    <row r="3235" spans="1:4" x14ac:dyDescent="0.2">
      <c r="A3235" s="5">
        <v>3174</v>
      </c>
      <c r="B3235" s="138">
        <f>'Acct Summary 7-8'!D44</f>
        <v>167522</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3279</v>
      </c>
      <c r="C3237" s="2" t="s">
        <v>594</v>
      </c>
      <c r="D3237" s="2" t="str">
        <f t="shared" si="49"/>
        <v>Error?</v>
      </c>
    </row>
    <row r="3238" spans="1:4" x14ac:dyDescent="0.2">
      <c r="A3238" s="5">
        <v>3177</v>
      </c>
      <c r="B3238" s="138">
        <f>'Acct Summary 7-8'!D77</f>
        <v>164243</v>
      </c>
      <c r="C3238" s="2" t="s">
        <v>594</v>
      </c>
      <c r="D3238" s="2" t="str">
        <f t="shared" si="49"/>
        <v>Error?</v>
      </c>
    </row>
    <row r="3239" spans="1:4" x14ac:dyDescent="0.2">
      <c r="A3239" s="5">
        <v>3178</v>
      </c>
      <c r="B3239" s="138">
        <f>'Acct Summary 7-8'!D78</f>
        <v>-487949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612916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50456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3279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4865</v>
      </c>
      <c r="C3276" s="2" t="s">
        <v>594</v>
      </c>
      <c r="D3276" s="2" t="str">
        <f t="shared" si="50"/>
        <v>Error?</v>
      </c>
    </row>
    <row r="3277" spans="1:4" x14ac:dyDescent="0.2">
      <c r="A3277" s="5">
        <v>3216</v>
      </c>
      <c r="B3277" s="138">
        <f>'Acct Summary 7-8'!E77</f>
        <v>-1586</v>
      </c>
      <c r="C3277" s="2" t="s">
        <v>594</v>
      </c>
      <c r="D3277" s="2" t="str">
        <f t="shared" si="50"/>
        <v>Error?</v>
      </c>
    </row>
    <row r="3278" spans="1:4" x14ac:dyDescent="0.2">
      <c r="A3278" s="5">
        <v>3217</v>
      </c>
      <c r="B3278" s="138">
        <f>'Acct Summary 7-8'!E78</f>
        <v>-37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500000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58589</v>
      </c>
      <c r="C3318" s="2" t="s">
        <v>594</v>
      </c>
      <c r="D3318" s="2" t="str">
        <f t="shared" si="50"/>
        <v>Error?</v>
      </c>
    </row>
    <row r="3319" spans="1:4" x14ac:dyDescent="0.2">
      <c r="A3319" s="5">
        <v>3258</v>
      </c>
      <c r="B3319" s="138">
        <f>'Acct Summary 7-8'!I77</f>
        <v>-58589</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1890068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517534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5414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13325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17978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2444319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59061</v>
      </c>
      <c r="D3387" s="2" t="str">
        <f t="shared" si="51"/>
        <v>Error?</v>
      </c>
    </row>
    <row r="3388" spans="1:4" x14ac:dyDescent="0.2">
      <c r="A3388" s="5">
        <v>3327</v>
      </c>
      <c r="B3388" s="138">
        <f>'Expenditures 15-22'!D217</f>
        <v>128761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59061</v>
      </c>
      <c r="C3390" s="2" t="s">
        <v>594</v>
      </c>
      <c r="D3390" s="2" t="str">
        <f t="shared" si="51"/>
        <v>Error?</v>
      </c>
    </row>
    <row r="3391" spans="1:4" x14ac:dyDescent="0.2">
      <c r="A3391" s="5">
        <v>3330</v>
      </c>
      <c r="B3391" s="138">
        <f>'Expenditures 15-22'!K217</f>
        <v>128761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4308023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131637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38177</v>
      </c>
      <c r="D3417" s="2" t="str">
        <f t="shared" si="52"/>
        <v>Error?</v>
      </c>
    </row>
    <row r="3418" spans="1:4" x14ac:dyDescent="0.2">
      <c r="A3418" s="10">
        <v>3357</v>
      </c>
      <c r="D3418" s="2" t="str">
        <f t="shared" si="52"/>
        <v>OK</v>
      </c>
    </row>
    <row r="3419" spans="1:4" x14ac:dyDescent="0.2">
      <c r="A3419" s="5">
        <v>3358</v>
      </c>
      <c r="B3419" s="138">
        <f>'Assets-Liab 5-6'!F4</f>
        <v>788051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254875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500000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69633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146738</v>
      </c>
      <c r="C3446" s="2" t="s">
        <v>594</v>
      </c>
      <c r="D3446" s="2" t="str">
        <f t="shared" si="52"/>
        <v>Error?</v>
      </c>
    </row>
    <row r="3447" spans="1:4" x14ac:dyDescent="0.2">
      <c r="A3447" s="5">
        <v>3386</v>
      </c>
      <c r="B3447" s="138">
        <f>'Tax Sched 23'!D16</f>
        <v>146738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153527</v>
      </c>
      <c r="C3449" s="2" t="s">
        <v>594</v>
      </c>
      <c r="D3449" s="2" t="str">
        <f t="shared" si="52"/>
        <v>Error?</v>
      </c>
    </row>
    <row r="3450" spans="1:4" x14ac:dyDescent="0.2">
      <c r="A3450" s="5">
        <v>3389</v>
      </c>
      <c r="B3450" s="138">
        <f>'Tax Sched 23'!E16</f>
        <v>153527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55816</v>
      </c>
      <c r="C3725" s="2" t="s">
        <v>594</v>
      </c>
      <c r="D3725" s="2" t="str">
        <f t="shared" si="57"/>
        <v>Error?</v>
      </c>
    </row>
    <row r="3726" spans="1:4" x14ac:dyDescent="0.2">
      <c r="A3726" s="5">
        <v>3665</v>
      </c>
      <c r="B3726" s="138">
        <f>'Tax Sched 23'!D13</f>
        <v>55816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59878</v>
      </c>
      <c r="C3728" s="2" t="s">
        <v>594</v>
      </c>
      <c r="D3728" s="2" t="str">
        <f t="shared" si="57"/>
        <v>Error?</v>
      </c>
    </row>
    <row r="3729" spans="1:4" x14ac:dyDescent="0.2">
      <c r="A3729" s="5">
        <v>3668</v>
      </c>
      <c r="B3729" s="138">
        <f>'Tax Sched 23'!E13</f>
        <v>59878</v>
      </c>
      <c r="D3729" s="2" t="str">
        <f t="shared" si="57"/>
        <v>Error?</v>
      </c>
    </row>
    <row r="3730" spans="1:4" x14ac:dyDescent="0.2">
      <c r="A3730" s="5">
        <v>3669</v>
      </c>
      <c r="B3730" s="138">
        <f>'ICR Computation 30'!E10</f>
        <v>276572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2545853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15184012</v>
      </c>
      <c r="C4122" s="2" t="s">
        <v>594</v>
      </c>
      <c r="D4122" s="2" t="str">
        <f t="shared" si="63"/>
        <v>Error?</v>
      </c>
    </row>
    <row r="4123" spans="1:4" x14ac:dyDescent="0.2">
      <c r="A4123" s="5">
        <v>4062</v>
      </c>
      <c r="B4123" s="138">
        <f>'Acct Summary 7-8'!D10</f>
        <v>376806</v>
      </c>
      <c r="C4123" s="2" t="s">
        <v>594</v>
      </c>
      <c r="D4123" s="2" t="str">
        <f t="shared" si="63"/>
        <v>Error?</v>
      </c>
    </row>
    <row r="4124" spans="1:4" x14ac:dyDescent="0.2">
      <c r="A4124" s="5">
        <v>4063</v>
      </c>
      <c r="B4124" s="138">
        <f>'Acct Summary 7-8'!E10</f>
        <v>212233</v>
      </c>
      <c r="C4124" s="2" t="s">
        <v>594</v>
      </c>
      <c r="D4124" s="2" t="str">
        <f t="shared" si="63"/>
        <v>Error?</v>
      </c>
    </row>
    <row r="4125" spans="1:4" x14ac:dyDescent="0.2">
      <c r="A4125" s="5">
        <v>4064</v>
      </c>
      <c r="B4125" s="138">
        <f>'Acct Summary 7-8'!F10</f>
        <v>1268383</v>
      </c>
      <c r="C4125" s="2" t="s">
        <v>594</v>
      </c>
      <c r="D4125" s="2" t="str">
        <f t="shared" si="63"/>
        <v>Error?</v>
      </c>
    </row>
    <row r="4126" spans="1:4" x14ac:dyDescent="0.2">
      <c r="A4126" s="5">
        <v>4065</v>
      </c>
      <c r="B4126" s="138">
        <f>'Acct Summary 7-8'!G10</f>
        <v>542667</v>
      </c>
      <c r="C4126" s="2" t="s">
        <v>594</v>
      </c>
      <c r="D4126" s="2" t="str">
        <f t="shared" si="63"/>
        <v>Error?</v>
      </c>
    </row>
    <row r="4127" spans="1:4" x14ac:dyDescent="0.2">
      <c r="A4127" s="5">
        <v>4066</v>
      </c>
      <c r="B4127" s="138">
        <f>'Acct Summary 7-8'!H10</f>
        <v>500000</v>
      </c>
      <c r="C4127" s="2" t="s">
        <v>594</v>
      </c>
      <c r="D4127" s="2" t="str">
        <f t="shared" si="63"/>
        <v>Error?</v>
      </c>
    </row>
    <row r="4128" spans="1:4" x14ac:dyDescent="0.2">
      <c r="A4128" s="5">
        <v>4067</v>
      </c>
      <c r="B4128" s="138">
        <f>'Acct Summary 7-8'!I10</f>
        <v>58589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2545853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14611343</v>
      </c>
      <c r="C4136" s="2" t="s">
        <v>594</v>
      </c>
      <c r="D4136" s="2" t="str">
        <f t="shared" si="63"/>
        <v>Error?</v>
      </c>
    </row>
    <row r="4137" spans="1:4" x14ac:dyDescent="0.2">
      <c r="A4137" s="5">
        <v>4076</v>
      </c>
      <c r="B4137" s="138">
        <f>'Acct Summary 7-8'!D19</f>
        <v>1028998</v>
      </c>
      <c r="C4137" s="2" t="s">
        <v>594</v>
      </c>
      <c r="D4137" s="2" t="str">
        <f t="shared" si="63"/>
        <v>Error?</v>
      </c>
    </row>
    <row r="4138" spans="1:4" x14ac:dyDescent="0.2">
      <c r="A4138" s="5">
        <v>4077</v>
      </c>
      <c r="B4138" s="138">
        <f>'Acct Summary 7-8'!E19</f>
        <v>210684</v>
      </c>
      <c r="C4138" s="2" t="s">
        <v>594</v>
      </c>
      <c r="D4138" s="2" t="str">
        <f t="shared" si="63"/>
        <v>Error?</v>
      </c>
    </row>
    <row r="4139" spans="1:4" x14ac:dyDescent="0.2">
      <c r="A4139" s="5">
        <v>4078</v>
      </c>
      <c r="B4139" s="138">
        <f>'Acct Summary 7-8'!F19</f>
        <v>655467</v>
      </c>
      <c r="C4139" s="2" t="s">
        <v>594</v>
      </c>
      <c r="D4139" s="2" t="str">
        <f t="shared" si="63"/>
        <v>Error?</v>
      </c>
    </row>
    <row r="4140" spans="1:4" x14ac:dyDescent="0.2">
      <c r="A4140" s="5">
        <v>4079</v>
      </c>
      <c r="B4140" s="138">
        <f>'Acct Summary 7-8'!G19</f>
        <v>492211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2120117</v>
      </c>
      <c r="C4171" s="2" t="s">
        <v>594</v>
      </c>
      <c r="D4171" s="2" t="str">
        <f t="shared" si="64"/>
        <v>Error?</v>
      </c>
    </row>
    <row r="4172" spans="1:4" x14ac:dyDescent="0.2">
      <c r="A4172" s="5">
        <v>4111</v>
      </c>
      <c r="B4172" s="138">
        <f>'Short-Term Long-Term Debt 24'!J49</f>
        <v>2081940</v>
      </c>
      <c r="C4172" s="2" t="s">
        <v>594</v>
      </c>
      <c r="D4172" s="2" t="str">
        <f t="shared" si="64"/>
        <v>Error?</v>
      </c>
    </row>
    <row r="4173" spans="1:4" x14ac:dyDescent="0.2">
      <c r="A4173" s="5">
        <v>4112</v>
      </c>
      <c r="B4173" s="138">
        <f>'Short-Term Long-Term Debt 24'!H49</f>
        <v>147405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1612.0200000000002</v>
      </c>
      <c r="C4265" s="2" t="s">
        <v>594</v>
      </c>
      <c r="D4265" s="2" t="str">
        <f t="shared" si="65"/>
        <v>Error?</v>
      </c>
      <c r="E4265" s="128"/>
    </row>
    <row r="4266" spans="1:5" x14ac:dyDescent="0.2">
      <c r="A4266" s="12">
        <v>4205</v>
      </c>
      <c r="B4266" s="138">
        <f>('FP Info 3'!F10)*100000</f>
        <v>248.76999999999998</v>
      </c>
      <c r="C4266" s="2" t="s">
        <v>594</v>
      </c>
      <c r="D4266" s="2" t="str">
        <f t="shared" si="65"/>
        <v>Error?</v>
      </c>
      <c r="E4266" s="128"/>
    </row>
    <row r="4267" spans="1:5" x14ac:dyDescent="0.2">
      <c r="A4267" s="12">
        <v>4206</v>
      </c>
      <c r="B4267" s="138">
        <f>('FP Info 3'!H10)*100000</f>
        <v>119.41</v>
      </c>
      <c r="C4267" s="2" t="s">
        <v>594</v>
      </c>
      <c r="D4267" s="2" t="str">
        <f t="shared" si="65"/>
        <v>Error?</v>
      </c>
      <c r="E4267" s="128"/>
    </row>
    <row r="4268" spans="1:5" x14ac:dyDescent="0.2">
      <c r="A4268" s="12">
        <v>4207</v>
      </c>
      <c r="B4268" s="138">
        <f>('FP Info 3'!J10)*100000</f>
        <v>1980.0000000000002</v>
      </c>
      <c r="C4268" s="2" t="s">
        <v>594</v>
      </c>
      <c r="D4268" s="2" t="str">
        <f t="shared" si="65"/>
        <v>Error?</v>
      </c>
    </row>
    <row r="4269" spans="1:5" x14ac:dyDescent="0.2">
      <c r="A4269" s="12">
        <v>4208</v>
      </c>
      <c r="B4269" s="138">
        <f>'FP Info 3'!J16</f>
        <v>5227711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43233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318245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25800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25800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7574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74</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98137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922</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49.75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44626</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1568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120349280</v>
      </c>
      <c r="D4995" s="2" t="str">
        <f t="shared" si="77"/>
        <v>Error?</v>
      </c>
    </row>
    <row r="4996" spans="1:4" x14ac:dyDescent="0.2">
      <c r="A4996" s="12">
        <v>4935</v>
      </c>
      <c r="B4996" s="138">
        <f>'FP Info 3'!H31</f>
        <v>8304100.3200000003</v>
      </c>
      <c r="D4996" s="2" t="str">
        <f t="shared" si="77"/>
        <v>Error?</v>
      </c>
    </row>
    <row r="4997" spans="1:4" x14ac:dyDescent="0.2">
      <c r="A4997" s="12">
        <v>4936</v>
      </c>
      <c r="B4997" s="138">
        <f>'FP Info 3'!H37</f>
        <v>2120117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1851842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1851842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12074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12074</v>
      </c>
      <c r="C5087" s="2" t="s">
        <v>594</v>
      </c>
      <c r="D5087" s="2" t="str">
        <f t="shared" si="78"/>
        <v>Error?</v>
      </c>
    </row>
    <row r="5088" spans="1:4" x14ac:dyDescent="0.2">
      <c r="A5088" s="5">
        <v>5027</v>
      </c>
      <c r="B5088" s="138">
        <f>'Revenues 9-14'!C65</f>
        <v>43148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43148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2453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3888</v>
      </c>
      <c r="D5094" s="2" t="str">
        <f t="shared" si="78"/>
        <v>Error?</v>
      </c>
    </row>
    <row r="5095" spans="1:4" x14ac:dyDescent="0.2">
      <c r="A5095" s="5">
        <v>5034</v>
      </c>
      <c r="B5095" s="138">
        <f>'Revenues 9-14'!C74</f>
        <v>20049</v>
      </c>
      <c r="D5095" s="2" t="str">
        <f t="shared" si="78"/>
        <v>Error?</v>
      </c>
    </row>
    <row r="5096" spans="1:4" x14ac:dyDescent="0.2">
      <c r="A5096" s="5">
        <v>5035</v>
      </c>
      <c r="B5096" s="138">
        <f>'Revenues 9-14'!C75</f>
        <v>26390</v>
      </c>
      <c r="C5096" s="2" t="s">
        <v>594</v>
      </c>
      <c r="D5096" s="2" t="str">
        <f t="shared" si="78"/>
        <v>Error?</v>
      </c>
    </row>
    <row r="5097" spans="1:4" x14ac:dyDescent="0.2">
      <c r="A5097" s="5">
        <v>5036</v>
      </c>
      <c r="B5097" s="138">
        <f>'Revenues 9-14'!C77</f>
        <v>6229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4679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10908</v>
      </c>
      <c r="C5102" s="2" t="s">
        <v>594</v>
      </c>
      <c r="D5102" s="2" t="str">
        <f t="shared" si="78"/>
        <v>Error?</v>
      </c>
    </row>
    <row r="5103" spans="1:4" x14ac:dyDescent="0.2">
      <c r="A5103" s="5">
        <v>5042</v>
      </c>
      <c r="B5103" s="138">
        <f>'Revenues 9-14'!C84</f>
        <v>1120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1120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166932</v>
      </c>
      <c r="D5119" s="2" t="str">
        <f t="shared" ref="D5119:D5182" si="79">IF(ISBLANK(B5119),"OK",IF(A5119-B5119=0,"OK","Error?"))</f>
        <v>Error?</v>
      </c>
    </row>
    <row r="5120" spans="1:4" x14ac:dyDescent="0.2">
      <c r="A5120" s="5">
        <v>5059</v>
      </c>
      <c r="B5120" s="138">
        <f>'Revenues 9-14'!C108</f>
        <v>167192</v>
      </c>
      <c r="C5120" s="2" t="s">
        <v>594</v>
      </c>
      <c r="D5120" s="2" t="str">
        <f t="shared" si="79"/>
        <v>Error?</v>
      </c>
    </row>
    <row r="5121" spans="1:4" x14ac:dyDescent="0.2">
      <c r="A5121" s="5">
        <v>5060</v>
      </c>
      <c r="B5121" s="138">
        <f>'Revenues 9-14'!C109</f>
        <v>2112674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7840800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7840800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101823</v>
      </c>
      <c r="D5134" s="2" t="str">
        <f t="shared" si="79"/>
        <v>Error?</v>
      </c>
    </row>
    <row r="5135" spans="1:4" x14ac:dyDescent="0.2">
      <c r="A5135" s="5">
        <v>5074</v>
      </c>
      <c r="B5135" s="138">
        <f>'Revenues 9-14'!C126</f>
        <v>144469</v>
      </c>
      <c r="D5135" s="2" t="str">
        <f t="shared" si="79"/>
        <v>Error?</v>
      </c>
    </row>
    <row r="5136" spans="1:4" x14ac:dyDescent="0.2">
      <c r="A5136" s="10">
        <v>5075</v>
      </c>
      <c r="D5136" s="2" t="str">
        <f t="shared" si="79"/>
        <v>OK</v>
      </c>
    </row>
    <row r="5137" spans="1:4" x14ac:dyDescent="0.2">
      <c r="A5137" s="5">
        <v>5076</v>
      </c>
      <c r="B5137" s="138">
        <f>'Revenues 9-14'!C127</f>
        <v>86101</v>
      </c>
      <c r="D5137" s="2" t="str">
        <f t="shared" si="79"/>
        <v>Error?</v>
      </c>
    </row>
    <row r="5138" spans="1:4" x14ac:dyDescent="0.2">
      <c r="A5138" s="10">
        <v>5077</v>
      </c>
      <c r="D5138" s="2" t="str">
        <f t="shared" si="79"/>
        <v>OK</v>
      </c>
    </row>
    <row r="5139" spans="1:4" x14ac:dyDescent="0.2">
      <c r="A5139" s="5">
        <v>5078</v>
      </c>
      <c r="B5139" s="138">
        <f>'Revenues 9-14'!C128</f>
        <v>2022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334415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13660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349643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8190443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598504</v>
      </c>
      <c r="D5239" s="2" t="str">
        <f t="shared" si="80"/>
        <v>Error?</v>
      </c>
    </row>
    <row r="5240" spans="1:4" x14ac:dyDescent="0.2">
      <c r="A5240" s="5">
        <v>5179</v>
      </c>
      <c r="B5240" s="138">
        <f>'Revenues 9-14'!C195</f>
        <v>465</v>
      </c>
      <c r="D5240" s="2" t="str">
        <f t="shared" si="80"/>
        <v>Error?</v>
      </c>
    </row>
    <row r="5241" spans="1:4" x14ac:dyDescent="0.2">
      <c r="A5241" s="5">
        <v>5180</v>
      </c>
      <c r="B5241" s="138">
        <f>'Revenues 9-14'!C196</f>
        <v>219074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851668</v>
      </c>
      <c r="C5246" s="2" t="s">
        <v>594</v>
      </c>
      <c r="D5246" s="2" t="str">
        <f t="shared" si="80"/>
        <v>Error?</v>
      </c>
    </row>
    <row r="5247" spans="1:4" x14ac:dyDescent="0.2">
      <c r="A5247" s="5">
        <v>5186</v>
      </c>
      <c r="B5247" s="138">
        <f>'Revenues 9-14'!C203</f>
        <v>885697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7574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885697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17234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73841</v>
      </c>
      <c r="D5278" s="2" t="str">
        <f t="shared" si="81"/>
        <v>Error?</v>
      </c>
    </row>
    <row r="5279" spans="1:4" x14ac:dyDescent="0.2">
      <c r="A5279" s="5">
        <v>5218</v>
      </c>
      <c r="B5279" s="138">
        <f>'Revenues 9-14'!C221</f>
        <v>13613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104688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2335042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2335042</v>
      </c>
      <c r="C5326" s="2" t="s">
        <v>594</v>
      </c>
      <c r="D5326" s="2" t="str">
        <f t="shared" si="82"/>
        <v>Error?</v>
      </c>
    </row>
    <row r="5327" spans="1:4" x14ac:dyDescent="0.2">
      <c r="A5327" s="5">
        <v>5266</v>
      </c>
      <c r="B5327" s="138">
        <f>'Revenues 9-14'!C275</f>
        <v>12638159</v>
      </c>
      <c r="C5327" s="2" t="s">
        <v>594</v>
      </c>
      <c r="D5327" s="2" t="str">
        <f t="shared" si="82"/>
        <v>Error?</v>
      </c>
    </row>
    <row r="5328" spans="1:4" x14ac:dyDescent="0.2">
      <c r="A5328" s="5">
        <v>5267</v>
      </c>
      <c r="B5328" s="138">
        <f>'Revenues 9-14'!D5</f>
        <v>287577</v>
      </c>
      <c r="D5328" s="2" t="str">
        <f t="shared" si="82"/>
        <v>Error?</v>
      </c>
    </row>
    <row r="5329" spans="1:4" x14ac:dyDescent="0.2">
      <c r="A5329" s="10">
        <v>5268</v>
      </c>
      <c r="D5329" s="2" t="str">
        <f t="shared" si="82"/>
        <v>OK</v>
      </c>
    </row>
    <row r="5330" spans="1:4" x14ac:dyDescent="0.2">
      <c r="A5330" s="5">
        <v>5269</v>
      </c>
      <c r="B5330" s="138">
        <f>'Revenues 9-14'!D6</f>
        <v>55816</v>
      </c>
      <c r="D5330" s="2" t="str">
        <f t="shared" si="82"/>
        <v>Error?</v>
      </c>
    </row>
    <row r="5331" spans="1:4" x14ac:dyDescent="0.2">
      <c r="A5331" s="5">
        <v>5270</v>
      </c>
      <c r="B5331" s="138">
        <f>'Revenues 9-14'!D7</f>
        <v>22893</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366286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7251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7251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3218</v>
      </c>
      <c r="D5354" s="2" t="str">
        <f t="shared" si="82"/>
        <v>Error?</v>
      </c>
    </row>
    <row r="5355" spans="1:4" x14ac:dyDescent="0.2">
      <c r="A5355" s="5">
        <v>5294</v>
      </c>
      <c r="B5355" s="138">
        <f>'Revenues 9-14'!D108</f>
        <v>3269</v>
      </c>
      <c r="C5355" s="2" t="s">
        <v>594</v>
      </c>
      <c r="D5355" s="2" t="str">
        <f t="shared" si="82"/>
        <v>Error?</v>
      </c>
    </row>
    <row r="5356" spans="1:4" x14ac:dyDescent="0.2">
      <c r="A5356" s="5">
        <v>5295</v>
      </c>
      <c r="B5356" s="138">
        <f>'Revenues 9-14'!D109</f>
        <v>376806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376806</v>
      </c>
      <c r="C5508" s="2" t="s">
        <v>594</v>
      </c>
      <c r="D5508" s="2" t="str">
        <f t="shared" si="85"/>
        <v>Error?</v>
      </c>
    </row>
    <row r="5509" spans="1:4" x14ac:dyDescent="0.2">
      <c r="A5509" s="5">
        <v>5448</v>
      </c>
      <c r="B5509" s="138">
        <f>'Revenues 9-14'!E5</f>
        <v>207339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207339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4865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4865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29</v>
      </c>
      <c r="C5526" s="2" t="s">
        <v>594</v>
      </c>
      <c r="D5526" s="2" t="str">
        <f t="shared" si="85"/>
        <v>Error?</v>
      </c>
    </row>
    <row r="5527" spans="1:4" x14ac:dyDescent="0.2">
      <c r="A5527" s="5">
        <v>5466</v>
      </c>
      <c r="B5527" s="138">
        <f>'Revenues 9-14'!E109</f>
        <v>212233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212233</v>
      </c>
      <c r="C5552" s="2" t="s">
        <v>594</v>
      </c>
      <c r="D5552" s="2" t="str">
        <f t="shared" si="85"/>
        <v>Error?</v>
      </c>
    </row>
    <row r="5553" spans="1:4" x14ac:dyDescent="0.2">
      <c r="A5553" s="5">
        <v>5492</v>
      </c>
      <c r="B5553" s="138">
        <f>'Revenues 9-14'!F5</f>
        <v>137357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137357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591206</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591206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3223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3223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249</v>
      </c>
      <c r="D5586" s="2" t="str">
        <f t="shared" si="86"/>
        <v>Error?</v>
      </c>
    </row>
    <row r="5587" spans="1:4" x14ac:dyDescent="0.2">
      <c r="A5587" s="5">
        <v>5526</v>
      </c>
      <c r="B5587" s="138">
        <f>'Revenues 9-14'!F108</f>
        <v>268</v>
      </c>
      <c r="C5587" s="2" t="s">
        <v>594</v>
      </c>
      <c r="D5587" s="2" t="str">
        <f t="shared" si="86"/>
        <v>Error?</v>
      </c>
    </row>
    <row r="5588" spans="1:4" x14ac:dyDescent="0.2">
      <c r="A5588" s="5">
        <v>5527</v>
      </c>
      <c r="B5588" s="138">
        <f>'Revenues 9-14'!F109</f>
        <v>732054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273460</v>
      </c>
      <c r="D5615" s="2" t="str">
        <f t="shared" si="86"/>
        <v>Error?</v>
      </c>
    </row>
    <row r="5616" spans="1:4" x14ac:dyDescent="0.2">
      <c r="A5616" s="10">
        <v>5555</v>
      </c>
      <c r="D5616" s="2" t="str">
        <f t="shared" si="86"/>
        <v>OK</v>
      </c>
    </row>
    <row r="5617" spans="1:4" x14ac:dyDescent="0.2">
      <c r="A5617" s="5">
        <v>5556</v>
      </c>
      <c r="B5617" s="138">
        <f>'Revenues 9-14'!F152</f>
        <v>215999</v>
      </c>
      <c r="D5617" s="2" t="str">
        <f t="shared" si="86"/>
        <v>Error?</v>
      </c>
    </row>
    <row r="5618" spans="1:4" x14ac:dyDescent="0.2">
      <c r="A5618" s="5">
        <v>5557</v>
      </c>
      <c r="B5618" s="138">
        <f>'Revenues 9-14'!F154</f>
        <v>489459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489459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489459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2244</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2244</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46870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46870</v>
      </c>
      <c r="C5719" s="2" t="s">
        <v>594</v>
      </c>
      <c r="D5719" s="2" t="str">
        <f t="shared" si="88"/>
        <v>Error?</v>
      </c>
    </row>
    <row r="5720" spans="1:4" x14ac:dyDescent="0.2">
      <c r="A5720" s="5">
        <v>5659</v>
      </c>
      <c r="B5720" s="138">
        <f>'Revenues 9-14'!F275</f>
        <v>1268383</v>
      </c>
      <c r="C5720" s="2" t="s">
        <v>594</v>
      </c>
      <c r="D5720" s="2" t="str">
        <f t="shared" si="88"/>
        <v>Error?</v>
      </c>
    </row>
    <row r="5721" spans="1:4" x14ac:dyDescent="0.2">
      <c r="A5721" s="5">
        <v>5660</v>
      </c>
      <c r="B5721" s="138">
        <f>'Revenues 9-14'!G5</f>
        <v>232222</v>
      </c>
      <c r="D5721" s="2" t="str">
        <f t="shared" si="88"/>
        <v>Error?</v>
      </c>
    </row>
    <row r="5722" spans="1:4" x14ac:dyDescent="0.2">
      <c r="A5722" s="5">
        <v>5661</v>
      </c>
      <c r="B5722" s="138">
        <f>'Revenues 9-14'!G7</f>
        <v>0</v>
      </c>
      <c r="D5722" s="2" t="str">
        <f t="shared" si="88"/>
        <v>Error?</v>
      </c>
    </row>
    <row r="5723" spans="1:4" x14ac:dyDescent="0.2">
      <c r="A5723" s="5">
        <v>5662</v>
      </c>
      <c r="B5723" s="138">
        <f>'Revenues 9-14'!G8</f>
        <v>146738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378960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85000</v>
      </c>
      <c r="C5730" s="2" t="s">
        <v>594</v>
      </c>
      <c r="D5730" s="2" t="str">
        <f t="shared" si="88"/>
        <v>Error?</v>
      </c>
    </row>
    <row r="5731" spans="1:4" x14ac:dyDescent="0.2">
      <c r="A5731" s="5">
        <v>5670</v>
      </c>
      <c r="B5731" s="138">
        <f>'Revenues 9-14'!G65</f>
        <v>8892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8892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53</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53343</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74</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53343</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3170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12253</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15423</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69762</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69762</v>
      </c>
      <c r="C5869" s="2" t="s">
        <v>594</v>
      </c>
      <c r="D5869" s="2" t="str">
        <f t="shared" si="90"/>
        <v>Error?</v>
      </c>
    </row>
    <row r="5870" spans="1:4" x14ac:dyDescent="0.2">
      <c r="A5870" s="5">
        <v>5809</v>
      </c>
      <c r="B5870" s="138">
        <f>'Revenues 9-14'!G275</f>
        <v>542667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500000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500000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500000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500000</v>
      </c>
      <c r="C5915" s="2" t="s">
        <v>594</v>
      </c>
      <c r="D5915" s="2" t="str">
        <f t="shared" si="91"/>
        <v>Error?</v>
      </c>
    </row>
    <row r="5916" spans="1:4" x14ac:dyDescent="0.2">
      <c r="A5916" s="5">
        <v>5855</v>
      </c>
      <c r="B5916" s="138">
        <f>'Revenues 9-14'!I5</f>
        <v>57238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57238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1343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8</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58589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472905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58589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73124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1182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265910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265910</v>
      </c>
      <c r="D6215" s="2" t="str">
        <f t="shared" si="96"/>
        <v>Error?</v>
      </c>
      <c r="E6215" s="2" t="s">
        <v>199</v>
      </c>
    </row>
    <row r="6216" spans="1:5" x14ac:dyDescent="0.2">
      <c r="A6216">
        <v>6155</v>
      </c>
      <c r="B6216" s="138">
        <f>'Assets-Liab 5-6'!J41</f>
        <v>265910</v>
      </c>
      <c r="D6216" s="2" t="str">
        <f t="shared" si="96"/>
        <v>Error?</v>
      </c>
      <c r="E6216" s="2" t="s">
        <v>199</v>
      </c>
    </row>
    <row r="6217" spans="1:5" x14ac:dyDescent="0.2">
      <c r="A6217">
        <v>6156</v>
      </c>
      <c r="B6217" s="138">
        <f>'Assets-Liab 5-6'!J4</f>
        <v>265910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265315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265315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265315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190016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190016</v>
      </c>
      <c r="D6229" s="2" t="str">
        <f t="shared" si="96"/>
        <v>Error?</v>
      </c>
      <c r="E6229" s="2" t="s">
        <v>199</v>
      </c>
    </row>
    <row r="6230" spans="1:5" x14ac:dyDescent="0.2">
      <c r="A6230">
        <v>6169</v>
      </c>
      <c r="B6230" s="138">
        <f>'Acct Summary 7-8'!J20</f>
        <v>75299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75299</v>
      </c>
      <c r="D6263" s="2" t="str">
        <f t="shared" si="96"/>
        <v>Error?</v>
      </c>
      <c r="E6263" s="2" t="s">
        <v>199</v>
      </c>
    </row>
    <row r="6264" spans="1:5" x14ac:dyDescent="0.2">
      <c r="A6264">
        <v>6203</v>
      </c>
      <c r="B6264" s="138">
        <f>'Acct Summary 7-8'!J79</f>
        <v>190611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265910</v>
      </c>
      <c r="D6266" s="2" t="str">
        <f t="shared" si="96"/>
        <v>Error?</v>
      </c>
      <c r="E6266" s="2" t="s">
        <v>199</v>
      </c>
    </row>
    <row r="6267" spans="1:5" x14ac:dyDescent="0.2">
      <c r="A6267">
        <v>6206</v>
      </c>
      <c r="B6267" s="138">
        <f>'Acct Summary 7-8'!C82</f>
        <v>636123</v>
      </c>
      <c r="D6267" s="2" t="str">
        <f t="shared" si="96"/>
        <v>Error?</v>
      </c>
      <c r="E6267" s="2" t="s">
        <v>199</v>
      </c>
    </row>
    <row r="6268" spans="1:5" x14ac:dyDescent="0.2">
      <c r="A6268">
        <v>6207</v>
      </c>
      <c r="B6268" s="138">
        <f>'Acct Summary 7-8'!D82</f>
        <v>-487949</v>
      </c>
      <c r="D6268" s="2" t="str">
        <f t="shared" si="96"/>
        <v>Error?</v>
      </c>
      <c r="E6268" s="2" t="s">
        <v>199</v>
      </c>
    </row>
    <row r="6269" spans="1:5" x14ac:dyDescent="0.2">
      <c r="A6269">
        <v>6208</v>
      </c>
      <c r="B6269" s="138">
        <f>'Acct Summary 7-8'!E82</f>
        <v>-37</v>
      </c>
      <c r="D6269" s="2" t="str">
        <f t="shared" si="96"/>
        <v>Error?</v>
      </c>
      <c r="E6269" s="2" t="s">
        <v>199</v>
      </c>
    </row>
    <row r="6270" spans="1:5" x14ac:dyDescent="0.2">
      <c r="A6270">
        <v>6209</v>
      </c>
      <c r="B6270" s="138">
        <f>'Acct Summary 7-8'!F82</f>
        <v>612916</v>
      </c>
      <c r="D6270" s="2" t="str">
        <f t="shared" si="96"/>
        <v>Error?</v>
      </c>
      <c r="E6270" s="2" t="s">
        <v>199</v>
      </c>
    </row>
    <row r="6271" spans="1:5" x14ac:dyDescent="0.2">
      <c r="A6271">
        <v>6210</v>
      </c>
      <c r="B6271" s="138">
        <f>'Acct Summary 7-8'!G82</f>
        <v>50456</v>
      </c>
      <c r="D6271" s="2" t="str">
        <f t="shared" ref="D6271:D6334" si="97">IF(ISBLANK(B6271),"OK",IF(A6271-B6271=0,"OK","Error?"))</f>
        <v>Error?</v>
      </c>
      <c r="E6271" s="2" t="s">
        <v>199</v>
      </c>
    </row>
    <row r="6272" spans="1:5" x14ac:dyDescent="0.2">
      <c r="A6272">
        <v>6211</v>
      </c>
      <c r="B6272" s="138">
        <f>'Acct Summary 7-8'!H82</f>
        <v>500000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75299</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0.1476600751667296</v>
      </c>
      <c r="D6276" s="2" t="str">
        <f t="shared" si="97"/>
        <v>Error?</v>
      </c>
      <c r="E6276" s="2" t="s">
        <v>199</v>
      </c>
    </row>
    <row r="6277" spans="1:5" x14ac:dyDescent="0.2">
      <c r="A6277">
        <v>6216</v>
      </c>
      <c r="B6277" s="138">
        <f>'Acct Summary 7-8'!D83</f>
        <v>-3.7067769700008357</v>
      </c>
      <c r="D6277" s="2" t="str">
        <f t="shared" si="97"/>
        <v>Error?</v>
      </c>
      <c r="E6277" s="2" t="s">
        <v>199</v>
      </c>
    </row>
    <row r="6278" spans="1:5" x14ac:dyDescent="0.2">
      <c r="A6278">
        <v>6217</v>
      </c>
      <c r="B6278" s="138">
        <f>'Acct Summary 7-8'!E83</f>
        <v>-9.6916991906121491E-4</v>
      </c>
      <c r="D6278" s="2" t="str">
        <f t="shared" si="97"/>
        <v>Error?</v>
      </c>
      <c r="E6278" s="2" t="s">
        <v>199</v>
      </c>
    </row>
    <row r="6279" spans="1:5" x14ac:dyDescent="0.2">
      <c r="A6279">
        <v>6218</v>
      </c>
      <c r="B6279" s="138">
        <f>'Acct Summary 7-8'!F83</f>
        <v>0.77776184536280013</v>
      </c>
      <c r="D6279" s="2" t="str">
        <f t="shared" si="97"/>
        <v>Error?</v>
      </c>
      <c r="E6279" s="2" t="s">
        <v>199</v>
      </c>
    </row>
    <row r="6280" spans="1:5" x14ac:dyDescent="0.2">
      <c r="A6280">
        <v>6219</v>
      </c>
      <c r="B6280" s="138">
        <f>'Acct Summary 7-8'!G83</f>
        <v>0.19796370769985286</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0.28317475837689443</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2405</v>
      </c>
      <c r="D6285" s="2" t="str">
        <f t="shared" si="97"/>
        <v>Error?</v>
      </c>
      <c r="E6285" s="2" t="s">
        <v>199</v>
      </c>
    </row>
    <row r="6286" spans="1:5" x14ac:dyDescent="0.2">
      <c r="A6286">
        <v>6225</v>
      </c>
      <c r="B6286" s="138">
        <f>'Acct Summary 7-8'!E38</f>
        <v>874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257885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257885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7394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7394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260</v>
      </c>
      <c r="D6330" s="2" t="str">
        <f t="shared" si="97"/>
        <v>Error?</v>
      </c>
      <c r="E6330" s="2" t="s">
        <v>199</v>
      </c>
    </row>
    <row r="6331" spans="1:5" x14ac:dyDescent="0.2">
      <c r="A6331">
        <v>6270</v>
      </c>
      <c r="B6331" s="138">
        <f>'Revenues 9-14'!D100</f>
        <v>51</v>
      </c>
      <c r="D6331" s="2" t="str">
        <f t="shared" si="97"/>
        <v>Error?</v>
      </c>
      <c r="E6331" s="2" t="s">
        <v>199</v>
      </c>
    </row>
    <row r="6332" spans="1:5" x14ac:dyDescent="0.2">
      <c r="A6332">
        <v>6271</v>
      </c>
      <c r="B6332" s="138">
        <f>'Revenues 9-14'!E100</f>
        <v>29</v>
      </c>
      <c r="D6332" s="2" t="str">
        <f t="shared" si="97"/>
        <v>Error?</v>
      </c>
      <c r="E6332" s="2" t="s">
        <v>199</v>
      </c>
    </row>
    <row r="6333" spans="1:5" x14ac:dyDescent="0.2">
      <c r="A6333">
        <v>6272</v>
      </c>
      <c r="B6333" s="138">
        <f>'Revenues 9-14'!F100</f>
        <v>19</v>
      </c>
      <c r="D6333" s="2" t="str">
        <f t="shared" si="97"/>
        <v>Error?</v>
      </c>
      <c r="E6333" s="2" t="s">
        <v>199</v>
      </c>
    </row>
    <row r="6334" spans="1:5" x14ac:dyDescent="0.2">
      <c r="A6334">
        <v>6273</v>
      </c>
      <c r="B6334" s="138">
        <f>'Revenues 9-14'!G100</f>
        <v>53</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8</v>
      </c>
      <c r="D6336" s="2" t="str">
        <f t="shared" si="98"/>
        <v>Error?</v>
      </c>
      <c r="E6336" s="2" t="s">
        <v>199</v>
      </c>
    </row>
    <row r="6337" spans="1:5" x14ac:dyDescent="0.2">
      <c r="A6337">
        <v>6276</v>
      </c>
      <c r="B6337" s="138">
        <f>'Revenues 9-14'!J100</f>
        <v>36</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36</v>
      </c>
      <c r="D6351" s="2" t="str">
        <f t="shared" si="98"/>
        <v>Error?</v>
      </c>
      <c r="E6351" s="2" t="s">
        <v>199</v>
      </c>
    </row>
    <row r="6352" spans="1:5" x14ac:dyDescent="0.2">
      <c r="A6352">
        <v>6291</v>
      </c>
      <c r="B6352" s="138">
        <f>'Revenues 9-14'!J109</f>
        <v>265315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190016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265315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2858</v>
      </c>
      <c r="D7093" s="2" t="str">
        <f t="shared" si="109"/>
        <v>Error?</v>
      </c>
    </row>
    <row r="7094" spans="1:4" x14ac:dyDescent="0.2">
      <c r="A7094">
        <v>7033</v>
      </c>
      <c r="B7094" s="138">
        <f>'Expenditures 15-22'!K254</f>
        <v>2858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100261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100261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5886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5886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9478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9478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40535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40535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3395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3395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190016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190016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190016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190016</v>
      </c>
      <c r="D7224" s="2" t="str">
        <f t="shared" si="111"/>
        <v>Error?</v>
      </c>
    </row>
    <row r="7225" spans="1:4" x14ac:dyDescent="0.2">
      <c r="A7225">
        <v>7164</v>
      </c>
      <c r="B7225" s="138">
        <f>'Expenditures 15-22'!K343</f>
        <v>75299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464547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2405</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874</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33625</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30461</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30461</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57246</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695927</v>
      </c>
      <c r="D7797" s="2" t="str">
        <f t="shared" si="127"/>
        <v>Error?</v>
      </c>
      <c r="E7797" s="4" t="s">
        <v>2019</v>
      </c>
    </row>
    <row r="7798" spans="1:5" x14ac:dyDescent="0.2">
      <c r="A7798">
        <v>7737</v>
      </c>
      <c r="B7798" s="138">
        <f>'Contracts Paid in CY 29'!F141</f>
        <v>75000</v>
      </c>
      <c r="D7798" s="2" t="str">
        <f t="shared" si="127"/>
        <v>Error?</v>
      </c>
      <c r="E7798" s="4" t="s">
        <v>2019</v>
      </c>
    </row>
    <row r="7799" spans="1:5" x14ac:dyDescent="0.2">
      <c r="A7799">
        <v>7738</v>
      </c>
      <c r="B7799" s="138">
        <f>'Contracts Paid in CY 29'!G141</f>
        <v>620927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6" zoomScale="110" zoomScaleNormal="110" workbookViewId="0">
      <selection activeCell="B54" sqref="B5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9" t="s">
        <v>1253</v>
      </c>
      <c r="B2" s="2429"/>
      <c r="C2" s="2429"/>
      <c r="D2" s="2429"/>
      <c r="E2" s="2429"/>
      <c r="F2" s="2429"/>
      <c r="G2" s="2429"/>
      <c r="H2" s="2429"/>
      <c r="I2" s="2429"/>
      <c r="J2" s="2429"/>
      <c r="K2" s="2429"/>
      <c r="L2" s="2429"/>
    </row>
    <row r="3" spans="1:29" ht="13.5" customHeight="1" x14ac:dyDescent="0.2">
      <c r="A3" s="2415" t="s">
        <v>1252</v>
      </c>
      <c r="B3" s="2415"/>
      <c r="C3" s="2415"/>
      <c r="D3" s="2415"/>
      <c r="E3" s="2415"/>
      <c r="F3" s="2415"/>
      <c r="G3" s="2415"/>
      <c r="H3" s="2415"/>
      <c r="I3" s="2415"/>
      <c r="J3" s="2415"/>
      <c r="K3" s="2415"/>
      <c r="L3" s="2415"/>
    </row>
    <row r="4" spans="1:29" ht="13.5" customHeight="1" x14ac:dyDescent="0.2">
      <c r="A4" s="2429" t="s">
        <v>1799</v>
      </c>
      <c r="B4" s="2446"/>
      <c r="C4" s="2446"/>
      <c r="D4" s="2446"/>
      <c r="E4" s="2446"/>
      <c r="F4" s="2446"/>
      <c r="G4" s="2446"/>
      <c r="H4" s="2446"/>
      <c r="I4" s="2446"/>
      <c r="J4" s="2446"/>
      <c r="K4" s="2446"/>
      <c r="L4" s="244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9" t="str">
        <f>COVER!A17</f>
        <v>Centralia City SD 135</v>
      </c>
      <c r="B7" s="2410"/>
      <c r="C7" s="2410"/>
      <c r="D7" s="2447"/>
      <c r="E7" s="2448">
        <f>COVER!A13</f>
        <v>13058135002</v>
      </c>
      <c r="F7" s="2449"/>
      <c r="G7" s="2416" t="str">
        <f>COVER!T23</f>
        <v>066-004976</v>
      </c>
      <c r="H7" s="2417"/>
      <c r="I7" s="2417"/>
      <c r="J7" s="2417"/>
      <c r="K7" s="2417"/>
      <c r="L7" s="2418"/>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9"/>
      <c r="B9" s="2420"/>
      <c r="C9" s="2420"/>
      <c r="D9" s="2420"/>
      <c r="E9" s="2420"/>
      <c r="F9" s="2421"/>
      <c r="G9" s="2422" t="str">
        <f>COVER!T13</f>
        <v>Glass and Shuffett, Ltd.</v>
      </c>
      <c r="H9" s="2423"/>
      <c r="I9" s="2423"/>
      <c r="J9" s="2423"/>
      <c r="K9" s="2423"/>
      <c r="L9" s="2424"/>
    </row>
    <row r="10" spans="1:29" ht="13.5" customHeight="1" x14ac:dyDescent="0.2">
      <c r="A10" s="2406" t="str">
        <f>COVER!A38</f>
        <v>Craig E. Clark</v>
      </c>
      <c r="B10" s="2407"/>
      <c r="C10" s="2407"/>
      <c r="D10" s="2407"/>
      <c r="E10" s="2407"/>
      <c r="F10" s="2408"/>
      <c r="G10" s="2422" t="str">
        <f>COVER!T17</f>
        <v>1819 West McCord St., P.O. Box489</v>
      </c>
      <c r="H10" s="2435"/>
      <c r="I10" s="2435"/>
      <c r="J10" s="2435"/>
      <c r="K10" s="2435"/>
      <c r="L10" s="2436"/>
    </row>
    <row r="11" spans="1:29" ht="13.5" customHeight="1" x14ac:dyDescent="0.2">
      <c r="A11" s="1184" t="s">
        <v>1599</v>
      </c>
      <c r="B11" s="1185"/>
      <c r="C11" s="1186"/>
      <c r="D11" s="1191"/>
      <c r="E11" s="1186"/>
      <c r="F11" s="1190"/>
      <c r="G11" s="2422" t="str">
        <f>COVER!T19</f>
        <v>Centralia</v>
      </c>
      <c r="H11" s="2435"/>
      <c r="I11" s="2435"/>
      <c r="J11" s="2435"/>
      <c r="K11" s="2435"/>
      <c r="L11" s="2436"/>
    </row>
    <row r="12" spans="1:29" ht="13.5" customHeight="1" x14ac:dyDescent="0.2">
      <c r="A12" s="2440" t="s">
        <v>1598</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1600</v>
      </c>
      <c r="H13" s="2431"/>
      <c r="I13" s="2443" t="str">
        <f>COVER!T25</f>
        <v>gandscpa@sbcglobal.net</v>
      </c>
      <c r="J13" s="2444"/>
      <c r="K13" s="2444"/>
      <c r="L13" s="2445"/>
    </row>
    <row r="14" spans="1:29" ht="13.5" customHeight="1" x14ac:dyDescent="0.2">
      <c r="A14" s="2422" t="str">
        <f>COVER!A19</f>
        <v>404 South Elm</v>
      </c>
      <c r="B14" s="2435"/>
      <c r="C14" s="2435"/>
      <c r="D14" s="2435"/>
      <c r="E14" s="2435"/>
      <c r="F14" s="2436"/>
      <c r="G14" s="1195" t="s">
        <v>1247</v>
      </c>
      <c r="H14" s="1193"/>
      <c r="I14" s="1193"/>
      <c r="J14" s="1193"/>
      <c r="K14" s="1193"/>
      <c r="L14" s="1194"/>
    </row>
    <row r="15" spans="1:29" ht="13.5" customHeight="1" x14ac:dyDescent="0.2">
      <c r="A15" s="2422" t="str">
        <f>COVER!A21</f>
        <v>Centralia, IL</v>
      </c>
      <c r="B15" s="2435"/>
      <c r="C15" s="2435"/>
      <c r="D15" s="2435"/>
      <c r="E15" s="2435"/>
      <c r="F15" s="2436"/>
      <c r="G15" s="2432" t="str">
        <f>COVER!T15</f>
        <v>Bo Thomas, CPA</v>
      </c>
      <c r="H15" s="2433"/>
      <c r="I15" s="2433"/>
      <c r="J15" s="2433"/>
      <c r="K15" s="2433"/>
      <c r="L15" s="2434"/>
    </row>
    <row r="16" spans="1:29" ht="12.2" customHeight="1" x14ac:dyDescent="0.2">
      <c r="A16" s="2412">
        <f>COVER!A25</f>
        <v>62801</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95" t="s">
        <v>1246</v>
      </c>
      <c r="H17" s="1193"/>
      <c r="I17" s="1193"/>
      <c r="J17" s="1193"/>
      <c r="K17" s="1197" t="s">
        <v>1245</v>
      </c>
      <c r="L17" s="1190"/>
      <c r="M17" s="1183"/>
    </row>
    <row r="18" spans="1:13" ht="12.2" customHeight="1" x14ac:dyDescent="0.2">
      <c r="A18" s="2406"/>
      <c r="B18" s="2407"/>
      <c r="C18" s="2407"/>
      <c r="D18" s="2407"/>
      <c r="E18" s="2407"/>
      <c r="F18" s="2408"/>
      <c r="G18" s="2409" t="str">
        <f>COVER!T21</f>
        <v>618-532-5683</v>
      </c>
      <c r="H18" s="2410"/>
      <c r="I18" s="2410"/>
      <c r="J18" s="2410"/>
      <c r="K18" s="2409" t="str">
        <f>COVER!X21</f>
        <v>618532-5684</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t="s">
        <v>2087</v>
      </c>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t="s">
        <v>2087</v>
      </c>
      <c r="C26" s="1202" t="s">
        <v>1801</v>
      </c>
    </row>
    <row r="27" spans="1:13" s="1198" customFormat="1" ht="9" customHeight="1" x14ac:dyDescent="0.2">
      <c r="B27" s="1203"/>
      <c r="C27" s="1202"/>
    </row>
    <row r="28" spans="1:13" s="1198" customFormat="1" ht="12.2" customHeight="1" x14ac:dyDescent="0.2">
      <c r="A28" s="1205"/>
      <c r="B28" s="1201" t="s">
        <v>2087</v>
      </c>
      <c r="C28" s="1202" t="s">
        <v>1802</v>
      </c>
    </row>
    <row r="29" spans="1:13" s="1198" customFormat="1" ht="9" customHeight="1" x14ac:dyDescent="0.2">
      <c r="A29" s="1205"/>
      <c r="B29" s="1203"/>
      <c r="C29" s="1202"/>
    </row>
    <row r="30" spans="1:13" s="1198" customFormat="1" ht="12.2" customHeight="1" x14ac:dyDescent="0.2">
      <c r="B30" s="1201" t="s">
        <v>2087</v>
      </c>
      <c r="C30" s="1202" t="s">
        <v>1643</v>
      </c>
      <c r="D30" s="1196"/>
      <c r="E30" s="1196"/>
    </row>
    <row r="31" spans="1:13" s="1198" customFormat="1" ht="9" customHeight="1" x14ac:dyDescent="0.2">
      <c r="B31" s="1203"/>
      <c r="C31" s="1202"/>
      <c r="D31" s="1196"/>
      <c r="E31" s="1196"/>
    </row>
    <row r="32" spans="1:13" s="1198" customFormat="1" ht="12.2" customHeight="1" x14ac:dyDescent="0.2">
      <c r="B32" s="1201" t="s">
        <v>2087</v>
      </c>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t="s">
        <v>2087</v>
      </c>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t="s">
        <v>2087</v>
      </c>
      <c r="C38" s="1202" t="s">
        <v>1647</v>
      </c>
    </row>
    <row r="39" spans="1:8" ht="9" customHeight="1" x14ac:dyDescent="0.2">
      <c r="B39" s="1203"/>
      <c r="C39" s="1206"/>
    </row>
    <row r="40" spans="1:8" s="1198" customFormat="1" ht="13.5" customHeight="1" x14ac:dyDescent="0.2">
      <c r="B40" s="1201" t="s">
        <v>2087</v>
      </c>
      <c r="C40" s="1202" t="s">
        <v>1648</v>
      </c>
    </row>
    <row r="41" spans="1:8" ht="9" customHeight="1" x14ac:dyDescent="0.2">
      <c r="A41" s="1207"/>
      <c r="B41" s="1203"/>
      <c r="C41" s="1206"/>
    </row>
    <row r="42" spans="1:8" s="1198" customFormat="1" ht="13.5" customHeight="1" x14ac:dyDescent="0.2">
      <c r="B42" s="1201" t="s">
        <v>2087</v>
      </c>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2087</v>
      </c>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0" t="str">
        <f>'Single Audit Cover'!A7</f>
        <v>Centralia City SD 135</v>
      </c>
      <c r="B1" s="2446"/>
      <c r="C1" s="2446"/>
      <c r="D1" s="2446"/>
    </row>
    <row r="2" spans="1:11" s="1214" customFormat="1" ht="12.75" x14ac:dyDescent="0.2">
      <c r="A2" s="2451">
        <f>'Single Audit Cover'!E7</f>
        <v>13058135002</v>
      </c>
      <c r="B2" s="2452"/>
      <c r="C2" s="2452"/>
      <c r="D2" s="2452"/>
    </row>
    <row r="3" spans="1:11" s="1214" customFormat="1" ht="12.75" x14ac:dyDescent="0.2">
      <c r="A3" s="2450" t="s">
        <v>1593</v>
      </c>
      <c r="B3" s="2446"/>
      <c r="C3" s="2446"/>
      <c r="D3" s="2446"/>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1947</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4" t="str">
        <f>'Single Audit Cover'!A7</f>
        <v>Centralia City SD 135</v>
      </c>
      <c r="B1" s="2454"/>
      <c r="C1" s="2454"/>
      <c r="D1" s="2454"/>
      <c r="E1" s="2454"/>
    </row>
    <row r="2" spans="1:5" x14ac:dyDescent="0.2">
      <c r="A2" s="2455">
        <f>'Single Audit Cover'!E7</f>
        <v>13058135002</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59" t="s">
        <v>1305</v>
      </c>
    </row>
    <row r="10" spans="1:5" x14ac:dyDescent="0.2">
      <c r="A10" s="1260" t="s">
        <v>1304</v>
      </c>
      <c r="B10" s="1261" t="s">
        <v>1303</v>
      </c>
      <c r="C10" s="1261"/>
      <c r="D10" s="1262">
        <f>SUM('Acct Summary 7-8'!C7:K7)</f>
        <v>2451674</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73124</v>
      </c>
    </row>
    <row r="15" spans="1:5" x14ac:dyDescent="0.2">
      <c r="A15" s="1260"/>
      <c r="B15" s="1261"/>
      <c r="C15" s="1261"/>
    </row>
    <row r="16" spans="1:5" x14ac:dyDescent="0.2">
      <c r="A16" s="1260" t="s">
        <v>1955</v>
      </c>
      <c r="B16" s="1261"/>
      <c r="C16" s="1261"/>
    </row>
    <row r="17" spans="1:4" x14ac:dyDescent="0.2">
      <c r="A17" s="1260" t="s">
        <v>1601</v>
      </c>
      <c r="B17" s="1261" t="s">
        <v>1298</v>
      </c>
      <c r="C17" s="1261"/>
      <c r="D17" s="1263">
        <f>-SUM('Revenues 9-14'!C271:D271,'Revenues 9-14'!F271:G271)</f>
        <v>-362871</v>
      </c>
    </row>
    <row r="19" spans="1:4" ht="13.5" thickBot="1" x14ac:dyDescent="0.25">
      <c r="A19" s="1264" t="s">
        <v>1297</v>
      </c>
      <c r="D19" s="1265">
        <f>SUM(D10:D17)</f>
        <v>2161927</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6"/>
      <c r="B24" s="2456"/>
      <c r="D24" s="1267"/>
    </row>
    <row r="25" spans="1:4" x14ac:dyDescent="0.2">
      <c r="A25" s="2453"/>
      <c r="B25" s="2453"/>
      <c r="D25" s="1267"/>
    </row>
    <row r="26" spans="1:4" x14ac:dyDescent="0.2">
      <c r="A26" s="2453"/>
      <c r="B26" s="2453"/>
      <c r="D26" s="1267"/>
    </row>
    <row r="27" spans="1:4" x14ac:dyDescent="0.2">
      <c r="A27" s="2453"/>
      <c r="B27" s="2453"/>
      <c r="D27" s="1267"/>
    </row>
    <row r="28" spans="1:4" x14ac:dyDescent="0.2">
      <c r="A28" s="2453"/>
      <c r="B28" s="2453"/>
      <c r="D28" s="1267"/>
    </row>
    <row r="29" spans="1:4" x14ac:dyDescent="0.2">
      <c r="A29" s="2453"/>
      <c r="B29" s="2453"/>
      <c r="D29" s="1267"/>
    </row>
    <row r="30" spans="1:4" x14ac:dyDescent="0.2">
      <c r="A30" s="2453"/>
      <c r="B30" s="2453"/>
      <c r="D30" s="1267"/>
    </row>
    <row r="32" spans="1:4" x14ac:dyDescent="0.2">
      <c r="A32" s="1259" t="s">
        <v>1295</v>
      </c>
      <c r="D32" s="1262">
        <f>SUM(D19:D30)</f>
        <v>2161927</v>
      </c>
    </row>
    <row r="33" spans="1:4" x14ac:dyDescent="0.2">
      <c r="D33" s="1268"/>
    </row>
    <row r="34" spans="1:4" x14ac:dyDescent="0.2">
      <c r="A34" s="317" t="s">
        <v>1294</v>
      </c>
    </row>
    <row r="35" spans="1:4" x14ac:dyDescent="0.2">
      <c r="A35" s="317" t="s">
        <v>1293</v>
      </c>
      <c r="B35" s="1257" t="s">
        <v>1292</v>
      </c>
      <c r="D35" s="1269">
        <f>+' SEFA (4)'!F20</f>
        <v>2161927</v>
      </c>
    </row>
    <row r="37" spans="1:4" x14ac:dyDescent="0.2">
      <c r="A37" s="1259" t="s">
        <v>1291</v>
      </c>
    </row>
    <row r="39" spans="1:4" ht="13.35" customHeight="1" x14ac:dyDescent="0.2">
      <c r="A39" s="1266" t="s">
        <v>1290</v>
      </c>
    </row>
    <row r="40" spans="1:4" x14ac:dyDescent="0.2">
      <c r="A40" s="2453"/>
      <c r="B40" s="2453"/>
      <c r="D40" s="1267"/>
    </row>
    <row r="41" spans="1:4" x14ac:dyDescent="0.2">
      <c r="A41" s="2453"/>
      <c r="B41" s="2453"/>
      <c r="D41" s="1270"/>
    </row>
    <row r="42" spans="1:4" x14ac:dyDescent="0.2">
      <c r="A42" s="2453"/>
      <c r="B42" s="2453"/>
      <c r="D42" s="1270"/>
    </row>
    <row r="43" spans="1:4" x14ac:dyDescent="0.2">
      <c r="A43" s="2453"/>
      <c r="B43" s="2453"/>
      <c r="D43" s="1270"/>
    </row>
    <row r="44" spans="1:4" x14ac:dyDescent="0.2">
      <c r="A44" s="2453"/>
      <c r="B44" s="2453"/>
      <c r="D44" s="1270"/>
    </row>
    <row r="45" spans="1:4" x14ac:dyDescent="0.2">
      <c r="A45" s="2453"/>
      <c r="B45" s="2453"/>
      <c r="D45" s="1270"/>
    </row>
    <row r="47" spans="1:4" x14ac:dyDescent="0.2">
      <c r="B47" s="1271" t="s">
        <v>1289</v>
      </c>
      <c r="C47" s="1271"/>
      <c r="D47" s="1272">
        <f>SUM(D35:D45)</f>
        <v>2161927</v>
      </c>
    </row>
    <row r="49" spans="2:4" x14ac:dyDescent="0.2">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4" zoomScale="120" zoomScaleNormal="120" workbookViewId="0">
      <selection activeCell="B31" sqref="B3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Centralia City SD 135</v>
      </c>
      <c r="B1" s="2459"/>
      <c r="C1" s="2459"/>
      <c r="D1" s="2459"/>
      <c r="E1" s="2459"/>
      <c r="F1" s="2459"/>
    </row>
    <row r="2" spans="1:7" ht="13.5" customHeight="1" x14ac:dyDescent="0.2">
      <c r="A2" s="2460">
        <f>'Single Audit Cover'!E7</f>
        <v>13058135002</v>
      </c>
      <c r="B2" s="2460"/>
      <c r="C2" s="2460"/>
      <c r="D2" s="2460"/>
      <c r="E2" s="2460"/>
      <c r="F2" s="2460"/>
      <c r="G2" s="1274"/>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5" t="s">
        <v>1831</v>
      </c>
      <c r="C6" s="317"/>
      <c r="D6" s="317"/>
    </row>
    <row r="7" spans="1:7" ht="60.95" customHeight="1" x14ac:dyDescent="0.2">
      <c r="A7" s="2458" t="s">
        <v>2112</v>
      </c>
      <c r="B7" s="2458"/>
      <c r="C7" s="2458"/>
      <c r="D7" s="2458"/>
      <c r="E7" s="2458"/>
      <c r="F7" s="2458"/>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2087</v>
      </c>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8" t="s">
        <v>1833</v>
      </c>
      <c r="B13" s="2458"/>
      <c r="C13" s="2458"/>
      <c r="D13" s="2458"/>
      <c r="E13" s="2458"/>
      <c r="F13" s="2458"/>
    </row>
    <row r="14" spans="1:7" ht="9.75" customHeight="1" x14ac:dyDescent="0.2">
      <c r="C14" s="1259"/>
      <c r="D14" s="1259"/>
    </row>
    <row r="15" spans="1:7" ht="13.5" customHeight="1" x14ac:dyDescent="0.2">
      <c r="C15" s="1870" t="s">
        <v>1332</v>
      </c>
      <c r="D15" s="2464" t="s">
        <v>1331</v>
      </c>
      <c r="E15" s="2464"/>
      <c r="F15" s="2464"/>
    </row>
    <row r="16" spans="1:7" ht="13.5" customHeight="1" x14ac:dyDescent="0.2">
      <c r="A16" s="1281"/>
      <c r="B16" s="1275" t="s">
        <v>1330</v>
      </c>
      <c r="C16" s="1870" t="s">
        <v>1329</v>
      </c>
      <c r="D16" s="2465" t="s">
        <v>1670</v>
      </c>
      <c r="E16" s="2465"/>
      <c r="F16" s="2465"/>
    </row>
    <row r="17" spans="1:6" ht="20.45" customHeight="1" x14ac:dyDescent="0.2">
      <c r="A17" s="1282"/>
      <c r="B17" s="1283" t="s">
        <v>2113</v>
      </c>
      <c r="C17" s="1284"/>
      <c r="D17" s="2463"/>
      <c r="E17" s="2463"/>
      <c r="F17" s="2463"/>
    </row>
    <row r="18" spans="1:6" ht="20.65" customHeight="1" x14ac:dyDescent="0.2">
      <c r="A18" s="1282"/>
      <c r="B18" s="1283"/>
      <c r="C18" s="1284"/>
      <c r="D18" s="2463"/>
      <c r="E18" s="2463"/>
      <c r="F18" s="2463"/>
    </row>
    <row r="19" spans="1:6" ht="20.65" customHeight="1" x14ac:dyDescent="0.2">
      <c r="A19" s="1282"/>
      <c r="B19" s="1283"/>
      <c r="C19" s="1284"/>
      <c r="D19" s="2463"/>
      <c r="E19" s="2463"/>
      <c r="F19" s="2463"/>
    </row>
    <row r="20" spans="1:6" ht="20.65" customHeight="1" x14ac:dyDescent="0.2">
      <c r="A20" s="1282"/>
      <c r="B20" s="1283"/>
      <c r="C20" s="1284"/>
      <c r="D20" s="2463"/>
      <c r="E20" s="2463"/>
      <c r="F20" s="2463"/>
    </row>
    <row r="21" spans="1:6" ht="20.65" customHeight="1" x14ac:dyDescent="0.2">
      <c r="A21" s="1282"/>
      <c r="B21" s="1283"/>
      <c r="C21" s="1284"/>
      <c r="D21" s="2463"/>
      <c r="E21" s="2463"/>
      <c r="F21" s="2463"/>
    </row>
    <row r="22" spans="1:6" ht="20.65" customHeight="1" x14ac:dyDescent="0.2">
      <c r="A22" s="1282"/>
      <c r="B22" s="1283"/>
      <c r="C22" s="1284"/>
      <c r="D22" s="2463"/>
      <c r="E22" s="2463"/>
      <c r="F22" s="2463"/>
    </row>
    <row r="23" spans="1:6" ht="20.65" customHeight="1" x14ac:dyDescent="0.2">
      <c r="A23" s="1282"/>
      <c r="B23" s="1283"/>
      <c r="C23" s="1284"/>
      <c r="D23" s="2463"/>
      <c r="E23" s="2463"/>
      <c r="F23" s="2463"/>
    </row>
    <row r="24" spans="1:6" ht="20.65" customHeight="1" x14ac:dyDescent="0.2">
      <c r="A24" s="1282"/>
      <c r="B24" s="1283"/>
      <c r="C24" s="1284"/>
      <c r="D24" s="2463"/>
      <c r="E24" s="2463"/>
      <c r="F24" s="2463"/>
    </row>
    <row r="25" spans="1:6" ht="20.65" customHeight="1" x14ac:dyDescent="0.2">
      <c r="A25" s="1282"/>
      <c r="B25" s="1283"/>
      <c r="C25" s="1284"/>
      <c r="D25" s="2463"/>
      <c r="E25" s="2463"/>
      <c r="F25" s="2463"/>
    </row>
    <row r="26" spans="1:6" ht="20.65" customHeight="1" x14ac:dyDescent="0.2">
      <c r="A26" s="1282"/>
      <c r="B26" s="1283"/>
      <c r="C26" s="1284"/>
      <c r="D26" s="2463"/>
      <c r="E26" s="2463"/>
      <c r="F26" s="2463"/>
    </row>
    <row r="27" spans="1:6" ht="20.65" customHeight="1" x14ac:dyDescent="0.2">
      <c r="A27" s="1282"/>
      <c r="B27" s="1283"/>
      <c r="C27" s="1284"/>
      <c r="D27" s="2463"/>
      <c r="E27" s="2463"/>
      <c r="F27" s="2463"/>
    </row>
    <row r="28" spans="1:6" ht="20.65" customHeight="1" x14ac:dyDescent="0.2">
      <c r="A28" s="1282"/>
      <c r="B28" s="1283"/>
      <c r="C28" s="1284"/>
      <c r="D28" s="2463"/>
      <c r="E28" s="2463"/>
      <c r="F28" s="2463"/>
    </row>
    <row r="29" spans="1:6" ht="20.65" customHeight="1" x14ac:dyDescent="0.2">
      <c r="A29" s="1282"/>
      <c r="B29" s="1283"/>
      <c r="C29" s="1284"/>
      <c r="D29" s="2463"/>
      <c r="E29" s="2463"/>
      <c r="F29" s="2463"/>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7" t="s">
        <v>1834</v>
      </c>
      <c r="B32" s="2467"/>
      <c r="C32" s="2467"/>
      <c r="D32" s="2467"/>
      <c r="E32" s="2467"/>
      <c r="F32" s="2467"/>
    </row>
    <row r="33" spans="1:6" ht="13.5" customHeight="1" x14ac:dyDescent="0.2">
      <c r="A33" s="328" t="s">
        <v>1509</v>
      </c>
      <c r="B33" s="328"/>
      <c r="C33" s="1287">
        <f>+'ICR Computation 30'!E11</f>
        <v>73124</v>
      </c>
      <c r="D33" s="1927"/>
      <c r="E33" s="1285"/>
    </row>
    <row r="34" spans="1:6" ht="13.5" customHeight="1" x14ac:dyDescent="0.2">
      <c r="A34" s="328" t="s">
        <v>1948</v>
      </c>
      <c r="B34" s="328"/>
      <c r="C34" s="1288">
        <v>0</v>
      </c>
      <c r="D34" s="1927" t="s">
        <v>1671</v>
      </c>
      <c r="E34" s="2468">
        <f>+C33+C34</f>
        <v>73124</v>
      </c>
      <c r="F34" s="2469"/>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v>0</v>
      </c>
      <c r="D38" s="1927"/>
      <c r="E38" s="1285"/>
    </row>
    <row r="39" spans="1:6" ht="14.25" customHeight="1" x14ac:dyDescent="0.2">
      <c r="A39" s="328"/>
      <c r="B39" s="328" t="s">
        <v>1511</v>
      </c>
      <c r="C39" s="1291">
        <v>0</v>
      </c>
      <c r="D39" s="1927"/>
      <c r="E39" s="1285"/>
    </row>
    <row r="40" spans="1:6" ht="14.25" customHeight="1" x14ac:dyDescent="0.2">
      <c r="A40" s="328"/>
      <c r="B40" s="328" t="s">
        <v>1512</v>
      </c>
      <c r="C40" s="1291">
        <v>0</v>
      </c>
      <c r="D40" s="1927"/>
      <c r="E40" s="1285"/>
    </row>
    <row r="41" spans="1:6" ht="14.25" customHeight="1" x14ac:dyDescent="0.2">
      <c r="A41" s="328"/>
      <c r="B41" s="328" t="s">
        <v>1513</v>
      </c>
      <c r="C41" s="1291">
        <v>0</v>
      </c>
      <c r="D41" s="1927"/>
      <c r="E41" s="1285"/>
    </row>
    <row r="42" spans="1:6" ht="14.25" customHeight="1" x14ac:dyDescent="0.2">
      <c r="A42" s="328" t="s">
        <v>1514</v>
      </c>
      <c r="B42" s="328"/>
      <c r="C42" s="1925">
        <v>0</v>
      </c>
      <c r="D42" s="1927"/>
      <c r="E42" s="1285"/>
    </row>
    <row r="43" spans="1:6" ht="14.25" customHeight="1" x14ac:dyDescent="0.2">
      <c r="A43" s="328" t="s">
        <v>1515</v>
      </c>
      <c r="B43" s="328"/>
      <c r="C43" s="1292" t="s">
        <v>401</v>
      </c>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1835</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0" t="s">
        <v>1672</v>
      </c>
      <c r="C49" s="2470"/>
      <c r="D49" s="2470"/>
      <c r="E49" s="1398"/>
    </row>
    <row r="50" spans="1:5" s="1299" customFormat="1" ht="3.75" customHeight="1" x14ac:dyDescent="0.2">
      <c r="A50" s="1298"/>
      <c r="B50" s="1869"/>
      <c r="C50" s="1869"/>
      <c r="D50" s="1869"/>
      <c r="E50" s="1398"/>
    </row>
    <row r="51" spans="1:5" s="1299" customFormat="1" ht="20.25" customHeight="1" x14ac:dyDescent="0.2">
      <c r="A51" s="1300">
        <v>6</v>
      </c>
      <c r="B51" s="2466" t="s">
        <v>1632</v>
      </c>
      <c r="C51" s="2466"/>
      <c r="D51" s="2466"/>
    </row>
    <row r="52" spans="1:5" ht="14.25" customHeight="1" x14ac:dyDescent="0.2">
      <c r="A52" s="1300"/>
      <c r="B52" s="2466"/>
      <c r="C52" s="2466"/>
      <c r="D52" s="246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6" zoomScaleNormal="100" workbookViewId="0">
      <selection activeCell="M24" sqref="M24"/>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5" t="str">
        <f>'Single Audit Cover'!A7</f>
        <v>Centralia City SD 135</v>
      </c>
      <c r="C1" s="2471"/>
      <c r="D1" s="2471"/>
      <c r="E1" s="2471"/>
      <c r="F1" s="2471"/>
      <c r="G1" s="2471"/>
      <c r="H1" s="2471"/>
      <c r="I1" s="2471"/>
      <c r="J1" s="2471"/>
      <c r="K1" s="2471"/>
      <c r="L1" s="2471"/>
      <c r="M1" s="2471"/>
    </row>
    <row r="2" spans="2:14" ht="15" x14ac:dyDescent="0.2">
      <c r="B2" s="2460">
        <f>'Single Audit Cover'!E7</f>
        <v>13058135002</v>
      </c>
      <c r="C2" s="2460"/>
      <c r="D2" s="2460"/>
      <c r="E2" s="2460"/>
      <c r="F2" s="2460"/>
      <c r="G2" s="2460"/>
      <c r="H2" s="2460"/>
      <c r="I2" s="2460"/>
      <c r="J2" s="2460"/>
      <c r="K2" s="2460"/>
      <c r="L2" s="2460"/>
      <c r="M2" s="2460"/>
      <c r="N2" s="1301"/>
    </row>
    <row r="3" spans="2:14" ht="15" x14ac:dyDescent="0.2">
      <c r="B3" s="2472" t="s">
        <v>1281</v>
      </c>
      <c r="C3" s="2472"/>
      <c r="D3" s="2472"/>
      <c r="E3" s="2472"/>
      <c r="F3" s="2472"/>
      <c r="G3" s="2472"/>
      <c r="H3" s="2472"/>
      <c r="I3" s="2472"/>
      <c r="J3" s="2472"/>
      <c r="K3" s="2472"/>
      <c r="L3" s="2472"/>
      <c r="M3" s="2472"/>
      <c r="N3" s="1301"/>
    </row>
    <row r="4" spans="2:14" ht="15" x14ac:dyDescent="0.2">
      <c r="B4" s="2473" t="str">
        <f>'Single Audit Cover'!A4</f>
        <v>Year Ending June 30, 2018</v>
      </c>
      <c r="C4" s="2473"/>
      <c r="D4" s="2473"/>
      <c r="E4" s="2473"/>
      <c r="F4" s="2473"/>
      <c r="G4" s="2473"/>
      <c r="H4" s="2473"/>
      <c r="I4" s="2473"/>
      <c r="J4" s="2473"/>
      <c r="K4" s="2473"/>
      <c r="L4" s="2473"/>
      <c r="M4" s="2473"/>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2114</v>
      </c>
      <c r="C11" s="1337"/>
      <c r="D11" s="1338"/>
      <c r="E11" s="1339"/>
      <c r="F11" s="1339"/>
      <c r="G11" s="1339"/>
      <c r="H11" s="1339"/>
      <c r="I11" s="1339"/>
      <c r="J11" s="1339"/>
      <c r="K11" s="1339"/>
      <c r="L11" s="1339">
        <f>+G11+I11+K11</f>
        <v>0</v>
      </c>
      <c r="M11" s="1339"/>
    </row>
    <row r="12" spans="2:14" ht="20.100000000000001" customHeight="1" x14ac:dyDescent="0.2">
      <c r="B12" s="1336" t="s">
        <v>2115</v>
      </c>
      <c r="C12" s="1340"/>
      <c r="D12" s="1341"/>
      <c r="E12" s="1342"/>
      <c r="F12" s="1342"/>
      <c r="G12" s="1342"/>
      <c r="H12" s="1342"/>
      <c r="I12" s="1342"/>
      <c r="J12" s="1342"/>
      <c r="K12" s="1342"/>
      <c r="L12" s="1339">
        <f t="shared" ref="L12:L23" si="0">+G12+I12+K12</f>
        <v>0</v>
      </c>
      <c r="M12" s="1342"/>
    </row>
    <row r="13" spans="2:14" ht="20.100000000000001" customHeight="1" x14ac:dyDescent="0.2">
      <c r="B13" s="1336" t="s">
        <v>2170</v>
      </c>
      <c r="C13" s="1340">
        <v>84.01</v>
      </c>
      <c r="D13" s="1341" t="s">
        <v>2117</v>
      </c>
      <c r="E13" s="1342">
        <v>751925</v>
      </c>
      <c r="F13" s="1342">
        <v>187976</v>
      </c>
      <c r="G13" s="1342">
        <v>885422</v>
      </c>
      <c r="H13" s="1342">
        <v>0</v>
      </c>
      <c r="I13" s="1342">
        <v>54479</v>
      </c>
      <c r="J13" s="1342">
        <v>0</v>
      </c>
      <c r="K13" s="1342">
        <v>0</v>
      </c>
      <c r="L13" s="1339">
        <f t="shared" si="0"/>
        <v>939901</v>
      </c>
      <c r="M13" s="1342">
        <v>1039885</v>
      </c>
    </row>
    <row r="14" spans="2:14" ht="20.100000000000001" customHeight="1" x14ac:dyDescent="0.2">
      <c r="B14" s="1336" t="s">
        <v>2170</v>
      </c>
      <c r="C14" s="1340">
        <v>84.01</v>
      </c>
      <c r="D14" s="1341" t="s">
        <v>2118</v>
      </c>
      <c r="E14" s="1342">
        <v>0</v>
      </c>
      <c r="F14" s="1342">
        <v>753308</v>
      </c>
      <c r="G14" s="1342">
        <v>0</v>
      </c>
      <c r="H14" s="1342">
        <v>0</v>
      </c>
      <c r="I14" s="1342">
        <v>821651</v>
      </c>
      <c r="J14" s="1342">
        <v>0</v>
      </c>
      <c r="K14" s="1342">
        <v>0</v>
      </c>
      <c r="L14" s="1339">
        <f t="shared" si="0"/>
        <v>821651</v>
      </c>
      <c r="M14" s="1342">
        <v>987621</v>
      </c>
    </row>
    <row r="15" spans="2:14" ht="20.100000000000001" customHeight="1" x14ac:dyDescent="0.2">
      <c r="B15" s="1336" t="s">
        <v>2116</v>
      </c>
      <c r="C15" s="1340"/>
      <c r="D15" s="1341"/>
      <c r="E15" s="1342">
        <f>+E13+E14</f>
        <v>751925</v>
      </c>
      <c r="F15" s="1342">
        <f t="shared" ref="F15:K15" si="1">+F13+F14</f>
        <v>941284</v>
      </c>
      <c r="G15" s="1342">
        <f t="shared" si="1"/>
        <v>885422</v>
      </c>
      <c r="H15" s="1342">
        <f t="shared" si="1"/>
        <v>0</v>
      </c>
      <c r="I15" s="1342">
        <f t="shared" si="1"/>
        <v>876130</v>
      </c>
      <c r="J15" s="1342">
        <f t="shared" si="1"/>
        <v>0</v>
      </c>
      <c r="K15" s="1342">
        <f t="shared" si="1"/>
        <v>0</v>
      </c>
      <c r="L15" s="1339">
        <f t="shared" si="0"/>
        <v>1761552</v>
      </c>
      <c r="M15" s="1342"/>
    </row>
    <row r="16" spans="2:14" ht="20.100000000000001" customHeight="1" x14ac:dyDescent="0.2">
      <c r="B16" s="1336" t="s">
        <v>2119</v>
      </c>
      <c r="C16" s="1340">
        <v>84.358000000000004</v>
      </c>
      <c r="D16" s="1341" t="s">
        <v>2125</v>
      </c>
      <c r="E16" s="1342">
        <v>16247</v>
      </c>
      <c r="F16" s="1342">
        <v>12538</v>
      </c>
      <c r="G16" s="1342">
        <v>28785</v>
      </c>
      <c r="H16" s="1342">
        <v>0</v>
      </c>
      <c r="I16" s="1342">
        <v>0</v>
      </c>
      <c r="J16" s="1342">
        <v>0</v>
      </c>
      <c r="K16" s="1342">
        <v>0</v>
      </c>
      <c r="L16" s="1339">
        <f t="shared" si="0"/>
        <v>28785</v>
      </c>
      <c r="M16" s="1342">
        <v>28785</v>
      </c>
    </row>
    <row r="17" spans="2:14" ht="20.100000000000001" customHeight="1" x14ac:dyDescent="0.2">
      <c r="B17" s="1336" t="s">
        <v>2119</v>
      </c>
      <c r="C17" s="1340">
        <v>84.358000000000004</v>
      </c>
      <c r="D17" s="1341" t="s">
        <v>2126</v>
      </c>
      <c r="E17" s="1342">
        <v>0</v>
      </c>
      <c r="F17" s="1342">
        <v>13262</v>
      </c>
      <c r="G17" s="1342">
        <v>0</v>
      </c>
      <c r="H17" s="1342">
        <v>0</v>
      </c>
      <c r="I17" s="1342">
        <v>23208</v>
      </c>
      <c r="J17" s="1342">
        <v>0</v>
      </c>
      <c r="K17" s="1342">
        <v>0</v>
      </c>
      <c r="L17" s="1339">
        <f t="shared" si="0"/>
        <v>23208</v>
      </c>
      <c r="M17" s="1342">
        <v>23208</v>
      </c>
    </row>
    <row r="18" spans="2:14" ht="20.100000000000001" customHeight="1" x14ac:dyDescent="0.2">
      <c r="B18" s="1336" t="s">
        <v>2120</v>
      </c>
      <c r="C18" s="1340"/>
      <c r="D18" s="1341"/>
      <c r="E18" s="1342">
        <f>+E16+E17</f>
        <v>16247</v>
      </c>
      <c r="F18" s="1342">
        <f>+F16+F17</f>
        <v>25800</v>
      </c>
      <c r="G18" s="1342">
        <f>+G16+G17</f>
        <v>28785</v>
      </c>
      <c r="H18" s="1342">
        <v>0</v>
      </c>
      <c r="I18" s="1342">
        <f>+I16+I17</f>
        <v>23208</v>
      </c>
      <c r="J18" s="1342">
        <v>0</v>
      </c>
      <c r="K18" s="1342">
        <v>0</v>
      </c>
      <c r="L18" s="1339">
        <f t="shared" si="0"/>
        <v>51993</v>
      </c>
      <c r="M18" s="1342"/>
    </row>
    <row r="19" spans="2:14" ht="20.100000000000001" customHeight="1" x14ac:dyDescent="0.2">
      <c r="B19" s="1336" t="s">
        <v>2121</v>
      </c>
      <c r="C19" s="1340">
        <v>84.367000000000004</v>
      </c>
      <c r="D19" s="1341" t="s">
        <v>2128</v>
      </c>
      <c r="E19" s="1342">
        <v>88481</v>
      </c>
      <c r="F19" s="1342">
        <v>42537</v>
      </c>
      <c r="G19" s="1342">
        <v>118090</v>
      </c>
      <c r="H19" s="1342">
        <v>0</v>
      </c>
      <c r="I19" s="1342">
        <v>12928</v>
      </c>
      <c r="J19" s="1342">
        <v>0</v>
      </c>
      <c r="K19" s="1342">
        <v>0</v>
      </c>
      <c r="L19" s="1339">
        <f t="shared" si="0"/>
        <v>131018</v>
      </c>
      <c r="M19" s="1342">
        <v>131178</v>
      </c>
    </row>
    <row r="20" spans="2:14" ht="20.100000000000001" customHeight="1" x14ac:dyDescent="0.2">
      <c r="B20" s="1336" t="s">
        <v>2121</v>
      </c>
      <c r="C20" s="1340">
        <v>84.367000000000004</v>
      </c>
      <c r="D20" s="1341" t="s">
        <v>2127</v>
      </c>
      <c r="E20" s="1342">
        <v>0</v>
      </c>
      <c r="F20" s="1342">
        <v>56522</v>
      </c>
      <c r="G20" s="1342">
        <v>0</v>
      </c>
      <c r="H20" s="1342">
        <v>0</v>
      </c>
      <c r="I20" s="1342">
        <v>77784</v>
      </c>
      <c r="J20" s="1342">
        <v>0</v>
      </c>
      <c r="K20" s="1342">
        <v>0</v>
      </c>
      <c r="L20" s="1339">
        <f t="shared" si="0"/>
        <v>77784</v>
      </c>
      <c r="M20" s="1342">
        <v>94150</v>
      </c>
    </row>
    <row r="21" spans="2:14" ht="20.100000000000001" customHeight="1" x14ac:dyDescent="0.2">
      <c r="B21" s="1336" t="s">
        <v>2122</v>
      </c>
      <c r="C21" s="1340"/>
      <c r="D21" s="1341"/>
      <c r="E21" s="1342">
        <f>+E19+E20</f>
        <v>88481</v>
      </c>
      <c r="F21" s="1342">
        <f t="shared" ref="F21:I21" si="2">+F19+F20</f>
        <v>99059</v>
      </c>
      <c r="G21" s="1342">
        <f t="shared" si="2"/>
        <v>118090</v>
      </c>
      <c r="H21" s="1342">
        <f t="shared" si="2"/>
        <v>0</v>
      </c>
      <c r="I21" s="1342">
        <f t="shared" si="2"/>
        <v>90712</v>
      </c>
      <c r="J21" s="1342">
        <v>0</v>
      </c>
      <c r="K21" s="1342">
        <v>0</v>
      </c>
      <c r="L21" s="1339">
        <f t="shared" si="0"/>
        <v>208802</v>
      </c>
      <c r="M21" s="1342"/>
    </row>
    <row r="22" spans="2:14" ht="20.100000000000001" customHeight="1" x14ac:dyDescent="0.2">
      <c r="B22" s="1336" t="s">
        <v>2123</v>
      </c>
      <c r="C22" s="1340">
        <v>84.027000000000001</v>
      </c>
      <c r="D22" s="1341" t="s">
        <v>2124</v>
      </c>
      <c r="E22" s="1342">
        <v>0</v>
      </c>
      <c r="F22" s="1342">
        <v>13613</v>
      </c>
      <c r="G22" s="1342">
        <v>0</v>
      </c>
      <c r="H22" s="1342">
        <v>0</v>
      </c>
      <c r="I22" s="1342">
        <v>13613</v>
      </c>
      <c r="J22" s="1342">
        <v>0</v>
      </c>
      <c r="K22" s="1342">
        <v>0</v>
      </c>
      <c r="L22" s="1339">
        <f t="shared" si="0"/>
        <v>13613</v>
      </c>
      <c r="M22" s="1342"/>
    </row>
    <row r="23" spans="2:14" ht="20.100000000000001" customHeight="1" x14ac:dyDescent="0.2">
      <c r="B23" s="1336" t="s">
        <v>2168</v>
      </c>
      <c r="C23" s="1340">
        <v>84.424000000000007</v>
      </c>
      <c r="D23" s="1341" t="s">
        <v>2169</v>
      </c>
      <c r="E23" s="1342">
        <v>0</v>
      </c>
      <c r="F23" s="1342">
        <v>7648</v>
      </c>
      <c r="G23" s="1342">
        <v>0</v>
      </c>
      <c r="H23" s="1342">
        <v>0</v>
      </c>
      <c r="I23" s="1342">
        <v>24302</v>
      </c>
      <c r="J23" s="1342">
        <v>0</v>
      </c>
      <c r="K23" s="1342">
        <v>0</v>
      </c>
      <c r="L23" s="1339">
        <f t="shared" si="0"/>
        <v>24302</v>
      </c>
      <c r="M23" s="1342">
        <v>24302</v>
      </c>
    </row>
    <row r="24" spans="2:14" ht="20.100000000000001" customHeight="1" x14ac:dyDescent="0.2">
      <c r="B24" s="1336" t="s">
        <v>2129</v>
      </c>
      <c r="C24" s="1340"/>
      <c r="D24" s="1341"/>
      <c r="E24" s="1342">
        <f>+E15+E18+E21+E22+E23</f>
        <v>856653</v>
      </c>
      <c r="F24" s="1342">
        <f t="shared" ref="F24:L24" si="3">+F15+F18+F21+F22+F23</f>
        <v>1087404</v>
      </c>
      <c r="G24" s="1342">
        <f t="shared" si="3"/>
        <v>1032297</v>
      </c>
      <c r="H24" s="1342">
        <f t="shared" si="3"/>
        <v>0</v>
      </c>
      <c r="I24" s="1342">
        <f>+I15+I18+I21+I22+I23</f>
        <v>1027965</v>
      </c>
      <c r="J24" s="1342">
        <f t="shared" si="3"/>
        <v>0</v>
      </c>
      <c r="K24" s="1342">
        <f t="shared" si="3"/>
        <v>0</v>
      </c>
      <c r="L24" s="1342">
        <f t="shared" si="3"/>
        <v>2060262</v>
      </c>
      <c r="M24" s="1342"/>
    </row>
    <row r="25" spans="2:14" ht="20.100000000000001" customHeight="1" x14ac:dyDescent="0.2">
      <c r="B25" s="1336"/>
      <c r="C25" s="1340"/>
      <c r="D25" s="1341"/>
      <c r="E25" s="1342"/>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1230</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3" t="s">
        <v>1731</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331</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1390</v>
      </c>
      <c r="B70" s="2096"/>
      <c r="C70" s="2096"/>
      <c r="D70" s="2096"/>
      <c r="E70" s="2097"/>
      <c r="F70" s="2097"/>
      <c r="G70" s="2097"/>
      <c r="H70" s="2097"/>
      <c r="I70" s="209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1387</v>
      </c>
      <c r="B83" s="2098"/>
      <c r="C83" s="2098"/>
      <c r="D83" s="209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2181</v>
      </c>
      <c r="D114" s="208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1397</v>
      </c>
      <c r="D117" s="2091"/>
      <c r="E117" s="2092"/>
      <c r="F117" s="2092"/>
      <c r="G117" s="2092"/>
      <c r="H117" s="2092"/>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2021</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15" sqref="M15"/>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5" t="str">
        <f>'Single Audit Cover'!A7</f>
        <v>Centralia City SD 135</v>
      </c>
      <c r="C1" s="2471"/>
      <c r="D1" s="2471"/>
      <c r="E1" s="2471"/>
      <c r="F1" s="2471"/>
      <c r="G1" s="2471"/>
      <c r="H1" s="2471"/>
      <c r="I1" s="2471"/>
      <c r="J1" s="2471"/>
      <c r="K1" s="2471"/>
      <c r="L1" s="2471"/>
      <c r="M1" s="2471"/>
    </row>
    <row r="2" spans="2:14" ht="15" x14ac:dyDescent="0.2">
      <c r="B2" s="2460">
        <f>'Single Audit Cover'!E7</f>
        <v>13058135002</v>
      </c>
      <c r="C2" s="2460"/>
      <c r="D2" s="2460"/>
      <c r="E2" s="2460"/>
      <c r="F2" s="2460"/>
      <c r="G2" s="2460"/>
      <c r="H2" s="2460"/>
      <c r="I2" s="2460"/>
      <c r="J2" s="2460"/>
      <c r="K2" s="2460"/>
      <c r="L2" s="2460"/>
      <c r="M2" s="2460"/>
      <c r="N2" s="1301"/>
    </row>
    <row r="3" spans="2:14" ht="15" x14ac:dyDescent="0.2">
      <c r="B3" s="2472" t="s">
        <v>1281</v>
      </c>
      <c r="C3" s="2472"/>
      <c r="D3" s="2472"/>
      <c r="E3" s="2472"/>
      <c r="F3" s="2472"/>
      <c r="G3" s="2472"/>
      <c r="H3" s="2472"/>
      <c r="I3" s="2472"/>
      <c r="J3" s="2472"/>
      <c r="K3" s="2472"/>
      <c r="L3" s="2472"/>
      <c r="M3" s="2472"/>
      <c r="N3" s="1301"/>
    </row>
    <row r="4" spans="2:14" ht="15" x14ac:dyDescent="0.2">
      <c r="B4" s="2473" t="str">
        <f>'Single Audit Cover'!A4</f>
        <v>Year Ending June 30, 2018</v>
      </c>
      <c r="C4" s="2473"/>
      <c r="D4" s="2473"/>
      <c r="E4" s="2473"/>
      <c r="F4" s="2473"/>
      <c r="G4" s="2473"/>
      <c r="H4" s="2473"/>
      <c r="I4" s="2473"/>
      <c r="J4" s="2473"/>
      <c r="K4" s="2473"/>
      <c r="L4" s="2473"/>
      <c r="M4" s="2473"/>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2114</v>
      </c>
      <c r="C11" s="1337"/>
      <c r="D11" s="1338"/>
      <c r="E11" s="1339"/>
      <c r="F11" s="1339"/>
      <c r="G11" s="1339"/>
      <c r="H11" s="1339"/>
      <c r="I11" s="1339"/>
      <c r="J11" s="1339"/>
      <c r="K11" s="1339"/>
      <c r="L11" s="1339">
        <f>+G11+I11+K11</f>
        <v>0</v>
      </c>
      <c r="M11" s="1339"/>
    </row>
    <row r="12" spans="2:14" ht="20.100000000000001" customHeight="1" x14ac:dyDescent="0.2">
      <c r="B12" s="1336" t="s">
        <v>2130</v>
      </c>
      <c r="C12" s="1340"/>
      <c r="D12" s="1341"/>
      <c r="E12" s="1342"/>
      <c r="F12" s="1342"/>
      <c r="G12" s="1342"/>
      <c r="H12" s="1342"/>
      <c r="I12" s="1342"/>
      <c r="J12" s="1342"/>
      <c r="K12" s="1342"/>
      <c r="L12" s="1339">
        <f t="shared" ref="L12:L27" si="0">+G12+I12+K12</f>
        <v>0</v>
      </c>
      <c r="M12" s="1342"/>
    </row>
    <row r="13" spans="2:14" ht="20.100000000000001" customHeight="1" x14ac:dyDescent="0.2">
      <c r="B13" s="1336" t="s">
        <v>2131</v>
      </c>
      <c r="C13" s="1340">
        <v>84.173000000000002</v>
      </c>
      <c r="D13" s="1341" t="s">
        <v>2135</v>
      </c>
      <c r="E13" s="1342">
        <v>13876</v>
      </c>
      <c r="F13" s="1342">
        <v>7511</v>
      </c>
      <c r="G13" s="1342">
        <v>18401</v>
      </c>
      <c r="H13" s="1342">
        <v>0</v>
      </c>
      <c r="I13" s="1342">
        <v>2986</v>
      </c>
      <c r="J13" s="1342">
        <v>0</v>
      </c>
      <c r="K13" s="1342">
        <v>0</v>
      </c>
      <c r="L13" s="1339">
        <f t="shared" si="0"/>
        <v>21387</v>
      </c>
      <c r="M13" s="1342">
        <v>21387</v>
      </c>
    </row>
    <row r="14" spans="2:14" ht="20.100000000000001" customHeight="1" x14ac:dyDescent="0.2">
      <c r="B14" s="1336" t="s">
        <v>2131</v>
      </c>
      <c r="C14" s="1340">
        <v>84.173000000000002</v>
      </c>
      <c r="D14" s="1341" t="s">
        <v>2136</v>
      </c>
      <c r="E14" s="1342">
        <v>0</v>
      </c>
      <c r="F14" s="1342">
        <v>12894</v>
      </c>
      <c r="G14" s="1342">
        <v>0</v>
      </c>
      <c r="H14" s="1342">
        <v>0</v>
      </c>
      <c r="I14" s="1342">
        <v>17397</v>
      </c>
      <c r="J14" s="1342">
        <v>0</v>
      </c>
      <c r="K14" s="1342">
        <v>0</v>
      </c>
      <c r="L14" s="1339">
        <f t="shared" si="0"/>
        <v>17397</v>
      </c>
      <c r="M14" s="1342">
        <v>20397</v>
      </c>
    </row>
    <row r="15" spans="2:14" ht="20.100000000000001" customHeight="1" x14ac:dyDescent="0.2">
      <c r="B15" s="1336" t="s">
        <v>2132</v>
      </c>
      <c r="C15" s="1340"/>
      <c r="D15" s="1341"/>
      <c r="E15" s="1342">
        <f>+E13+E14</f>
        <v>13876</v>
      </c>
      <c r="F15" s="1342">
        <f t="shared" ref="F15:K15" si="1">+F13+F14</f>
        <v>20405</v>
      </c>
      <c r="G15" s="1342">
        <f t="shared" si="1"/>
        <v>18401</v>
      </c>
      <c r="H15" s="1342">
        <f t="shared" si="1"/>
        <v>0</v>
      </c>
      <c r="I15" s="1342">
        <f t="shared" si="1"/>
        <v>20383</v>
      </c>
      <c r="J15" s="1342">
        <f t="shared" si="1"/>
        <v>0</v>
      </c>
      <c r="K15" s="1342">
        <f t="shared" si="1"/>
        <v>0</v>
      </c>
      <c r="L15" s="1339">
        <f t="shared" si="0"/>
        <v>38784</v>
      </c>
      <c r="M15" s="1342"/>
    </row>
    <row r="16" spans="2:14" ht="20.100000000000001" customHeight="1" x14ac:dyDescent="0.2">
      <c r="B16" s="1336" t="s">
        <v>2133</v>
      </c>
      <c r="C16" s="1340">
        <v>84.027000000000001</v>
      </c>
      <c r="D16" s="1341" t="s">
        <v>2137</v>
      </c>
      <c r="E16" s="1342">
        <v>63367</v>
      </c>
      <c r="F16" s="1342">
        <v>29002</v>
      </c>
      <c r="G16" s="1342">
        <v>80782</v>
      </c>
      <c r="H16" s="1342">
        <v>0</v>
      </c>
      <c r="I16" s="1342">
        <v>11587</v>
      </c>
      <c r="J16" s="1342">
        <v>0</v>
      </c>
      <c r="K16" s="1342">
        <v>0</v>
      </c>
      <c r="L16" s="1339">
        <f t="shared" si="0"/>
        <v>92369</v>
      </c>
      <c r="M16" s="1342">
        <v>92369</v>
      </c>
    </row>
    <row r="17" spans="2:14" ht="20.100000000000001" customHeight="1" x14ac:dyDescent="0.2">
      <c r="B17" s="1336" t="s">
        <v>2133</v>
      </c>
      <c r="C17" s="1340">
        <v>84.027000000000001</v>
      </c>
      <c r="D17" s="1341" t="s">
        <v>2138</v>
      </c>
      <c r="E17" s="1342">
        <v>0</v>
      </c>
      <c r="F17" s="1342">
        <v>57092</v>
      </c>
      <c r="G17" s="1342">
        <v>0</v>
      </c>
      <c r="H17" s="1342">
        <v>0</v>
      </c>
      <c r="I17" s="1342">
        <v>74581</v>
      </c>
      <c r="J17" s="1342">
        <v>0</v>
      </c>
      <c r="K17" s="1342">
        <v>0</v>
      </c>
      <c r="L17" s="1339">
        <f t="shared" si="0"/>
        <v>74581</v>
      </c>
      <c r="M17" s="1342">
        <v>86180</v>
      </c>
    </row>
    <row r="18" spans="2:14" ht="20.100000000000001" customHeight="1" x14ac:dyDescent="0.2">
      <c r="B18" s="1336" t="s">
        <v>2134</v>
      </c>
      <c r="C18" s="1340"/>
      <c r="D18" s="1341"/>
      <c r="E18" s="1342">
        <f>+E16+E17</f>
        <v>63367</v>
      </c>
      <c r="F18" s="1342">
        <f>+F16+F17</f>
        <v>86094</v>
      </c>
      <c r="G18" s="1342">
        <f>+G16+G17</f>
        <v>80782</v>
      </c>
      <c r="H18" s="1342">
        <v>0</v>
      </c>
      <c r="I18" s="1342">
        <f>+I16+I17</f>
        <v>86168</v>
      </c>
      <c r="J18" s="1342">
        <v>0</v>
      </c>
      <c r="K18" s="1342">
        <v>0</v>
      </c>
      <c r="L18" s="1339">
        <f t="shared" si="0"/>
        <v>166950</v>
      </c>
      <c r="M18" s="1342"/>
    </row>
    <row r="19" spans="2:14" ht="20.100000000000001" customHeight="1" x14ac:dyDescent="0.2">
      <c r="B19" s="1336"/>
      <c r="C19" s="1340"/>
      <c r="D19" s="1341"/>
      <c r="E19" s="1342"/>
      <c r="F19" s="1342"/>
      <c r="G19" s="1342"/>
      <c r="H19" s="1342"/>
      <c r="I19" s="1342"/>
      <c r="J19" s="1342"/>
      <c r="K19" s="1342"/>
      <c r="L19" s="1339"/>
      <c r="M19" s="1342"/>
    </row>
    <row r="20" spans="2:14" ht="20.100000000000001" customHeight="1" x14ac:dyDescent="0.2">
      <c r="B20" s="1336" t="s">
        <v>2139</v>
      </c>
      <c r="C20" s="1340"/>
      <c r="D20" s="1341"/>
      <c r="E20" s="1342">
        <f>+E15+E18</f>
        <v>77243</v>
      </c>
      <c r="F20" s="1342">
        <f t="shared" ref="F20:L20" si="2">+F15+F18</f>
        <v>106499</v>
      </c>
      <c r="G20" s="1342">
        <f t="shared" si="2"/>
        <v>99183</v>
      </c>
      <c r="H20" s="1342">
        <f t="shared" si="2"/>
        <v>0</v>
      </c>
      <c r="I20" s="1342">
        <f t="shared" si="2"/>
        <v>106551</v>
      </c>
      <c r="J20" s="1342">
        <f t="shared" si="2"/>
        <v>0</v>
      </c>
      <c r="K20" s="1342">
        <f t="shared" si="2"/>
        <v>0</v>
      </c>
      <c r="L20" s="1342">
        <f t="shared" si="2"/>
        <v>205734</v>
      </c>
      <c r="M20" s="1342"/>
    </row>
    <row r="21" spans="2:14" ht="20.100000000000001" customHeight="1" x14ac:dyDescent="0.2">
      <c r="B21" s="1336"/>
      <c r="C21" s="1340"/>
      <c r="D21" s="1341"/>
      <c r="E21" s="1342"/>
      <c r="F21" s="1342"/>
      <c r="G21" s="1342"/>
      <c r="H21" s="1342"/>
      <c r="I21" s="1342"/>
      <c r="J21" s="1342"/>
      <c r="K21" s="1342"/>
      <c r="L21" s="1339"/>
      <c r="M21" s="1342"/>
    </row>
    <row r="22" spans="2:14" ht="20.100000000000001" customHeight="1" x14ac:dyDescent="0.2">
      <c r="B22" s="1336"/>
      <c r="C22" s="1340"/>
      <c r="D22" s="1341"/>
      <c r="E22" s="1342"/>
      <c r="F22" s="1342"/>
      <c r="G22" s="1342"/>
      <c r="H22" s="1342"/>
      <c r="I22" s="1342"/>
      <c r="J22" s="1342"/>
      <c r="K22" s="1342"/>
      <c r="L22" s="1339"/>
      <c r="M22" s="1342"/>
    </row>
    <row r="23" spans="2:14" ht="20.100000000000001" customHeight="1" x14ac:dyDescent="0.2">
      <c r="B23" s="1336"/>
      <c r="C23" s="1340"/>
      <c r="D23" s="1341"/>
      <c r="E23" s="1342"/>
      <c r="F23" s="1342"/>
      <c r="G23" s="1342"/>
      <c r="H23" s="1342"/>
      <c r="I23" s="1342"/>
      <c r="J23" s="1342"/>
      <c r="K23" s="1342"/>
      <c r="L23" s="1339"/>
      <c r="M23" s="1342"/>
    </row>
    <row r="24" spans="2:14" ht="20.100000000000001" customHeight="1" x14ac:dyDescent="0.2">
      <c r="B24" s="1336" t="s">
        <v>2140</v>
      </c>
      <c r="C24" s="1340"/>
      <c r="D24" s="1341"/>
      <c r="E24" s="1342">
        <f>+E20+' SEFA'!E24</f>
        <v>933896</v>
      </c>
      <c r="F24" s="1342">
        <f>+F20+' SEFA'!F24</f>
        <v>1193903</v>
      </c>
      <c r="G24" s="1342">
        <f>+G20+' SEFA'!G24</f>
        <v>1131480</v>
      </c>
      <c r="H24" s="1342">
        <f>+H20+' SEFA'!H24</f>
        <v>0</v>
      </c>
      <c r="I24" s="1342">
        <f>+I20+' SEFA'!I24</f>
        <v>1134516</v>
      </c>
      <c r="J24" s="1342">
        <f>+J20+' SEFA'!J24</f>
        <v>0</v>
      </c>
      <c r="K24" s="1342">
        <f>+K20+' SEFA'!K24</f>
        <v>0</v>
      </c>
      <c r="L24" s="1342">
        <f>+L20+' SEFA'!L24</f>
        <v>2265996</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B16" sqref="B16"/>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5" t="str">
        <f>'Single Audit Cover'!A7</f>
        <v>Centralia City SD 135</v>
      </c>
      <c r="C1" s="2471"/>
      <c r="D1" s="2471"/>
      <c r="E1" s="2471"/>
      <c r="F1" s="2471"/>
      <c r="G1" s="2471"/>
      <c r="H1" s="2471"/>
      <c r="I1" s="2471"/>
      <c r="J1" s="2471"/>
      <c r="K1" s="2471"/>
      <c r="L1" s="2471"/>
      <c r="M1" s="2471"/>
    </row>
    <row r="2" spans="2:14" ht="15" x14ac:dyDescent="0.2">
      <c r="B2" s="2460">
        <f>'Single Audit Cover'!E7</f>
        <v>13058135002</v>
      </c>
      <c r="C2" s="2460"/>
      <c r="D2" s="2460"/>
      <c r="E2" s="2460"/>
      <c r="F2" s="2460"/>
      <c r="G2" s="2460"/>
      <c r="H2" s="2460"/>
      <c r="I2" s="2460"/>
      <c r="J2" s="2460"/>
      <c r="K2" s="2460"/>
      <c r="L2" s="2460"/>
      <c r="M2" s="2460"/>
      <c r="N2" s="1301"/>
    </row>
    <row r="3" spans="2:14" ht="15" x14ac:dyDescent="0.2">
      <c r="B3" s="2472" t="s">
        <v>1281</v>
      </c>
      <c r="C3" s="2472"/>
      <c r="D3" s="2472"/>
      <c r="E3" s="2472"/>
      <c r="F3" s="2472"/>
      <c r="G3" s="2472"/>
      <c r="H3" s="2472"/>
      <c r="I3" s="2472"/>
      <c r="J3" s="2472"/>
      <c r="K3" s="2472"/>
      <c r="L3" s="2472"/>
      <c r="M3" s="2472"/>
      <c r="N3" s="1301"/>
    </row>
    <row r="4" spans="2:14" ht="15" x14ac:dyDescent="0.2">
      <c r="B4" s="2473" t="str">
        <f>'Single Audit Cover'!A4</f>
        <v>Year Ending June 30, 2018</v>
      </c>
      <c r="C4" s="2473"/>
      <c r="D4" s="2473"/>
      <c r="E4" s="2473"/>
      <c r="F4" s="2473"/>
      <c r="G4" s="2473"/>
      <c r="H4" s="2473"/>
      <c r="I4" s="2473"/>
      <c r="J4" s="2473"/>
      <c r="K4" s="2473"/>
      <c r="L4" s="2473"/>
      <c r="M4" s="2473"/>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2182</v>
      </c>
      <c r="C11" s="1337"/>
      <c r="D11" s="1338"/>
      <c r="E11" s="1339"/>
      <c r="F11" s="1339"/>
      <c r="G11" s="1339"/>
      <c r="H11" s="1339"/>
      <c r="I11" s="1339"/>
      <c r="J11" s="1339"/>
      <c r="K11" s="1339"/>
      <c r="L11" s="1339">
        <f>+G11+I11+K11</f>
        <v>0</v>
      </c>
      <c r="M11" s="1339"/>
    </row>
    <row r="12" spans="2:14" ht="20.100000000000001" customHeight="1" x14ac:dyDescent="0.2">
      <c r="B12" s="1336" t="s">
        <v>2141</v>
      </c>
      <c r="C12" s="1340"/>
      <c r="D12" s="1341"/>
      <c r="E12" s="1342"/>
      <c r="F12" s="1342"/>
      <c r="G12" s="1342"/>
      <c r="H12" s="1342"/>
      <c r="I12" s="1342"/>
      <c r="J12" s="1342"/>
      <c r="K12" s="1342"/>
      <c r="L12" s="1339">
        <f t="shared" ref="L12:L27" si="0">+G12+I12+K12</f>
        <v>0</v>
      </c>
      <c r="M12" s="1342"/>
    </row>
    <row r="13" spans="2:14" ht="20.100000000000001" customHeight="1" x14ac:dyDescent="0.2">
      <c r="B13" s="1336" t="s">
        <v>2142</v>
      </c>
      <c r="C13" s="1340">
        <v>93.778000000000006</v>
      </c>
      <c r="D13" s="1341" t="s">
        <v>2143</v>
      </c>
      <c r="E13" s="1342">
        <v>30329</v>
      </c>
      <c r="F13" s="1342">
        <v>10079</v>
      </c>
      <c r="G13" s="1342">
        <v>30329</v>
      </c>
      <c r="H13" s="1342">
        <v>0</v>
      </c>
      <c r="I13" s="1342">
        <v>10079</v>
      </c>
      <c r="J13" s="1342">
        <v>0</v>
      </c>
      <c r="K13" s="1342">
        <v>0</v>
      </c>
      <c r="L13" s="1339">
        <f t="shared" si="0"/>
        <v>40408</v>
      </c>
      <c r="M13" s="1342"/>
    </row>
    <row r="14" spans="2:14" ht="20.100000000000001" customHeight="1" x14ac:dyDescent="0.2">
      <c r="B14" s="1336" t="s">
        <v>2142</v>
      </c>
      <c r="C14" s="1340">
        <v>93.778000000000006</v>
      </c>
      <c r="D14" s="1341" t="s">
        <v>2144</v>
      </c>
      <c r="E14" s="1342">
        <v>0</v>
      </c>
      <c r="F14" s="1342">
        <v>33154</v>
      </c>
      <c r="G14" s="1342">
        <v>0</v>
      </c>
      <c r="H14" s="1342">
        <v>0</v>
      </c>
      <c r="I14" s="1342">
        <v>33154</v>
      </c>
      <c r="J14" s="1342">
        <v>0</v>
      </c>
      <c r="K14" s="1342">
        <v>0</v>
      </c>
      <c r="L14" s="1339">
        <f t="shared" si="0"/>
        <v>33154</v>
      </c>
      <c r="M14" s="1342"/>
    </row>
    <row r="15" spans="2:14" ht="20.100000000000001" customHeight="1" x14ac:dyDescent="0.2">
      <c r="B15" s="1336" t="s">
        <v>2183</v>
      </c>
      <c r="C15" s="1340"/>
      <c r="D15" s="1341"/>
      <c r="E15" s="1342">
        <f>+E13+E14</f>
        <v>30329</v>
      </c>
      <c r="F15" s="1342">
        <f t="shared" ref="F15:K15" si="1">+F13+F14</f>
        <v>43233</v>
      </c>
      <c r="G15" s="1342">
        <f t="shared" si="1"/>
        <v>30329</v>
      </c>
      <c r="H15" s="1342">
        <f t="shared" si="1"/>
        <v>0</v>
      </c>
      <c r="I15" s="1342">
        <f t="shared" si="1"/>
        <v>43233</v>
      </c>
      <c r="J15" s="1342">
        <f t="shared" si="1"/>
        <v>0</v>
      </c>
      <c r="K15" s="1342">
        <f t="shared" si="1"/>
        <v>0</v>
      </c>
      <c r="L15" s="1339">
        <f t="shared" si="0"/>
        <v>73562</v>
      </c>
      <c r="M15" s="1342"/>
    </row>
    <row r="16" spans="2:14" ht="20.100000000000001" customHeight="1" x14ac:dyDescent="0.2">
      <c r="B16" s="1336" t="s">
        <v>2145</v>
      </c>
      <c r="C16" s="1340"/>
      <c r="D16" s="1341"/>
      <c r="E16" s="1342"/>
      <c r="F16" s="1342"/>
      <c r="G16" s="1342"/>
      <c r="H16" s="1342"/>
      <c r="I16" s="1342"/>
      <c r="J16" s="1342"/>
      <c r="K16" s="1342"/>
      <c r="L16" s="1339"/>
      <c r="M16" s="1342"/>
    </row>
    <row r="17" spans="2:14" ht="20.100000000000001" customHeight="1" x14ac:dyDescent="0.2">
      <c r="B17" s="1336" t="s">
        <v>2146</v>
      </c>
      <c r="C17" s="1340"/>
      <c r="D17" s="1341"/>
      <c r="E17" s="1342"/>
      <c r="F17" s="1342"/>
      <c r="G17" s="1342"/>
      <c r="H17" s="1342"/>
      <c r="I17" s="1342"/>
      <c r="J17" s="1342"/>
      <c r="K17" s="1342"/>
      <c r="L17" s="1339"/>
      <c r="M17" s="1342"/>
    </row>
    <row r="18" spans="2:14" ht="20.100000000000001" customHeight="1" x14ac:dyDescent="0.2">
      <c r="B18" s="1336" t="s">
        <v>2151</v>
      </c>
      <c r="C18" s="1340">
        <v>10.555</v>
      </c>
      <c r="D18" s="1341" t="s">
        <v>2148</v>
      </c>
      <c r="E18" s="1342">
        <v>488553</v>
      </c>
      <c r="F18" s="1342">
        <v>108277</v>
      </c>
      <c r="G18" s="1342">
        <v>488553</v>
      </c>
      <c r="H18" s="1342">
        <v>0</v>
      </c>
      <c r="I18" s="1342">
        <v>108277</v>
      </c>
      <c r="J18" s="1342">
        <v>0</v>
      </c>
      <c r="K18" s="1342">
        <v>0</v>
      </c>
      <c r="L18" s="1339">
        <f t="shared" ref="L18:L26" si="2">+G18+I18+K18</f>
        <v>596830</v>
      </c>
      <c r="M18" s="1342"/>
    </row>
    <row r="19" spans="2:14" ht="20.100000000000001" customHeight="1" x14ac:dyDescent="0.2">
      <c r="B19" s="1336" t="s">
        <v>2151</v>
      </c>
      <c r="C19" s="1340">
        <v>10.555</v>
      </c>
      <c r="D19" s="1341" t="s">
        <v>2149</v>
      </c>
      <c r="E19" s="1342">
        <v>0</v>
      </c>
      <c r="F19" s="1342">
        <v>490226</v>
      </c>
      <c r="G19" s="1342">
        <v>0</v>
      </c>
      <c r="H19" s="1342">
        <v>0</v>
      </c>
      <c r="I19" s="1342">
        <v>490226</v>
      </c>
      <c r="J19" s="1342">
        <v>0</v>
      </c>
      <c r="K19" s="1342">
        <v>0</v>
      </c>
      <c r="L19" s="1339">
        <f t="shared" si="2"/>
        <v>490226</v>
      </c>
      <c r="M19" s="1342"/>
    </row>
    <row r="20" spans="2:14" ht="20.100000000000001" customHeight="1" x14ac:dyDescent="0.2">
      <c r="B20" s="1336" t="s">
        <v>2147</v>
      </c>
      <c r="C20" s="1340"/>
      <c r="D20" s="1341"/>
      <c r="E20" s="1342">
        <f>+E18+E19</f>
        <v>488553</v>
      </c>
      <c r="F20" s="1342">
        <f>+F18+F19</f>
        <v>598503</v>
      </c>
      <c r="G20" s="1342">
        <f>+G18+G19</f>
        <v>488553</v>
      </c>
      <c r="H20" s="1342">
        <v>0</v>
      </c>
      <c r="I20" s="1342">
        <f>+I18+I19</f>
        <v>598503</v>
      </c>
      <c r="J20" s="1342">
        <v>0</v>
      </c>
      <c r="K20" s="1342">
        <v>0</v>
      </c>
      <c r="L20" s="1339">
        <f t="shared" si="2"/>
        <v>1087056</v>
      </c>
      <c r="M20" s="1342"/>
    </row>
    <row r="21" spans="2:14" ht="20.100000000000001" customHeight="1" x14ac:dyDescent="0.2">
      <c r="B21" s="1336" t="s">
        <v>2150</v>
      </c>
      <c r="C21" s="1340">
        <v>10.553000000000001</v>
      </c>
      <c r="D21" s="1341" t="s">
        <v>2152</v>
      </c>
      <c r="E21" s="1342">
        <v>178690</v>
      </c>
      <c r="F21" s="1342">
        <v>36893</v>
      </c>
      <c r="G21" s="1342">
        <v>178690</v>
      </c>
      <c r="H21" s="1342">
        <v>0</v>
      </c>
      <c r="I21" s="1342">
        <v>36893</v>
      </c>
      <c r="J21" s="1342">
        <v>0</v>
      </c>
      <c r="K21" s="1342">
        <v>0</v>
      </c>
      <c r="L21" s="1339">
        <f t="shared" si="2"/>
        <v>215583</v>
      </c>
      <c r="M21" s="1342"/>
    </row>
    <row r="22" spans="2:14" ht="20.100000000000001" customHeight="1" x14ac:dyDescent="0.2">
      <c r="B22" s="1336" t="s">
        <v>2150</v>
      </c>
      <c r="C22" s="1340">
        <v>10.553000000000001</v>
      </c>
      <c r="D22" s="1341" t="s">
        <v>2153</v>
      </c>
      <c r="E22" s="1342">
        <v>0</v>
      </c>
      <c r="F22" s="1342">
        <v>182181</v>
      </c>
      <c r="G22" s="1342">
        <v>0</v>
      </c>
      <c r="H22" s="1342">
        <v>0</v>
      </c>
      <c r="I22" s="1342">
        <v>182181</v>
      </c>
      <c r="J22" s="1342">
        <v>0</v>
      </c>
      <c r="K22" s="1342">
        <v>0</v>
      </c>
      <c r="L22" s="1339">
        <f t="shared" si="2"/>
        <v>182181</v>
      </c>
      <c r="M22" s="1342"/>
    </row>
    <row r="23" spans="2:14" ht="20.100000000000001" customHeight="1" x14ac:dyDescent="0.2">
      <c r="B23" s="1336" t="s">
        <v>2154</v>
      </c>
      <c r="C23" s="1340"/>
      <c r="D23" s="1341"/>
      <c r="E23" s="1342">
        <f>+E21+E22</f>
        <v>178690</v>
      </c>
      <c r="F23" s="1342">
        <f t="shared" ref="F23" si="3">+F21+F22</f>
        <v>219074</v>
      </c>
      <c r="G23" s="1342">
        <f t="shared" ref="G23" si="4">+G21+G22</f>
        <v>178690</v>
      </c>
      <c r="H23" s="1342">
        <f t="shared" ref="H23" si="5">+H21+H22</f>
        <v>0</v>
      </c>
      <c r="I23" s="1342">
        <f t="shared" ref="I23" si="6">+I21+I22</f>
        <v>219074</v>
      </c>
      <c r="J23" s="1342">
        <v>0</v>
      </c>
      <c r="K23" s="1342">
        <v>0</v>
      </c>
      <c r="L23" s="1339">
        <f t="shared" si="2"/>
        <v>397764</v>
      </c>
      <c r="M23" s="1342"/>
    </row>
    <row r="24" spans="2:14" ht="20.100000000000001" customHeight="1" x14ac:dyDescent="0.2">
      <c r="B24" s="1336" t="s">
        <v>2155</v>
      </c>
      <c r="C24" s="1340">
        <v>10.555999999999999</v>
      </c>
      <c r="D24" s="1341" t="s">
        <v>2157</v>
      </c>
      <c r="E24" s="1342">
        <v>584</v>
      </c>
      <c r="F24" s="1342">
        <v>64</v>
      </c>
      <c r="G24" s="1342">
        <v>584</v>
      </c>
      <c r="H24" s="1342">
        <v>0</v>
      </c>
      <c r="I24" s="1342">
        <v>64</v>
      </c>
      <c r="J24" s="1342">
        <v>0</v>
      </c>
      <c r="K24" s="1342">
        <v>0</v>
      </c>
      <c r="L24" s="1339">
        <f t="shared" si="2"/>
        <v>648</v>
      </c>
      <c r="M24" s="1342"/>
    </row>
    <row r="25" spans="2:14" ht="20.100000000000001" customHeight="1" x14ac:dyDescent="0.2">
      <c r="B25" s="1336" t="s">
        <v>2155</v>
      </c>
      <c r="C25" s="1340">
        <v>10.555999999999999</v>
      </c>
      <c r="D25" s="1341" t="s">
        <v>2158</v>
      </c>
      <c r="E25" s="1342">
        <v>0</v>
      </c>
      <c r="F25" s="1342">
        <v>401</v>
      </c>
      <c r="G25" s="1342">
        <v>0</v>
      </c>
      <c r="H25" s="1342">
        <v>0</v>
      </c>
      <c r="I25" s="1342">
        <v>401</v>
      </c>
      <c r="J25" s="1342">
        <v>0</v>
      </c>
      <c r="K25" s="1342">
        <v>0</v>
      </c>
      <c r="L25" s="1339">
        <f t="shared" si="2"/>
        <v>401</v>
      </c>
      <c r="M25" s="1342"/>
    </row>
    <row r="26" spans="2:14" ht="20.100000000000001" customHeight="1" x14ac:dyDescent="0.2">
      <c r="B26" s="1336" t="s">
        <v>2156</v>
      </c>
      <c r="C26" s="1340"/>
      <c r="D26" s="1341"/>
      <c r="E26" s="1342">
        <f>+E24+E25</f>
        <v>584</v>
      </c>
      <c r="F26" s="1342">
        <f t="shared" ref="F26" si="7">+F24+F25</f>
        <v>465</v>
      </c>
      <c r="G26" s="1342">
        <f t="shared" ref="G26" si="8">+G24+G25</f>
        <v>584</v>
      </c>
      <c r="H26" s="1342">
        <f t="shared" ref="H26" si="9">+H24+H25</f>
        <v>0</v>
      </c>
      <c r="I26" s="1342">
        <f t="shared" ref="I26" si="10">+I24+I25</f>
        <v>465</v>
      </c>
      <c r="J26" s="1342">
        <v>0</v>
      </c>
      <c r="K26" s="1342">
        <v>0</v>
      </c>
      <c r="L26" s="1339">
        <f t="shared" si="2"/>
        <v>1049</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17" sqref="M1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5" t="str">
        <f>'Single Audit Cover'!A7</f>
        <v>Centralia City SD 135</v>
      </c>
      <c r="C1" s="2471"/>
      <c r="D1" s="2471"/>
      <c r="E1" s="2471"/>
      <c r="F1" s="2471"/>
      <c r="G1" s="2471"/>
      <c r="H1" s="2471"/>
      <c r="I1" s="2471"/>
      <c r="J1" s="2471"/>
      <c r="K1" s="2471"/>
      <c r="L1" s="2471"/>
      <c r="M1" s="2471"/>
    </row>
    <row r="2" spans="2:14" ht="15" x14ac:dyDescent="0.2">
      <c r="B2" s="2460">
        <f>'Single Audit Cover'!E7</f>
        <v>13058135002</v>
      </c>
      <c r="C2" s="2460"/>
      <c r="D2" s="2460"/>
      <c r="E2" s="2460"/>
      <c r="F2" s="2460"/>
      <c r="G2" s="2460"/>
      <c r="H2" s="2460"/>
      <c r="I2" s="2460"/>
      <c r="J2" s="2460"/>
      <c r="K2" s="2460"/>
      <c r="L2" s="2460"/>
      <c r="M2" s="2460"/>
      <c r="N2" s="1301"/>
    </row>
    <row r="3" spans="2:14" ht="15" x14ac:dyDescent="0.2">
      <c r="B3" s="2472" t="s">
        <v>1281</v>
      </c>
      <c r="C3" s="2472"/>
      <c r="D3" s="2472"/>
      <c r="E3" s="2472"/>
      <c r="F3" s="2472"/>
      <c r="G3" s="2472"/>
      <c r="H3" s="2472"/>
      <c r="I3" s="2472"/>
      <c r="J3" s="2472"/>
      <c r="K3" s="2472"/>
      <c r="L3" s="2472"/>
      <c r="M3" s="2472"/>
      <c r="N3" s="1301"/>
    </row>
    <row r="4" spans="2:14" ht="15" x14ac:dyDescent="0.2">
      <c r="B4" s="2473" t="str">
        <f>'Single Audit Cover'!A4</f>
        <v>Year Ending June 30, 2018</v>
      </c>
      <c r="C4" s="2473"/>
      <c r="D4" s="2473"/>
      <c r="E4" s="2473"/>
      <c r="F4" s="2473"/>
      <c r="G4" s="2473"/>
      <c r="H4" s="2473"/>
      <c r="I4" s="2473"/>
      <c r="J4" s="2473"/>
      <c r="K4" s="2473"/>
      <c r="L4" s="2473"/>
      <c r="M4" s="2473"/>
      <c r="N4" s="1301"/>
    </row>
    <row r="6" spans="2:14" x14ac:dyDescent="0.2">
      <c r="B6" s="1302"/>
      <c r="C6" s="1303"/>
      <c r="D6" s="1304" t="s">
        <v>1327</v>
      </c>
      <c r="E6" s="1305" t="s">
        <v>548</v>
      </c>
      <c r="F6" s="1306"/>
      <c r="G6" s="1307" t="s">
        <v>1836</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1837</v>
      </c>
      <c r="D9" s="1313" t="s">
        <v>1838</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t="s">
        <v>2159</v>
      </c>
      <c r="C11" s="1340">
        <v>10.582000000000001</v>
      </c>
      <c r="D11" s="1341" t="s">
        <v>2160</v>
      </c>
      <c r="E11" s="1342">
        <v>29453</v>
      </c>
      <c r="F11" s="1342">
        <v>0</v>
      </c>
      <c r="G11" s="1342">
        <v>29453</v>
      </c>
      <c r="H11" s="1342">
        <v>0</v>
      </c>
      <c r="I11" s="1342">
        <v>0</v>
      </c>
      <c r="J11" s="1342">
        <v>0</v>
      </c>
      <c r="K11" s="1342">
        <v>0</v>
      </c>
      <c r="L11" s="1339">
        <f t="shared" ref="L11:L16" si="0">+G11+I11+K11</f>
        <v>29453</v>
      </c>
      <c r="M11" s="1339"/>
    </row>
    <row r="12" spans="2:14" ht="20.100000000000001" customHeight="1" x14ac:dyDescent="0.2">
      <c r="B12" s="1336" t="s">
        <v>2159</v>
      </c>
      <c r="C12" s="1340">
        <v>10.582000000000001</v>
      </c>
      <c r="D12" s="1341" t="s">
        <v>2161</v>
      </c>
      <c r="E12" s="1342">
        <v>0</v>
      </c>
      <c r="F12" s="1342">
        <v>33625</v>
      </c>
      <c r="G12" s="1342">
        <v>0</v>
      </c>
      <c r="H12" s="1342">
        <v>0</v>
      </c>
      <c r="I12" s="1342">
        <v>33625</v>
      </c>
      <c r="J12" s="1342">
        <v>0</v>
      </c>
      <c r="K12" s="1342">
        <v>0</v>
      </c>
      <c r="L12" s="1339">
        <f t="shared" si="0"/>
        <v>33625</v>
      </c>
      <c r="M12" s="1342"/>
    </row>
    <row r="13" spans="2:14" ht="20.100000000000001" customHeight="1" x14ac:dyDescent="0.2">
      <c r="B13" s="1336" t="s">
        <v>2162</v>
      </c>
      <c r="C13" s="1340"/>
      <c r="D13" s="1341"/>
      <c r="E13" s="1342">
        <f>+E11+E12</f>
        <v>29453</v>
      </c>
      <c r="F13" s="1342">
        <f t="shared" ref="F13" si="1">+F11+F12</f>
        <v>33625</v>
      </c>
      <c r="G13" s="1342">
        <f t="shared" ref="G13" si="2">+G11+G12</f>
        <v>29453</v>
      </c>
      <c r="H13" s="1342">
        <f t="shared" ref="H13" si="3">+H11+H12</f>
        <v>0</v>
      </c>
      <c r="I13" s="1342">
        <f t="shared" ref="I13" si="4">+I11+I12</f>
        <v>33625</v>
      </c>
      <c r="J13" s="1342">
        <v>0</v>
      </c>
      <c r="K13" s="1342">
        <v>0</v>
      </c>
      <c r="L13" s="1339">
        <f t="shared" si="0"/>
        <v>63078</v>
      </c>
      <c r="M13" s="1342"/>
    </row>
    <row r="14" spans="2:14" ht="20.100000000000001" customHeight="1" x14ac:dyDescent="0.2">
      <c r="B14" s="1336" t="s">
        <v>2163</v>
      </c>
      <c r="C14" s="1340">
        <v>10.555</v>
      </c>
      <c r="D14" s="1341" t="s">
        <v>2167</v>
      </c>
      <c r="E14" s="1342">
        <v>0</v>
      </c>
      <c r="F14" s="1342">
        <v>56849</v>
      </c>
      <c r="G14" s="1342">
        <v>0</v>
      </c>
      <c r="H14" s="1342">
        <v>0</v>
      </c>
      <c r="I14" s="1342">
        <v>56849</v>
      </c>
      <c r="J14" s="1342">
        <v>0</v>
      </c>
      <c r="K14" s="1342">
        <v>0</v>
      </c>
      <c r="L14" s="1339">
        <f t="shared" si="0"/>
        <v>56849</v>
      </c>
      <c r="M14" s="1342"/>
    </row>
    <row r="15" spans="2:14" ht="20.100000000000001" customHeight="1" x14ac:dyDescent="0.2">
      <c r="B15" s="1336" t="s">
        <v>2164</v>
      </c>
      <c r="C15" s="1340">
        <v>10.555</v>
      </c>
      <c r="D15" s="1341" t="s">
        <v>2167</v>
      </c>
      <c r="E15" s="1342">
        <v>0</v>
      </c>
      <c r="F15" s="1342">
        <v>16275</v>
      </c>
      <c r="G15" s="1342">
        <v>0</v>
      </c>
      <c r="H15" s="1342">
        <v>0</v>
      </c>
      <c r="I15" s="1342">
        <v>16275</v>
      </c>
      <c r="J15" s="1342">
        <v>0</v>
      </c>
      <c r="K15" s="1342">
        <v>0</v>
      </c>
      <c r="L15" s="1339">
        <f t="shared" si="0"/>
        <v>16275</v>
      </c>
      <c r="M15" s="1342"/>
    </row>
    <row r="16" spans="2:14" ht="20.100000000000001" customHeight="1" x14ac:dyDescent="0.2">
      <c r="B16" s="1336" t="s">
        <v>2147</v>
      </c>
      <c r="C16" s="1340"/>
      <c r="D16" s="1341"/>
      <c r="E16" s="1342">
        <f>+E14+E15</f>
        <v>0</v>
      </c>
      <c r="F16" s="1342">
        <f t="shared" ref="F16" si="5">+F14+F15</f>
        <v>73124</v>
      </c>
      <c r="G16" s="1342">
        <f t="shared" ref="G16" si="6">+G14+G15</f>
        <v>0</v>
      </c>
      <c r="H16" s="1342">
        <f t="shared" ref="H16" si="7">+H14+H15</f>
        <v>0</v>
      </c>
      <c r="I16" s="1342">
        <f t="shared" ref="I16" si="8">+I14+I15</f>
        <v>73124</v>
      </c>
      <c r="J16" s="1342">
        <v>0</v>
      </c>
      <c r="K16" s="1342">
        <v>0</v>
      </c>
      <c r="L16" s="1339">
        <f t="shared" si="0"/>
        <v>73124</v>
      </c>
      <c r="M16" s="1342"/>
    </row>
    <row r="17" spans="2:14" ht="20.100000000000001" customHeight="1" x14ac:dyDescent="0.2">
      <c r="B17" s="1336"/>
      <c r="C17" s="1340"/>
      <c r="D17" s="1341"/>
      <c r="E17" s="1342"/>
      <c r="F17" s="1342"/>
      <c r="G17" s="1342"/>
      <c r="H17" s="1342"/>
      <c r="I17" s="1342"/>
      <c r="J17" s="1342"/>
      <c r="K17" s="1342"/>
      <c r="L17" s="1339"/>
      <c r="M17" s="1342"/>
    </row>
    <row r="18" spans="2:14" ht="20.100000000000001" customHeight="1" x14ac:dyDescent="0.2">
      <c r="B18" s="1336" t="s">
        <v>2165</v>
      </c>
      <c r="C18" s="1340"/>
      <c r="D18" s="1341"/>
      <c r="E18" s="1342">
        <f>+E16+E13+' SEFA (3)'!E26+' SEFA (3)'!E23+' SEFA (3)'!E20</f>
        <v>697280</v>
      </c>
      <c r="F18" s="1342">
        <f>+F16+F13+' SEFA (3)'!F26+' SEFA (3)'!F23+' SEFA (3)'!F20</f>
        <v>924791</v>
      </c>
      <c r="G18" s="1342">
        <f>+G16+G13+' SEFA (3)'!G26+' SEFA (3)'!G23+' SEFA (3)'!G20</f>
        <v>697280</v>
      </c>
      <c r="H18" s="1342">
        <f>+H16+H13+' SEFA (3)'!H26+' SEFA (3)'!H23+' SEFA (3)'!H20</f>
        <v>0</v>
      </c>
      <c r="I18" s="1342">
        <f>+I16+I13+' SEFA (3)'!I26+' SEFA (3)'!I23+' SEFA (3)'!I20</f>
        <v>924791</v>
      </c>
      <c r="J18" s="1342">
        <f>+J16+J13+' SEFA (3)'!J26+' SEFA (3)'!J23+' SEFA (3)'!J20</f>
        <v>0</v>
      </c>
      <c r="K18" s="1342">
        <f>+K16+K13+' SEFA (3)'!K26+' SEFA (3)'!K23+' SEFA (3)'!K20</f>
        <v>0</v>
      </c>
      <c r="L18" s="1342">
        <f>+L16+L13+' SEFA (3)'!L26+' SEFA (3)'!L23+' SEFA (3)'!L20</f>
        <v>1622071</v>
      </c>
      <c r="M18" s="1342"/>
    </row>
    <row r="19" spans="2:14" ht="20.100000000000001" customHeight="1" x14ac:dyDescent="0.2">
      <c r="B19" s="1336"/>
      <c r="C19" s="1340"/>
      <c r="D19" s="1341"/>
      <c r="E19" s="1342"/>
      <c r="F19" s="1342"/>
      <c r="G19" s="1342"/>
      <c r="H19" s="1342"/>
      <c r="I19" s="1342"/>
      <c r="J19" s="1342"/>
      <c r="K19" s="1342"/>
      <c r="L19" s="1339"/>
      <c r="M19" s="1342"/>
    </row>
    <row r="20" spans="2:14" ht="20.100000000000001" customHeight="1" x14ac:dyDescent="0.2">
      <c r="B20" s="1336" t="s">
        <v>2166</v>
      </c>
      <c r="C20" s="1340"/>
      <c r="D20" s="1341"/>
      <c r="E20" s="1342">
        <f>+E18+' SEFA (3)'!E15+' SEFA (2)'!E24</f>
        <v>1661505</v>
      </c>
      <c r="F20" s="1342">
        <f>+F18+' SEFA (3)'!F15+' SEFA (2)'!F24</f>
        <v>2161927</v>
      </c>
      <c r="G20" s="1342">
        <f>+G18+' SEFA (3)'!G15+' SEFA (2)'!G24</f>
        <v>1859089</v>
      </c>
      <c r="H20" s="1342">
        <f>+H18+' SEFA (3)'!H15+' SEFA (2)'!H24</f>
        <v>0</v>
      </c>
      <c r="I20" s="1342">
        <f>+I18+' SEFA (3)'!I15+' SEFA (2)'!I24</f>
        <v>2102540</v>
      </c>
      <c r="J20" s="1342">
        <f>+J18+' SEFA (3)'!J15+' SEFA (2)'!J24</f>
        <v>0</v>
      </c>
      <c r="K20" s="1342">
        <f>+K18+' SEFA (3)'!K15+' SEFA (2)'!K24</f>
        <v>0</v>
      </c>
      <c r="L20" s="1342">
        <f>+L18+' SEFA (3)'!L15+' SEFA (2)'!L24</f>
        <v>3961629</v>
      </c>
      <c r="M20" s="1342"/>
    </row>
    <row r="21" spans="2:14" ht="20.100000000000001" customHeight="1" x14ac:dyDescent="0.2">
      <c r="B21" s="1336"/>
      <c r="C21" s="1340"/>
      <c r="D21" s="1341"/>
      <c r="E21" s="1342"/>
      <c r="F21" s="1342"/>
      <c r="G21" s="1342"/>
      <c r="H21" s="1342"/>
      <c r="I21" s="1342"/>
      <c r="J21" s="1342"/>
      <c r="K21" s="1342"/>
      <c r="L21" s="1339"/>
      <c r="M21" s="1342"/>
    </row>
    <row r="22" spans="2:14" ht="20.100000000000001" customHeight="1" x14ac:dyDescent="0.2">
      <c r="B22" s="1336"/>
      <c r="C22" s="1340"/>
      <c r="D22" s="1341"/>
      <c r="E22" s="1342"/>
      <c r="F22" s="1342"/>
      <c r="G22" s="1342"/>
      <c r="H22" s="1342"/>
      <c r="I22" s="1342"/>
      <c r="J22" s="1342"/>
      <c r="K22" s="1342"/>
      <c r="L22" s="1339"/>
      <c r="M22" s="1342"/>
    </row>
    <row r="23" spans="2:14" ht="20.100000000000001" customHeight="1" x14ac:dyDescent="0.2">
      <c r="B23" s="1336"/>
      <c r="C23" s="1340"/>
      <c r="D23" s="1341"/>
      <c r="E23" s="1342"/>
      <c r="F23" s="1342"/>
      <c r="G23" s="1342"/>
      <c r="H23" s="1342"/>
      <c r="I23" s="1342"/>
      <c r="J23" s="1342"/>
      <c r="K23" s="1342"/>
      <c r="L23" s="1339"/>
      <c r="M23" s="1342"/>
    </row>
    <row r="24" spans="2:14" ht="20.100000000000001" customHeight="1" x14ac:dyDescent="0.2">
      <c r="B24" s="1336"/>
      <c r="C24" s="1340"/>
      <c r="D24" s="1341"/>
      <c r="E24" s="1342"/>
      <c r="F24" s="1342"/>
      <c r="G24" s="1342"/>
      <c r="H24" s="1342"/>
      <c r="I24" s="1342"/>
      <c r="J24" s="1342"/>
      <c r="K24" s="1342"/>
      <c r="L24" s="1339"/>
      <c r="M24" s="1342"/>
    </row>
    <row r="25" spans="2:14" ht="20.100000000000001" customHeight="1" x14ac:dyDescent="0.2">
      <c r="B25" s="1336"/>
      <c r="C25" s="1340"/>
      <c r="D25" s="1341"/>
      <c r="E25" s="1342"/>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0" zoomScale="110" zoomScaleNormal="110" workbookViewId="0">
      <selection activeCell="G65" sqref="G65"/>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Centralia City SD 135</v>
      </c>
      <c r="C1" s="2479"/>
      <c r="D1" s="2479"/>
      <c r="E1" s="2479"/>
      <c r="F1" s="2479"/>
      <c r="G1" s="2479"/>
      <c r="H1" s="2479"/>
      <c r="I1" s="2479"/>
      <c r="J1" s="1421"/>
    </row>
    <row r="2" spans="2:10" s="317" customFormat="1" ht="12.75" customHeight="1" x14ac:dyDescent="0.2">
      <c r="B2" s="2480">
        <f>'Single Audit Cover'!E7</f>
        <v>13058135002</v>
      </c>
      <c r="C2" s="2481"/>
      <c r="D2" s="2481"/>
      <c r="E2" s="2481"/>
      <c r="F2" s="2481"/>
      <c r="G2" s="2481"/>
      <c r="H2" s="2481"/>
      <c r="I2" s="2481"/>
      <c r="J2" s="1421"/>
    </row>
    <row r="3" spans="2:10" s="317" customFormat="1" ht="12.75" customHeight="1" x14ac:dyDescent="0.2">
      <c r="B3" s="2482" t="s">
        <v>1347</v>
      </c>
      <c r="C3" s="2483"/>
      <c r="D3" s="2483"/>
      <c r="E3" s="2483"/>
      <c r="F3" s="2483"/>
      <c r="G3" s="2483"/>
      <c r="H3" s="2483"/>
      <c r="I3" s="2483"/>
      <c r="J3" s="1422"/>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2" t="s">
        <v>1346</v>
      </c>
      <c r="C7" s="2483"/>
      <c r="D7" s="2483"/>
      <c r="E7" s="2483"/>
      <c r="F7" s="2483"/>
      <c r="G7" s="2483"/>
      <c r="H7" s="2483"/>
      <c r="I7" s="2483"/>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4" t="s">
        <v>2171</v>
      </c>
      <c r="D11" s="2484"/>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2087</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2087</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2087</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2087</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2087</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5"/>
      <c r="E29" s="2485"/>
      <c r="F29" s="2485"/>
      <c r="G29" s="2485"/>
      <c r="H29" s="2485"/>
      <c r="I29" s="2485"/>
    </row>
    <row r="30" spans="2:9" s="317" customFormat="1" x14ac:dyDescent="0.2">
      <c r="B30" s="1367"/>
      <c r="C30" s="322"/>
      <c r="D30" s="1432" t="s">
        <v>1850</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2087</v>
      </c>
      <c r="H33" s="1299" t="s">
        <v>101</v>
      </c>
    </row>
    <row r="35" spans="2:9" x14ac:dyDescent="0.2">
      <c r="B35" s="1440" t="s">
        <v>1851</v>
      </c>
      <c r="C35" s="1441"/>
      <c r="D35" s="1266"/>
    </row>
    <row r="36" spans="2:9" ht="6" customHeight="1" x14ac:dyDescent="0.2">
      <c r="B36" s="1440"/>
      <c r="C36" s="1441"/>
      <c r="D36" s="1266"/>
    </row>
    <row r="37" spans="2:9" ht="17.25" customHeight="1" x14ac:dyDescent="0.2">
      <c r="B37" s="1442" t="s">
        <v>1852</v>
      </c>
      <c r="C37" s="2486" t="s">
        <v>1853</v>
      </c>
      <c r="D37" s="2487"/>
      <c r="E37" s="2487"/>
      <c r="F37" s="2488"/>
      <c r="G37" s="2486" t="s">
        <v>1674</v>
      </c>
      <c r="H37" s="2487"/>
      <c r="I37" s="2488"/>
    </row>
    <row r="38" spans="2:9" ht="16.5" customHeight="1" x14ac:dyDescent="0.2">
      <c r="B38" s="1443">
        <f>+' SEFA'!C13</f>
        <v>84.01</v>
      </c>
      <c r="C38" s="2489" t="str">
        <f>+' SEFA'!B13</f>
        <v xml:space="preserve">    Title I - Low Income (m)</v>
      </c>
      <c r="D38" s="2475"/>
      <c r="E38" s="2475"/>
      <c r="F38" s="2476"/>
      <c r="G38" s="2490">
        <f>+' SEFA'!I15</f>
        <v>876130</v>
      </c>
      <c r="H38" s="2491"/>
      <c r="I38" s="2492"/>
    </row>
    <row r="39" spans="2:9" ht="16.5" customHeight="1" x14ac:dyDescent="0.2">
      <c r="B39" s="1443"/>
      <c r="C39" s="2474"/>
      <c r="D39" s="2475"/>
      <c r="E39" s="2475"/>
      <c r="F39" s="2476"/>
      <c r="G39" s="2477"/>
      <c r="H39" s="2477"/>
      <c r="I39" s="2477"/>
    </row>
    <row r="40" spans="2:9" ht="16.5" customHeight="1" x14ac:dyDescent="0.2">
      <c r="B40" s="1443"/>
      <c r="C40" s="2474"/>
      <c r="D40" s="2475"/>
      <c r="E40" s="2475"/>
      <c r="F40" s="2476"/>
      <c r="G40" s="2477"/>
      <c r="H40" s="2477"/>
      <c r="I40" s="2477"/>
    </row>
    <row r="41" spans="2:9" ht="16.5" customHeight="1" x14ac:dyDescent="0.2">
      <c r="B41" s="1443"/>
      <c r="C41" s="2474"/>
      <c r="D41" s="2475"/>
      <c r="E41" s="2475"/>
      <c r="F41" s="2476"/>
      <c r="G41" s="2477"/>
      <c r="H41" s="2477"/>
      <c r="I41" s="2477"/>
    </row>
    <row r="42" spans="2:9" ht="16.5" customHeight="1" x14ac:dyDescent="0.2">
      <c r="B42" s="1443"/>
      <c r="C42" s="2474"/>
      <c r="D42" s="2475"/>
      <c r="E42" s="2475"/>
      <c r="F42" s="2476"/>
      <c r="G42" s="2477"/>
      <c r="H42" s="2477"/>
      <c r="I42" s="2477"/>
    </row>
    <row r="43" spans="2:9" ht="16.5" customHeight="1" x14ac:dyDescent="0.2">
      <c r="B43" s="1443"/>
      <c r="C43" s="2493" t="s">
        <v>1675</v>
      </c>
      <c r="D43" s="2494"/>
      <c r="E43" s="2494"/>
      <c r="F43" s="2495"/>
      <c r="G43" s="2496">
        <f>SUM(G38:I42)</f>
        <v>876130</v>
      </c>
      <c r="H43" s="2496"/>
      <c r="I43" s="2496"/>
    </row>
    <row r="44" spans="2:9" ht="12.75" customHeight="1" x14ac:dyDescent="0.2"/>
    <row r="45" spans="2:9" ht="12.75" customHeight="1" x14ac:dyDescent="0.2">
      <c r="B45" s="1434" t="s">
        <v>1951</v>
      </c>
      <c r="D45" s="2497">
        <f>+' SEFA (4)'!I20</f>
        <v>2102540</v>
      </c>
      <c r="E45" s="2498"/>
    </row>
    <row r="46" spans="2:9" ht="5.25" customHeight="1" x14ac:dyDescent="0.2">
      <c r="B46" s="1444"/>
      <c r="D46" s="1445"/>
      <c r="E46" s="1446"/>
    </row>
    <row r="47" spans="2:9" ht="12.75" customHeight="1" x14ac:dyDescent="0.2">
      <c r="B47" s="1299" t="s">
        <v>1676</v>
      </c>
      <c r="C47" s="1299"/>
      <c r="D47" s="1447">
        <f>+G43/D45</f>
        <v>0.41670075242325949</v>
      </c>
      <c r="E47" s="1448"/>
      <c r="F47" s="1449"/>
      <c r="I47" s="1450"/>
    </row>
    <row r="48" spans="2:9" ht="9.9499999999999993" customHeight="1" x14ac:dyDescent="0.2"/>
    <row r="49" spans="1:9" x14ac:dyDescent="0.2">
      <c r="B49" s="1367" t="s">
        <v>1335</v>
      </c>
      <c r="C49" s="1281"/>
      <c r="D49" s="1281"/>
      <c r="E49" s="2499">
        <v>750000</v>
      </c>
      <c r="F49" s="2499"/>
      <c r="G49" s="2499"/>
      <c r="H49" s="322"/>
    </row>
    <row r="51" spans="1:9" ht="13.5" customHeight="1" x14ac:dyDescent="0.2">
      <c r="B51" s="1367" t="s">
        <v>1334</v>
      </c>
      <c r="C51" s="1281"/>
      <c r="E51" s="1437"/>
      <c r="F51" s="1299" t="s">
        <v>940</v>
      </c>
      <c r="G51" s="1437" t="s">
        <v>2087</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1854</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1855</v>
      </c>
      <c r="C58" s="1463"/>
      <c r="D58" s="1463"/>
    </row>
    <row r="59" spans="1:9" s="1460" customFormat="1" ht="3.95" customHeight="1" x14ac:dyDescent="0.2">
      <c r="A59" s="1457"/>
      <c r="B59" s="1462"/>
      <c r="C59" s="1463"/>
      <c r="D59" s="1463"/>
    </row>
    <row r="60" spans="1:9" s="1460" customFormat="1" ht="13.5" customHeight="1" x14ac:dyDescent="0.2">
      <c r="A60" s="1457"/>
      <c r="B60" s="1462" t="s">
        <v>1856</v>
      </c>
      <c r="C60" s="1463"/>
      <c r="D60" s="1463"/>
    </row>
    <row r="61" spans="1:9" s="1460" customFormat="1" ht="3.95" customHeight="1" x14ac:dyDescent="0.2">
      <c r="A61" s="1457"/>
      <c r="B61" s="1462"/>
      <c r="C61" s="1463"/>
      <c r="D61" s="1463"/>
    </row>
    <row r="62" spans="1:9" s="1460" customFormat="1" ht="12.75" customHeight="1" x14ac:dyDescent="0.2">
      <c r="A62" s="1457"/>
      <c r="B62" s="1462" t="s">
        <v>1857</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Centralia City SD 135</v>
      </c>
      <c r="C1" s="2478"/>
      <c r="D1" s="2478"/>
      <c r="E1" s="2478"/>
      <c r="F1" s="2478"/>
      <c r="G1" s="2478"/>
      <c r="H1" s="2478"/>
      <c r="I1" s="2478"/>
      <c r="J1" s="2478"/>
      <c r="K1" s="2478"/>
      <c r="L1" s="1373"/>
      <c r="M1" s="1373"/>
    </row>
    <row r="2" spans="1:13" ht="12" customHeight="1" x14ac:dyDescent="0.2">
      <c r="B2" s="2480">
        <f>'Single Audit Cover'!E7</f>
        <v>13058135002</v>
      </c>
      <c r="C2" s="2480"/>
      <c r="D2" s="2480"/>
      <c r="E2" s="2480"/>
      <c r="F2" s="2480"/>
      <c r="G2" s="2480"/>
      <c r="H2" s="2480"/>
      <c r="I2" s="2480"/>
      <c r="J2" s="2480"/>
      <c r="K2" s="2480"/>
      <c r="L2" s="1374"/>
      <c r="M2" s="1375"/>
    </row>
    <row r="3" spans="1:13" ht="10.35" customHeight="1" x14ac:dyDescent="0.2">
      <c r="B3" s="2502" t="s">
        <v>1347</v>
      </c>
      <c r="C3" s="2502"/>
      <c r="D3" s="2502"/>
      <c r="E3" s="2502"/>
      <c r="F3" s="2502"/>
      <c r="G3" s="2502"/>
      <c r="H3" s="2502"/>
      <c r="I3" s="2502"/>
      <c r="J3" s="2502"/>
      <c r="K3" s="2502"/>
      <c r="L3" s="1376"/>
      <c r="M3" s="1376"/>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3" t="s">
        <v>1363</v>
      </c>
      <c r="C7" s="2503"/>
      <c r="D7" s="2504"/>
      <c r="E7" s="2504"/>
      <c r="F7" s="2504"/>
      <c r="G7" s="2504"/>
      <c r="H7" s="2504"/>
      <c r="I7" s="2504"/>
      <c r="J7" s="2504"/>
      <c r="K7" s="250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1952</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1" t="s">
        <v>2172</v>
      </c>
      <c r="C14" s="2501"/>
      <c r="D14" s="2501"/>
      <c r="E14" s="2501"/>
      <c r="F14" s="2501"/>
      <c r="G14" s="2501"/>
      <c r="H14" s="2501"/>
      <c r="I14" s="2501"/>
      <c r="J14" s="2501"/>
      <c r="K14" s="250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1"/>
      <c r="C17" s="2501"/>
      <c r="D17" s="2501"/>
      <c r="E17" s="2501"/>
      <c r="F17" s="2501"/>
      <c r="G17" s="2501"/>
      <c r="H17" s="2501"/>
      <c r="I17" s="2501"/>
      <c r="J17" s="2501"/>
      <c r="K17" s="2501"/>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505"/>
      <c r="C20" s="2505"/>
      <c r="D20" s="2501"/>
      <c r="E20" s="2501"/>
      <c r="F20" s="2501"/>
      <c r="G20" s="2501"/>
      <c r="H20" s="2501"/>
      <c r="I20" s="2501"/>
      <c r="J20" s="2501"/>
      <c r="K20" s="2501"/>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1"/>
      <c r="C23" s="2501"/>
      <c r="D23" s="2501"/>
      <c r="E23" s="2501"/>
      <c r="F23" s="2501"/>
      <c r="G23" s="2501"/>
      <c r="H23" s="2501"/>
      <c r="I23" s="2501"/>
      <c r="J23" s="2501"/>
      <c r="K23" s="2501"/>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1"/>
      <c r="C26" s="2501"/>
      <c r="D26" s="2501"/>
      <c r="E26" s="2501"/>
      <c r="F26" s="2501"/>
      <c r="G26" s="2501"/>
      <c r="H26" s="2501"/>
      <c r="I26" s="2501"/>
      <c r="J26" s="2501"/>
      <c r="K26" s="2501"/>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0"/>
      <c r="C29" s="2500"/>
      <c r="D29" s="2501"/>
      <c r="E29" s="2501"/>
      <c r="F29" s="2501"/>
      <c r="G29" s="2501"/>
      <c r="H29" s="2501"/>
      <c r="I29" s="2501"/>
      <c r="J29" s="2501"/>
      <c r="K29" s="250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500"/>
      <c r="C32" s="2500"/>
      <c r="D32" s="2501"/>
      <c r="E32" s="2501"/>
      <c r="F32" s="2501"/>
      <c r="G32" s="2501"/>
      <c r="H32" s="2501"/>
      <c r="I32" s="2501"/>
      <c r="J32" s="2501"/>
      <c r="K32" s="250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1848</v>
      </c>
      <c r="C38" s="1419"/>
    </row>
    <row r="39" spans="1:13" ht="9.6" customHeight="1" x14ac:dyDescent="0.2">
      <c r="B39" s="1299" t="s">
        <v>1348</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Centralia City SD 135</v>
      </c>
      <c r="C1" s="2506"/>
      <c r="D1" s="2506"/>
      <c r="E1" s="2506"/>
      <c r="F1" s="2506"/>
      <c r="G1" s="2506"/>
      <c r="H1" s="2506"/>
      <c r="I1" s="2506"/>
      <c r="J1" s="2506"/>
      <c r="K1" s="2506"/>
      <c r="L1" s="1464"/>
    </row>
    <row r="2" spans="1:12" ht="12.75" customHeight="1" x14ac:dyDescent="0.2">
      <c r="B2" s="2507">
        <f>'Single Audit Cover'!E7</f>
        <v>13058135002</v>
      </c>
      <c r="C2" s="2507"/>
      <c r="D2" s="2507"/>
      <c r="E2" s="2507"/>
      <c r="F2" s="2507"/>
      <c r="G2" s="2507"/>
      <c r="H2" s="2507"/>
      <c r="I2" s="2507"/>
      <c r="J2" s="2507"/>
      <c r="K2" s="2507"/>
      <c r="L2" s="1465"/>
    </row>
    <row r="3" spans="1:12" ht="12.75" customHeight="1" x14ac:dyDescent="0.2">
      <c r="B3" s="2502" t="s">
        <v>1347</v>
      </c>
      <c r="C3" s="2502"/>
      <c r="D3" s="2502"/>
      <c r="E3" s="2502"/>
      <c r="F3" s="2502"/>
      <c r="G3" s="2502"/>
      <c r="H3" s="2502"/>
      <c r="I3" s="2502"/>
      <c r="J3" s="2502"/>
      <c r="K3" s="2502"/>
      <c r="L3" s="1376"/>
    </row>
    <row r="4" spans="1:12" ht="12.75" customHeight="1" x14ac:dyDescent="0.2">
      <c r="B4" s="2502" t="str">
        <f>'Single Audit Cover'!A4</f>
        <v>Year Ending June 30, 2018</v>
      </c>
      <c r="C4" s="2502"/>
      <c r="D4" s="2502"/>
      <c r="E4" s="2502"/>
      <c r="F4" s="2502"/>
      <c r="G4" s="2502"/>
      <c r="H4" s="2502"/>
      <c r="I4" s="2502"/>
      <c r="J4" s="2502"/>
      <c r="K4" s="2502"/>
      <c r="L4" s="1376"/>
    </row>
    <row r="5" spans="1:12" ht="5.25" customHeight="1" x14ac:dyDescent="0.2">
      <c r="B5" s="1259" t="s">
        <v>1231</v>
      </c>
      <c r="C5" s="1259"/>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8"/>
      <c r="C7" s="1378"/>
      <c r="D7" s="1378"/>
      <c r="E7" s="1378"/>
      <c r="F7" s="1378"/>
      <c r="G7" s="1379"/>
      <c r="H7" s="1378"/>
      <c r="I7" s="1379"/>
      <c r="J7" s="1378"/>
      <c r="K7" s="1378"/>
      <c r="L7" s="322"/>
    </row>
    <row r="8" spans="1:12" ht="13.5" customHeight="1" x14ac:dyDescent="0.2">
      <c r="B8" s="1386" t="s">
        <v>1858</v>
      </c>
      <c r="C8" s="1466" t="s">
        <v>1952</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5"/>
      <c r="G12" s="2485"/>
      <c r="H12" s="2485"/>
      <c r="I12" s="2485"/>
      <c r="J12" s="2485"/>
      <c r="K12" s="2485"/>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9"/>
      <c r="E14" s="2509"/>
      <c r="F14" s="2509"/>
      <c r="H14" s="1474" t="s">
        <v>1370</v>
      </c>
      <c r="I14" s="2510"/>
      <c r="J14" s="2510"/>
      <c r="K14" s="2510"/>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0"/>
      <c r="E16" s="2510"/>
      <c r="F16" s="2510"/>
      <c r="G16" s="2510"/>
      <c r="H16" s="2510"/>
      <c r="I16" s="2510"/>
      <c r="J16" s="2510"/>
      <c r="K16" s="2510"/>
      <c r="L16" s="322"/>
    </row>
    <row r="17" spans="2:12" ht="13.5" customHeight="1" x14ac:dyDescent="0.2">
      <c r="B17" s="1386" t="s">
        <v>1368</v>
      </c>
      <c r="C17" s="1386"/>
      <c r="D17" s="2511"/>
      <c r="E17" s="2511"/>
      <c r="F17" s="2511"/>
      <c r="G17" s="2511"/>
      <c r="H17" s="2511"/>
      <c r="I17" s="2511"/>
      <c r="J17" s="2511"/>
      <c r="K17" s="2511"/>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1" t="s">
        <v>2172</v>
      </c>
      <c r="C20" s="2501"/>
      <c r="D20" s="2501"/>
      <c r="E20" s="2501"/>
      <c r="F20" s="2501"/>
      <c r="G20" s="2501"/>
      <c r="H20" s="2501"/>
      <c r="I20" s="2501"/>
      <c r="J20" s="2501"/>
      <c r="K20" s="2501"/>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2"/>
      <c r="E22" s="322"/>
      <c r="F22" s="322"/>
      <c r="G22" s="1382"/>
      <c r="H22" s="322"/>
      <c r="I22" s="1382"/>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1860</v>
      </c>
      <c r="C25" s="1476"/>
      <c r="D25" s="322"/>
      <c r="E25" s="322"/>
      <c r="F25" s="322"/>
      <c r="G25" s="1382"/>
      <c r="H25" s="322"/>
      <c r="I25" s="1382"/>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1861</v>
      </c>
      <c r="C28" s="1476"/>
      <c r="D28" s="322"/>
      <c r="E28" s="322"/>
      <c r="F28" s="322"/>
      <c r="G28" s="1382"/>
      <c r="H28" s="322"/>
      <c r="I28" s="1382"/>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1862</v>
      </c>
      <c r="C40" s="1402"/>
      <c r="D40" s="1377"/>
      <c r="E40" s="1378"/>
      <c r="F40" s="1378"/>
      <c r="G40" s="1379"/>
      <c r="H40" s="1378"/>
      <c r="I40" s="1379"/>
      <c r="J40" s="1378"/>
      <c r="K40" s="1378"/>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2"/>
      <c r="E48" s="322"/>
      <c r="F48" s="322"/>
    </row>
    <row r="49" spans="2:3" s="317" customFormat="1" ht="10.5" customHeight="1" x14ac:dyDescent="0.2">
      <c r="B49" s="1419" t="s">
        <v>1864</v>
      </c>
      <c r="C49" s="1419"/>
    </row>
    <row r="50" spans="2:3" s="317" customFormat="1" ht="11.1" customHeight="1" x14ac:dyDescent="0.2">
      <c r="B50" s="1419" t="s">
        <v>1865</v>
      </c>
      <c r="C50" s="1419"/>
    </row>
    <row r="51" spans="2:3" s="317" customFormat="1" ht="11.1" customHeight="1" x14ac:dyDescent="0.2">
      <c r="B51" s="1419" t="s">
        <v>1866</v>
      </c>
      <c r="C51" s="1419"/>
    </row>
    <row r="52" spans="2:3" s="317" customFormat="1" ht="11.1" customHeight="1" x14ac:dyDescent="0.2">
      <c r="B52" s="1419" t="s">
        <v>1867</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BreakPreview" zoomScale="6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8" t="str">
        <f>'Single Audit Cover'!A7</f>
        <v>Centralia City SD 135</v>
      </c>
      <c r="C1" s="2478"/>
      <c r="D1" s="2478"/>
      <c r="E1" s="1490"/>
    </row>
    <row r="2" spans="2:5" s="1281" customFormat="1" ht="12.75" customHeight="1" x14ac:dyDescent="0.2">
      <c r="B2" s="2480">
        <f>'Single Audit Cover'!E7</f>
        <v>13058135002</v>
      </c>
      <c r="C2" s="2480"/>
      <c r="D2" s="2480"/>
      <c r="E2" s="1491"/>
    </row>
    <row r="3" spans="2:5" ht="12.75" customHeight="1" x14ac:dyDescent="0.2">
      <c r="B3" s="2502" t="s">
        <v>1868</v>
      </c>
      <c r="C3" s="2502"/>
      <c r="D3" s="2502"/>
      <c r="E3" s="1273"/>
    </row>
    <row r="4" spans="2:5" s="1281" customFormat="1" ht="12.75" customHeight="1" x14ac:dyDescent="0.2">
      <c r="B4" s="2512" t="str">
        <f>'Single Audit Cover'!A4</f>
        <v>Year Ending June 30, 2018</v>
      </c>
      <c r="C4" s="2512"/>
      <c r="D4" s="2512"/>
      <c r="E4" s="1492"/>
    </row>
    <row r="5" spans="2:5" s="1281" customFormat="1" ht="40.15" customHeight="1" x14ac:dyDescent="0.2">
      <c r="B5" s="1493" t="s">
        <v>1869</v>
      </c>
      <c r="C5" s="328"/>
      <c r="D5" s="328"/>
      <c r="E5" s="328"/>
    </row>
    <row r="6" spans="2:5" s="1281" customFormat="1" ht="13.5" customHeight="1" x14ac:dyDescent="0.2">
      <c r="B6" s="1494" t="s">
        <v>1382</v>
      </c>
      <c r="C6" s="1494" t="s">
        <v>1381</v>
      </c>
      <c r="D6" s="1494" t="s">
        <v>1870</v>
      </c>
    </row>
    <row r="7" spans="2:5" ht="13.5" customHeight="1" x14ac:dyDescent="0.2">
      <c r="B7" s="1495" t="s">
        <v>2173</v>
      </c>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1871</v>
      </c>
    </row>
    <row r="46" spans="2:5" ht="12.2" customHeight="1" x14ac:dyDescent="0.2">
      <c r="B46" s="1504" t="s">
        <v>1872</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404</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120349280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1.6120200000000001E-2</v>
      </c>
      <c r="E10" s="356" t="s">
        <v>1062</v>
      </c>
      <c r="F10" s="355">
        <v>2.4876999999999998E-3</v>
      </c>
      <c r="G10" s="356" t="s">
        <v>1062</v>
      </c>
      <c r="H10" s="355">
        <v>1.1941E-3</v>
      </c>
      <c r="I10" s="356" t="s">
        <v>1063</v>
      </c>
      <c r="J10" s="1753">
        <f>ROUND(D10+F10+H10,5)</f>
        <v>1.9800000000000002E-2</v>
      </c>
      <c r="K10" s="222"/>
      <c r="L10" s="355">
        <v>4.975E-4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14341937</v>
      </c>
      <c r="E16" s="356"/>
      <c r="F16" s="1754">
        <f>SUM('Acct Summary 7-8'!C17,'Acct Summary 7-8'!D17,'Acct Summary 7-8'!F17)</f>
        <v>13749955</v>
      </c>
      <c r="G16" s="356"/>
      <c r="H16" s="1754">
        <f>SUM(D16-F16)</f>
        <v>591982</v>
      </c>
      <c r="I16" s="222"/>
      <c r="J16" s="1754">
        <f>SUM('Acct Summary 7-8'!C81,'Acct Summary 7-8'!D81,'Acct Summary 7-8'!F81,'Acct Summary 7-8'!I81)</f>
        <v>5227711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2087</v>
      </c>
      <c r="C31" s="367" t="s">
        <v>607</v>
      </c>
      <c r="D31" s="237" t="s">
        <v>1132</v>
      </c>
      <c r="E31" s="222"/>
      <c r="F31" s="222"/>
      <c r="G31" s="363"/>
      <c r="H31" s="1756">
        <f>IF(B31="X",(J7*0.069),IF(B32="X",(J7*0.138),"Enter x in a.or b."))</f>
        <v>8304100.3200000003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2120117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17" sqref="F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577</v>
      </c>
      <c r="B2" s="2128"/>
      <c r="C2" s="2128"/>
      <c r="D2" s="2128"/>
      <c r="E2" s="2128"/>
      <c r="F2" s="2128"/>
      <c r="G2" s="2128"/>
      <c r="H2" s="2128"/>
      <c r="I2" s="2128"/>
      <c r="J2" s="2128"/>
      <c r="K2" s="2128"/>
      <c r="L2" s="2128"/>
      <c r="M2" s="2128"/>
      <c r="N2" s="2128"/>
      <c r="O2" s="2128"/>
      <c r="P2" s="2128"/>
      <c r="Q2" s="2128"/>
      <c r="R2" s="2128"/>
    </row>
    <row r="3" spans="1:18" ht="12.75" x14ac:dyDescent="0.2">
      <c r="A3" s="2129" t="s">
        <v>1480</v>
      </c>
      <c r="B3" s="2129"/>
      <c r="C3" s="2129"/>
      <c r="D3" s="2129"/>
      <c r="E3" s="2129"/>
      <c r="F3" s="2129"/>
      <c r="G3" s="2129"/>
      <c r="H3" s="2129"/>
      <c r="I3" s="2129"/>
      <c r="J3" s="2129"/>
      <c r="K3" s="2129"/>
      <c r="L3" s="2129"/>
      <c r="M3" s="2129"/>
      <c r="N3" s="2129"/>
      <c r="O3" s="2129"/>
      <c r="P3" s="2129"/>
      <c r="Q3" s="2129"/>
      <c r="R3" s="2129"/>
    </row>
    <row r="4" spans="1:18" x14ac:dyDescent="0.2">
      <c r="A4" s="2130" t="s">
        <v>1635</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Centralia City SD 135</v>
      </c>
      <c r="E7" s="391"/>
      <c r="G7" s="252"/>
      <c r="H7" s="387"/>
      <c r="I7" s="387"/>
      <c r="J7" s="387"/>
      <c r="K7" s="387"/>
      <c r="L7" s="329"/>
      <c r="M7" s="329"/>
      <c r="N7" s="329"/>
      <c r="O7" s="329"/>
      <c r="P7" s="329"/>
    </row>
    <row r="8" spans="1:18" ht="12.75" x14ac:dyDescent="0.2">
      <c r="A8" s="329"/>
      <c r="B8" s="329"/>
      <c r="C8" s="389" t="s">
        <v>1187</v>
      </c>
      <c r="D8" s="392">
        <f>COVER!A13</f>
        <v>13058135002</v>
      </c>
      <c r="E8" s="393"/>
      <c r="G8" s="329"/>
      <c r="H8" s="329"/>
      <c r="I8" s="329"/>
      <c r="J8" s="329"/>
      <c r="K8" s="329"/>
      <c r="L8" s="329"/>
      <c r="M8" s="329"/>
      <c r="N8" s="329"/>
      <c r="O8" s="329"/>
      <c r="P8" s="329"/>
    </row>
    <row r="9" spans="1:18" ht="12.75" x14ac:dyDescent="0.2">
      <c r="A9" s="329"/>
      <c r="B9" s="329"/>
      <c r="C9" s="389" t="s">
        <v>737</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5227711</v>
      </c>
      <c r="I12" s="404"/>
      <c r="J12" s="404"/>
      <c r="K12" s="405">
        <f>TRUNC((H12/H13*100000),5)/100000</f>
        <v>0.36458858280000001</v>
      </c>
      <c r="L12" s="406"/>
      <c r="M12" s="360" t="s">
        <v>1206</v>
      </c>
      <c r="N12" s="360"/>
      <c r="O12" s="407">
        <v>0.35</v>
      </c>
      <c r="P12" s="218"/>
      <c r="Q12" s="218"/>
    </row>
    <row r="13" spans="1:18" s="408" customFormat="1" ht="12.75" x14ac:dyDescent="0.2">
      <c r="A13" s="218"/>
      <c r="B13" s="401"/>
      <c r="C13" s="2126" t="s">
        <v>1391</v>
      </c>
      <c r="D13" s="2127"/>
      <c r="E13" s="218"/>
      <c r="F13" s="409" t="s">
        <v>826</v>
      </c>
      <c r="G13" s="402"/>
      <c r="H13" s="403">
        <f>SUM('Acct Summary 7-8'!C8+'Acct Summary 7-8'!D8+'Acct Summary 7-8'!F8+'Acct Summary 7-8'!I8)+H14</f>
        <v>14338658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-3279</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13749955</v>
      </c>
      <c r="I17" s="404"/>
      <c r="J17" s="416"/>
      <c r="K17" s="405">
        <f>TRUNC((H17/H18*100000),5)/100000</f>
        <v>0.95894294980000006</v>
      </c>
      <c r="L17" s="406"/>
      <c r="M17" s="417" t="s">
        <v>1233</v>
      </c>
      <c r="O17" s="418" t="str">
        <f>IF(AND(O16="2", J20 &gt; 2),"1",IF(AND(O16 = "1", J20 &gt; 2),"2",IF(AND(O16="1", J20 &gt;1),"1","0")))</f>
        <v>0</v>
      </c>
      <c r="P17" s="218"/>
    </row>
    <row r="18" spans="1:18" s="408" customFormat="1" ht="11.25" x14ac:dyDescent="0.2">
      <c r="A18" s="218"/>
      <c r="B18" s="401"/>
      <c r="C18" s="2126" t="s">
        <v>1384</v>
      </c>
      <c r="D18" s="2127"/>
      <c r="E18" s="218"/>
      <c r="F18" s="419" t="s">
        <v>827</v>
      </c>
      <c r="G18" s="402"/>
      <c r="H18" s="403">
        <f>SUM('Acct Summary 7-8'!C8+'Acct Summary 7-8'!D8+'Acct Summary 7-8'!F8+'Acct Summary 7-8'!I8)+H19</f>
        <v>14338658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-3279</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3" t="s">
        <v>1479</v>
      </c>
      <c r="D24" s="2123"/>
      <c r="E24" s="218"/>
      <c r="F24" s="218" t="s">
        <v>465</v>
      </c>
      <c r="G24" s="402"/>
      <c r="H24" s="403">
        <f>SUM('Assets-Liab 5-6'!C4+'Assets-Liab 5-6'!D4+'Assets-Liab 5-6'!F4+'Assets-Liab 5-6'!I4+'Assets-Liab 5-6'!C5+'Assets-Liab 5-6'!D5+'Assets-Liab 5-6'!F5+'Assets-Liab 5-6'!I5)</f>
        <v>5227711</v>
      </c>
      <c r="I24" s="422"/>
      <c r="J24" s="422"/>
      <c r="K24" s="423">
        <f>TRUNC(((H24/H25*100000)/100000),2)</f>
        <v>136.87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38194.319439999999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2025478.3824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2120117</v>
      </c>
      <c r="I32" s="420"/>
      <c r="J32" s="420"/>
      <c r="K32" s="423">
        <f>TRUNC(100-((((H32/H33*100))*100)/100),2)</f>
        <v>74.459999999999994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8304100.3200000003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selection activeCell="R15" sqref="R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3" t="s">
        <v>1030</v>
      </c>
      <c r="B3" s="2134"/>
      <c r="C3" s="1580"/>
      <c r="D3" s="1581"/>
      <c r="E3" s="1581"/>
      <c r="F3" s="1581"/>
      <c r="G3" s="1581"/>
      <c r="H3" s="1581"/>
      <c r="I3" s="1581"/>
      <c r="J3" s="1581"/>
      <c r="K3" s="1581"/>
      <c r="L3" s="1581"/>
      <c r="M3" s="1582"/>
      <c r="N3" s="1583"/>
    </row>
    <row r="4" spans="1:14" ht="13.5" customHeight="1" x14ac:dyDescent="0.2">
      <c r="A4" s="463" t="s">
        <v>1750</v>
      </c>
      <c r="B4" s="464"/>
      <c r="C4" s="465">
        <v>4308023</v>
      </c>
      <c r="D4" s="466">
        <v>131637</v>
      </c>
      <c r="E4" s="466">
        <v>38177</v>
      </c>
      <c r="F4" s="466">
        <v>788051</v>
      </c>
      <c r="G4" s="466">
        <v>254875</v>
      </c>
      <c r="H4" s="466">
        <v>500000</v>
      </c>
      <c r="I4" s="466">
        <v>0</v>
      </c>
      <c r="J4" s="467">
        <v>265910</v>
      </c>
      <c r="K4" s="466">
        <v>0</v>
      </c>
      <c r="L4" s="466">
        <v>69633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4308023</v>
      </c>
      <c r="D13" s="1758">
        <f t="shared" ref="D13:L13" si="0">SUM(D4:D12)</f>
        <v>131637</v>
      </c>
      <c r="E13" s="1758">
        <f t="shared" si="0"/>
        <v>38177</v>
      </c>
      <c r="F13" s="1758">
        <f t="shared" si="0"/>
        <v>788051</v>
      </c>
      <c r="G13" s="1758">
        <f t="shared" si="0"/>
        <v>254875</v>
      </c>
      <c r="H13" s="1758">
        <f t="shared" si="0"/>
        <v>500000</v>
      </c>
      <c r="I13" s="1758">
        <f t="shared" si="0"/>
        <v>0</v>
      </c>
      <c r="J13" s="1758">
        <f t="shared" si="0"/>
        <v>265910</v>
      </c>
      <c r="K13" s="1758">
        <f t="shared" si="0"/>
        <v>0</v>
      </c>
      <c r="L13" s="1758">
        <f t="shared" si="0"/>
        <v>69633</v>
      </c>
      <c r="M13" s="468"/>
      <c r="N13" s="469"/>
    </row>
    <row r="14" spans="1:14" ht="18" customHeight="1" thickTop="1" x14ac:dyDescent="0.2">
      <c r="A14" s="2135" t="s">
        <v>149</v>
      </c>
      <c r="B14" s="2136"/>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26'!L5</f>
        <v>365455</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15454418</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285718</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2585771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+E4</f>
        <v>38177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2081940</v>
      </c>
    </row>
    <row r="23" spans="1:14" ht="13.5" customHeight="1" thickBot="1" x14ac:dyDescent="0.25">
      <c r="A23" s="1757" t="s">
        <v>664</v>
      </c>
      <c r="B23" s="1762"/>
      <c r="C23" s="468"/>
      <c r="D23" s="468"/>
      <c r="E23" s="468"/>
      <c r="F23" s="468"/>
      <c r="G23" s="468"/>
      <c r="H23" s="468"/>
      <c r="I23" s="468"/>
      <c r="J23" s="468"/>
      <c r="K23" s="468"/>
      <c r="L23" s="468"/>
      <c r="M23" s="1709">
        <f>SUM(M15:M22)</f>
        <v>18691362</v>
      </c>
      <c r="N23" s="1709">
        <f>SUM(N21:N22)</f>
        <v>2120117</v>
      </c>
    </row>
    <row r="24" spans="1:14" ht="18" customHeight="1" thickTop="1" x14ac:dyDescent="0.2">
      <c r="A24" s="2137" t="s">
        <v>619</v>
      </c>
      <c r="B24" s="2138"/>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f>+L4</f>
        <v>69633</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69633</v>
      </c>
      <c r="M34" s="468"/>
      <c r="N34" s="480"/>
    </row>
    <row r="35" spans="1:14" ht="18" customHeight="1" thickTop="1" x14ac:dyDescent="0.2">
      <c r="A35" s="2139" t="s">
        <v>550</v>
      </c>
      <c r="B35" s="2140"/>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2120117</v>
      </c>
    </row>
    <row r="37" spans="1:14" ht="13.5" thickBot="1" x14ac:dyDescent="0.25">
      <c r="A37" s="1757" t="s">
        <v>674</v>
      </c>
      <c r="B37" s="1762"/>
      <c r="C37" s="477"/>
      <c r="D37" s="477"/>
      <c r="E37" s="477"/>
      <c r="F37" s="477"/>
      <c r="G37" s="477"/>
      <c r="H37" s="477"/>
      <c r="I37" s="477"/>
      <c r="J37" s="477"/>
      <c r="K37" s="477"/>
      <c r="L37" s="480"/>
      <c r="M37" s="468"/>
      <c r="N37" s="1709">
        <f>SUM(N36:N36)</f>
        <v>2120117</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-C38+'Acct Summary 7-8'!C81</f>
        <v>4308023</v>
      </c>
      <c r="D39" s="466">
        <f>-D38+'Acct Summary 7-8'!D81</f>
        <v>131637</v>
      </c>
      <c r="E39" s="466">
        <f>-E38+'Acct Summary 7-8'!E81</f>
        <v>38177</v>
      </c>
      <c r="F39" s="466">
        <f>-F38+'Acct Summary 7-8'!F81</f>
        <v>788051</v>
      </c>
      <c r="G39" s="466">
        <f>-G38+'Acct Summary 7-8'!G81</f>
        <v>254875</v>
      </c>
      <c r="H39" s="466">
        <f>-H38+'Acct Summary 7-8'!H81</f>
        <v>500000</v>
      </c>
      <c r="I39" s="466">
        <f>-I38+'Acct Summary 7-8'!I81</f>
        <v>0</v>
      </c>
      <c r="J39" s="466">
        <f>-J38+'Acct Summary 7-8'!J81</f>
        <v>265910</v>
      </c>
      <c r="K39" s="466">
        <f>-K38+'Acct Summary 7-8'!K81</f>
        <v>0</v>
      </c>
      <c r="L39" s="466">
        <f>-L38+'Acct Summary 7-8'!L81</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18691362</v>
      </c>
      <c r="N40" s="497"/>
    </row>
    <row r="41" spans="1:14" ht="13.5" customHeight="1" thickBot="1" x14ac:dyDescent="0.25">
      <c r="A41" s="1757" t="s">
        <v>676</v>
      </c>
      <c r="B41" s="1727"/>
      <c r="C41" s="1709">
        <f>(SUM(C34,C37,C38,C39))</f>
        <v>4308023</v>
      </c>
      <c r="D41" s="1709">
        <f t="shared" ref="D41:L41" si="2">SUM(D34,D37,D38:D39)</f>
        <v>131637</v>
      </c>
      <c r="E41" s="1709">
        <f t="shared" si="2"/>
        <v>38177</v>
      </c>
      <c r="F41" s="1709">
        <f t="shared" si="2"/>
        <v>788051</v>
      </c>
      <c r="G41" s="1709">
        <f t="shared" si="2"/>
        <v>254875</v>
      </c>
      <c r="H41" s="1709">
        <f t="shared" si="2"/>
        <v>500000</v>
      </c>
      <c r="I41" s="1709">
        <f t="shared" si="2"/>
        <v>0</v>
      </c>
      <c r="J41" s="1709">
        <f t="shared" si="2"/>
        <v>265910</v>
      </c>
      <c r="K41" s="1709">
        <f t="shared" si="2"/>
        <v>0</v>
      </c>
      <c r="L41" s="1709">
        <f t="shared" si="2"/>
        <v>69633</v>
      </c>
      <c r="M41" s="1709">
        <f>SUM(M40)</f>
        <v>18691362</v>
      </c>
      <c r="N41" s="1709">
        <f>SUM(N37)</f>
        <v>2120117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showWhiteSpace="0" view="pageLayout" topLeftCell="A24" colorId="8" zoomScaleNormal="110" zoomScaleSheetLayoutView="100" workbookViewId="0">
      <selection activeCell="E37" sqref="E37:E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1" t="s">
        <v>1237</v>
      </c>
      <c r="B3" s="2162"/>
      <c r="C3" s="1594"/>
      <c r="D3" s="1595"/>
      <c r="E3" s="1595"/>
      <c r="F3" s="1595"/>
      <c r="G3" s="1595"/>
      <c r="H3" s="1595"/>
      <c r="I3" s="1595"/>
      <c r="J3" s="1595"/>
      <c r="K3" s="1596"/>
      <c r="L3" s="506"/>
    </row>
    <row r="4" spans="1:13" ht="15.75" customHeight="1" x14ac:dyDescent="0.2">
      <c r="A4" s="1953" t="s">
        <v>1579</v>
      </c>
      <c r="B4" s="1954">
        <v>1000</v>
      </c>
      <c r="C4" s="1763">
        <f>'Revenues 9-14'!C109</f>
        <v>2112674</v>
      </c>
      <c r="D4" s="1763">
        <f>'Revenues 9-14'!D109</f>
        <v>376806</v>
      </c>
      <c r="E4" s="1763">
        <f>'Revenues 9-14'!E109</f>
        <v>212233</v>
      </c>
      <c r="F4" s="1763">
        <f>'Revenues 9-14'!F109</f>
        <v>732054</v>
      </c>
      <c r="G4" s="1763">
        <f>'Revenues 9-14'!G109</f>
        <v>472905</v>
      </c>
      <c r="H4" s="1763">
        <f>'Revenues 9-14'!H109</f>
        <v>0</v>
      </c>
      <c r="I4" s="1763">
        <f>'Revenues 9-14'!I109</f>
        <v>58589</v>
      </c>
      <c r="J4" s="1763">
        <f>'Revenues 9-14'!J109</f>
        <v>265315</v>
      </c>
      <c r="K4" s="1763">
        <f>'Revenues 9-14'!K109</f>
        <v>0</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8190443</v>
      </c>
      <c r="D6" s="1764">
        <f>'Revenues 9-14'!D173</f>
        <v>0</v>
      </c>
      <c r="E6" s="1764">
        <f>'Revenues 9-14'!E173</f>
        <v>0</v>
      </c>
      <c r="F6" s="1764">
        <f>'Revenues 9-14'!F173</f>
        <v>489459</v>
      </c>
      <c r="G6" s="1764">
        <f>'Revenues 9-14'!G173</f>
        <v>0</v>
      </c>
      <c r="H6" s="1764">
        <f>'Revenues 9-14'!H173</f>
        <v>500000</v>
      </c>
      <c r="I6" s="1764">
        <f>'Revenues 9-14'!I173</f>
        <v>0</v>
      </c>
      <c r="J6" s="1764">
        <f>'Revenues 9-14'!J173</f>
        <v>0</v>
      </c>
      <c r="K6" s="1764">
        <f>'Revenues 9-14'!K173</f>
        <v>0</v>
      </c>
      <c r="L6" s="347"/>
      <c r="M6" s="513"/>
    </row>
    <row r="7" spans="1:13" ht="15.75" customHeight="1" x14ac:dyDescent="0.2">
      <c r="A7" s="1597" t="s">
        <v>1582</v>
      </c>
      <c r="B7" s="1599">
        <v>4000</v>
      </c>
      <c r="C7" s="1764">
        <f>'Revenues 9-14'!C274</f>
        <v>2335042</v>
      </c>
      <c r="D7" s="1764">
        <f>'Revenues 9-14'!D274</f>
        <v>0</v>
      </c>
      <c r="E7" s="1764">
        <f>'Revenues 9-14'!E274</f>
        <v>0</v>
      </c>
      <c r="F7" s="1764">
        <f>'Revenues 9-14'!F274</f>
        <v>46870</v>
      </c>
      <c r="G7" s="1764">
        <f>'Revenues 9-14'!G274</f>
        <v>69762</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12638159</v>
      </c>
      <c r="D8" s="1709">
        <f t="shared" ref="D8:K8" si="0">SUM(D4:D7)</f>
        <v>376806</v>
      </c>
      <c r="E8" s="1709">
        <f t="shared" si="0"/>
        <v>212233</v>
      </c>
      <c r="F8" s="1709">
        <f t="shared" si="0"/>
        <v>1268383</v>
      </c>
      <c r="G8" s="1709">
        <f t="shared" si="0"/>
        <v>542667</v>
      </c>
      <c r="H8" s="1709">
        <f t="shared" si="0"/>
        <v>500000</v>
      </c>
      <c r="I8" s="1709">
        <f t="shared" si="0"/>
        <v>58589</v>
      </c>
      <c r="J8" s="1709">
        <f t="shared" si="0"/>
        <v>265315</v>
      </c>
      <c r="K8" s="1709">
        <f t="shared" si="0"/>
        <v>0</v>
      </c>
      <c r="L8" s="347"/>
    </row>
    <row r="9" spans="1:13" ht="15.75" thickTop="1" x14ac:dyDescent="0.2">
      <c r="A9" s="514" t="s">
        <v>1752</v>
      </c>
      <c r="B9" s="515">
        <v>3998</v>
      </c>
      <c r="C9" s="481">
        <v>2545853</v>
      </c>
      <c r="D9" s="516"/>
      <c r="E9" s="481"/>
      <c r="F9" s="481"/>
      <c r="G9" s="517"/>
      <c r="H9" s="481"/>
      <c r="I9" s="509" t="s">
        <v>1231</v>
      </c>
      <c r="J9" s="478"/>
      <c r="K9" s="481"/>
      <c r="L9" s="347"/>
    </row>
    <row r="10" spans="1:13" s="519" customFormat="1" ht="13.5" thickBot="1" x14ac:dyDescent="0.25">
      <c r="A10" s="1757" t="s">
        <v>1235</v>
      </c>
      <c r="B10" s="1730"/>
      <c r="C10" s="1709">
        <f>SUM(C8:C9)</f>
        <v>15184012</v>
      </c>
      <c r="D10" s="1709">
        <f t="shared" ref="D10:K10" si="1">SUM(D8:D9)</f>
        <v>376806</v>
      </c>
      <c r="E10" s="1709">
        <f t="shared" si="1"/>
        <v>212233</v>
      </c>
      <c r="F10" s="1709">
        <f t="shared" si="1"/>
        <v>1268383</v>
      </c>
      <c r="G10" s="1709">
        <f t="shared" si="1"/>
        <v>542667</v>
      </c>
      <c r="H10" s="1709">
        <f t="shared" si="1"/>
        <v>500000</v>
      </c>
      <c r="I10" s="1709">
        <f t="shared" si="1"/>
        <v>58589</v>
      </c>
      <c r="J10" s="1709">
        <f t="shared" si="1"/>
        <v>265315</v>
      </c>
      <c r="K10" s="1709">
        <f t="shared" si="1"/>
        <v>0</v>
      </c>
      <c r="L10" s="518"/>
    </row>
    <row r="11" spans="1:13" s="519" customFormat="1" ht="16.7" customHeight="1" thickTop="1" x14ac:dyDescent="0.2">
      <c r="A11" s="2135" t="s">
        <v>1238</v>
      </c>
      <c r="B11" s="2136"/>
      <c r="C11" s="1591"/>
      <c r="D11" s="1592"/>
      <c r="E11" s="1592"/>
      <c r="F11" s="1592"/>
      <c r="G11" s="1592"/>
      <c r="H11" s="1592"/>
      <c r="I11" s="1592"/>
      <c r="J11" s="1592"/>
      <c r="K11" s="1593"/>
      <c r="L11" s="518"/>
    </row>
    <row r="12" spans="1:13" ht="15.75" customHeight="1" x14ac:dyDescent="0.2">
      <c r="A12" s="1597" t="s">
        <v>476</v>
      </c>
      <c r="B12" s="1599">
        <v>1000</v>
      </c>
      <c r="C12" s="1763">
        <f>'Expenditures 15-22'!K33</f>
        <v>7953921</v>
      </c>
      <c r="D12" s="520" t="s">
        <v>1231</v>
      </c>
      <c r="E12" s="468" t="s">
        <v>1231</v>
      </c>
      <c r="F12" s="468" t="s">
        <v>1231</v>
      </c>
      <c r="G12" s="1763">
        <f>'Expenditures 15-22'!K229</f>
        <v>202284</v>
      </c>
      <c r="H12" s="521"/>
      <c r="I12" s="468" t="s">
        <v>1231</v>
      </c>
      <c r="J12" s="468" t="s">
        <v>1231</v>
      </c>
      <c r="K12" s="521" t="s">
        <v>1231</v>
      </c>
      <c r="L12" s="347"/>
    </row>
    <row r="13" spans="1:13" ht="15.75" customHeight="1" x14ac:dyDescent="0.2">
      <c r="A13" s="1597" t="s">
        <v>477</v>
      </c>
      <c r="B13" s="1599">
        <v>2000</v>
      </c>
      <c r="C13" s="1764">
        <f>'Expenditures 15-22'!K74</f>
        <v>3443739</v>
      </c>
      <c r="D13" s="1764">
        <f>'Expenditures 15-22'!K129</f>
        <v>1028998</v>
      </c>
      <c r="E13" s="469" t="s">
        <v>1231</v>
      </c>
      <c r="F13" s="1764">
        <f>'Expenditures 15-22'!K184</f>
        <v>655467</v>
      </c>
      <c r="G13" s="1764">
        <f>'Expenditures 15-22'!K279</f>
        <v>281917</v>
      </c>
      <c r="H13" s="1764">
        <f>'Expenditures 15-22'!K303</f>
        <v>0</v>
      </c>
      <c r="I13" s="468" t="s">
        <v>1231</v>
      </c>
      <c r="J13" s="1764">
        <f>'Expenditures 15-22'!K330</f>
        <v>190016</v>
      </c>
      <c r="K13" s="1768">
        <f>'Expenditures 15-22'!K352</f>
        <v>0</v>
      </c>
      <c r="L13" s="347"/>
    </row>
    <row r="14" spans="1:13" ht="15.75" customHeight="1" x14ac:dyDescent="0.2">
      <c r="A14" s="1597" t="s">
        <v>469</v>
      </c>
      <c r="B14" s="1599">
        <v>3000</v>
      </c>
      <c r="C14" s="1764">
        <f>'Expenditures 15-22'!K75</f>
        <v>60817</v>
      </c>
      <c r="D14" s="1764">
        <f>'Expenditures 15-22'!K130</f>
        <v>0</v>
      </c>
      <c r="E14" s="520" t="s">
        <v>1231</v>
      </c>
      <c r="F14" s="1764">
        <f>'Expenditures 15-22'!K185</f>
        <v>0</v>
      </c>
      <c r="G14" s="1764">
        <f>'Expenditures 15-22'!K280</f>
        <v>8010</v>
      </c>
      <c r="H14" s="512"/>
      <c r="I14" s="468" t="s">
        <v>1231</v>
      </c>
      <c r="J14" s="468" t="s">
        <v>1231</v>
      </c>
      <c r="K14" s="512" t="s">
        <v>1231</v>
      </c>
      <c r="L14" s="347"/>
    </row>
    <row r="15" spans="1:13" ht="15.75" customHeight="1" x14ac:dyDescent="0.2">
      <c r="A15" s="1597" t="s">
        <v>109</v>
      </c>
      <c r="B15" s="1599">
        <v>4000</v>
      </c>
      <c r="C15" s="1764">
        <f>'Expenditures 15-22'!K102</f>
        <v>607013</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210684</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12065490</v>
      </c>
      <c r="D17" s="1709">
        <f t="shared" si="2"/>
        <v>1028998</v>
      </c>
      <c r="E17" s="1709">
        <f t="shared" si="2"/>
        <v>210684</v>
      </c>
      <c r="F17" s="1709">
        <f t="shared" si="2"/>
        <v>655467</v>
      </c>
      <c r="G17" s="1709">
        <f t="shared" si="2"/>
        <v>492211</v>
      </c>
      <c r="H17" s="1709">
        <f t="shared" si="2"/>
        <v>0</v>
      </c>
      <c r="I17" s="468"/>
      <c r="J17" s="1709">
        <f>SUM(J12:J16)</f>
        <v>190016</v>
      </c>
      <c r="K17" s="1709">
        <f>SUM(K12:K16)</f>
        <v>0</v>
      </c>
      <c r="L17" s="347"/>
    </row>
    <row r="18" spans="1:12" ht="15" customHeight="1" thickTop="1" x14ac:dyDescent="0.2">
      <c r="A18" s="1765" t="s">
        <v>1753</v>
      </c>
      <c r="B18" s="1766">
        <v>4180</v>
      </c>
      <c r="C18" s="1763">
        <f t="shared" ref="C18:H18" si="3">C9</f>
        <v>2545853</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14611343</v>
      </c>
      <c r="D19" s="1709">
        <f t="shared" si="4"/>
        <v>1028998</v>
      </c>
      <c r="E19" s="1709">
        <f t="shared" si="4"/>
        <v>210684</v>
      </c>
      <c r="F19" s="1709">
        <f t="shared" si="4"/>
        <v>655467</v>
      </c>
      <c r="G19" s="1709">
        <f t="shared" si="4"/>
        <v>492211</v>
      </c>
      <c r="H19" s="1709">
        <f t="shared" si="4"/>
        <v>0</v>
      </c>
      <c r="I19" s="468"/>
      <c r="J19" s="1709">
        <f>SUM(J17:J18)</f>
        <v>190016</v>
      </c>
      <c r="K19" s="1709">
        <f>SUM(K17:K18)</f>
        <v>0</v>
      </c>
      <c r="L19" s="347"/>
    </row>
    <row r="20" spans="1:12" ht="16.5" thickTop="1" thickBot="1" x14ac:dyDescent="0.25">
      <c r="A20" s="2151" t="s">
        <v>1754</v>
      </c>
      <c r="B20" s="2152"/>
      <c r="C20" s="1767">
        <f>C8-C17</f>
        <v>572669</v>
      </c>
      <c r="D20" s="1767">
        <f t="shared" ref="D20:K20" si="5">D8-D17</f>
        <v>-652192</v>
      </c>
      <c r="E20" s="1767">
        <f t="shared" si="5"/>
        <v>1549</v>
      </c>
      <c r="F20" s="1767">
        <f t="shared" si="5"/>
        <v>612916</v>
      </c>
      <c r="G20" s="1767">
        <f t="shared" si="5"/>
        <v>50456</v>
      </c>
      <c r="H20" s="1767">
        <f t="shared" si="5"/>
        <v>500000</v>
      </c>
      <c r="I20" s="1767">
        <f t="shared" si="5"/>
        <v>58589</v>
      </c>
      <c r="J20" s="1767">
        <f t="shared" si="5"/>
        <v>75299</v>
      </c>
      <c r="K20" s="1767">
        <f t="shared" si="5"/>
        <v>0</v>
      </c>
      <c r="L20" s="347"/>
    </row>
    <row r="21" spans="1:12" ht="16.7" customHeight="1" thickTop="1" x14ac:dyDescent="0.2">
      <c r="A21" s="2163" t="s">
        <v>616</v>
      </c>
      <c r="B21" s="2164"/>
      <c r="C21" s="1591"/>
      <c r="D21" s="1592"/>
      <c r="E21" s="1592"/>
      <c r="F21" s="1592"/>
      <c r="G21" s="1592"/>
      <c r="H21" s="1592"/>
      <c r="I21" s="1592"/>
      <c r="J21" s="1592"/>
      <c r="K21" s="1593"/>
      <c r="L21" s="524"/>
    </row>
    <row r="22" spans="1:12" ht="15.75" customHeight="1" collapsed="1" x14ac:dyDescent="0.2">
      <c r="A22" s="2159" t="s">
        <v>617</v>
      </c>
      <c r="B22" s="2160"/>
      <c r="C22" s="477"/>
      <c r="D22" s="477"/>
      <c r="E22" s="477"/>
      <c r="F22" s="477"/>
      <c r="G22" s="477"/>
      <c r="H22" s="477"/>
      <c r="I22" s="477"/>
      <c r="J22" s="477"/>
      <c r="K22" s="477"/>
      <c r="L22" s="347"/>
    </row>
    <row r="23" spans="1:12" s="485" customFormat="1" ht="15.75" customHeight="1" x14ac:dyDescent="0.2">
      <c r="A23" s="2155" t="s">
        <v>311</v>
      </c>
      <c r="B23" s="2156"/>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v>57246</v>
      </c>
      <c r="D25" s="467"/>
      <c r="E25" s="467"/>
      <c r="F25" s="467"/>
      <c r="G25" s="467"/>
      <c r="H25" s="467"/>
      <c r="I25" s="477"/>
      <c r="J25" s="467"/>
      <c r="K25" s="467"/>
      <c r="L25" s="524"/>
    </row>
    <row r="26" spans="1:12" s="485" customFormat="1" ht="13.5" customHeight="1" x14ac:dyDescent="0.2">
      <c r="A26" s="1510" t="s">
        <v>193</v>
      </c>
      <c r="B26" s="483">
        <v>7120</v>
      </c>
      <c r="C26" s="467">
        <v>1343</v>
      </c>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v>4865</v>
      </c>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1896</v>
      </c>
      <c r="B30" s="527">
        <v>7160</v>
      </c>
      <c r="C30" s="477"/>
      <c r="D30" s="467"/>
      <c r="E30" s="477"/>
      <c r="F30" s="477"/>
      <c r="G30" s="477"/>
      <c r="H30" s="477"/>
      <c r="I30" s="477"/>
      <c r="J30" s="477"/>
      <c r="K30" s="477"/>
      <c r="L30" s="524"/>
    </row>
    <row r="31" spans="1:12" s="485" customFormat="1" ht="26.25" x14ac:dyDescent="0.2">
      <c r="A31" s="1510" t="s">
        <v>1900</v>
      </c>
      <c r="B31" s="527">
        <v>7170</v>
      </c>
      <c r="C31" s="477"/>
      <c r="D31" s="477"/>
      <c r="E31" s="474"/>
      <c r="F31" s="477"/>
      <c r="G31" s="477"/>
      <c r="H31" s="477"/>
      <c r="I31" s="477"/>
      <c r="J31" s="477"/>
      <c r="K31" s="477"/>
      <c r="L31" s="524"/>
    </row>
    <row r="32" spans="1:12" s="485" customFormat="1" ht="15.75" customHeight="1" x14ac:dyDescent="0.2">
      <c r="A32" s="2157" t="s">
        <v>1038</v>
      </c>
      <c r="B32" s="2158"/>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2405</v>
      </c>
      <c r="F37" s="475"/>
      <c r="G37" s="475"/>
      <c r="H37" s="475"/>
      <c r="I37" s="477"/>
      <c r="J37" s="475"/>
      <c r="K37" s="475"/>
      <c r="L37" s="524"/>
    </row>
    <row r="38" spans="1:12" s="485" customFormat="1" x14ac:dyDescent="0.2">
      <c r="A38" s="1510" t="s">
        <v>462</v>
      </c>
      <c r="B38" s="525">
        <v>7500</v>
      </c>
      <c r="C38" s="477"/>
      <c r="D38" s="477"/>
      <c r="E38" s="1764">
        <f>SUM(C58:D61,H58:H61)</f>
        <v>874</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v>167522</v>
      </c>
      <c r="E43" s="467"/>
      <c r="F43" s="467"/>
      <c r="G43" s="467"/>
      <c r="H43" s="467"/>
      <c r="I43" s="467"/>
      <c r="J43" s="467"/>
      <c r="K43" s="467"/>
      <c r="L43" s="524"/>
    </row>
    <row r="44" spans="1:12" s="485" customFormat="1" ht="13.5" customHeight="1" thickBot="1" x14ac:dyDescent="0.25">
      <c r="A44" s="2165" t="s">
        <v>392</v>
      </c>
      <c r="B44" s="2166"/>
      <c r="C44" s="1724">
        <f>SUM(C24:C43)</f>
        <v>63454</v>
      </c>
      <c r="D44" s="1724">
        <f t="shared" ref="D44:K44" si="6">SUM(D24:D43)</f>
        <v>167522</v>
      </c>
      <c r="E44" s="1724">
        <f t="shared" si="6"/>
        <v>3279</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9" t="s">
        <v>110</v>
      </c>
      <c r="B45" s="2160"/>
      <c r="C45" s="528"/>
      <c r="D45" s="528"/>
      <c r="E45" s="528"/>
      <c r="F45" s="528"/>
      <c r="G45" s="528"/>
      <c r="H45" s="528"/>
      <c r="I45" s="528"/>
      <c r="J45" s="528"/>
      <c r="K45" s="528"/>
      <c r="L45" s="347"/>
    </row>
    <row r="46" spans="1:12" s="485" customFormat="1" ht="15.75" customHeight="1" x14ac:dyDescent="0.2">
      <c r="A46" s="2167" t="s">
        <v>111</v>
      </c>
      <c r="B46" s="2168"/>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57246</v>
      </c>
      <c r="J47" s="477"/>
      <c r="K47" s="477"/>
      <c r="L47" s="529"/>
    </row>
    <row r="48" spans="1:12" s="485" customFormat="1" ht="15" x14ac:dyDescent="0.2">
      <c r="A48" s="1511" t="s">
        <v>1759</v>
      </c>
      <c r="B48" s="483">
        <v>8120</v>
      </c>
      <c r="C48" s="480"/>
      <c r="D48" s="480"/>
      <c r="E48" s="477"/>
      <c r="F48" s="480"/>
      <c r="G48" s="477"/>
      <c r="H48" s="477"/>
      <c r="I48" s="1764">
        <f>SUM(C26:H26,J26,K26)</f>
        <v>1343</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v>4865</v>
      </c>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1899</v>
      </c>
      <c r="B52" s="483">
        <v>8160</v>
      </c>
      <c r="C52" s="477"/>
      <c r="D52" s="477"/>
      <c r="E52" s="477"/>
      <c r="F52" s="477"/>
      <c r="G52" s="477"/>
      <c r="H52" s="477"/>
      <c r="I52" s="477"/>
      <c r="J52" s="477"/>
      <c r="K52" s="1764">
        <f>D30</f>
        <v>0</v>
      </c>
      <c r="L52" s="524"/>
    </row>
    <row r="53" spans="1:12" s="485" customFormat="1" ht="26.25" x14ac:dyDescent="0.2">
      <c r="A53" s="1511" t="s">
        <v>1898</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v>2405</v>
      </c>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v>874</v>
      </c>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1" t="s">
        <v>460</v>
      </c>
      <c r="B76" s="2142"/>
      <c r="C76" s="1724">
        <f t="shared" ref="C76:K76" si="7">SUM(C47:C75)</f>
        <v>0</v>
      </c>
      <c r="D76" s="1724">
        <f t="shared" si="7"/>
        <v>3279</v>
      </c>
      <c r="E76" s="1724">
        <f t="shared" si="7"/>
        <v>4865</v>
      </c>
      <c r="F76" s="1724">
        <f t="shared" si="7"/>
        <v>0</v>
      </c>
      <c r="G76" s="1724">
        <f t="shared" si="7"/>
        <v>0</v>
      </c>
      <c r="H76" s="1724">
        <f t="shared" si="7"/>
        <v>0</v>
      </c>
      <c r="I76" s="1724">
        <f t="shared" si="7"/>
        <v>58589</v>
      </c>
      <c r="J76" s="1724">
        <f t="shared" si="7"/>
        <v>0</v>
      </c>
      <c r="K76" s="1724">
        <f t="shared" si="7"/>
        <v>0</v>
      </c>
      <c r="L76" s="524"/>
    </row>
    <row r="77" spans="1:12" ht="14.25" thickTop="1" thickBot="1" x14ac:dyDescent="0.25">
      <c r="A77" s="2143" t="s">
        <v>1239</v>
      </c>
      <c r="B77" s="2144"/>
      <c r="C77" s="1724">
        <f t="shared" ref="C77:K77" si="8">C44-C76</f>
        <v>63454</v>
      </c>
      <c r="D77" s="1724">
        <f t="shared" si="8"/>
        <v>164243</v>
      </c>
      <c r="E77" s="1724">
        <f t="shared" si="8"/>
        <v>-1586</v>
      </c>
      <c r="F77" s="1724">
        <f t="shared" si="8"/>
        <v>0</v>
      </c>
      <c r="G77" s="1724">
        <f t="shared" si="8"/>
        <v>0</v>
      </c>
      <c r="H77" s="1724">
        <f t="shared" si="8"/>
        <v>0</v>
      </c>
      <c r="I77" s="1724">
        <f t="shared" si="8"/>
        <v>-58589</v>
      </c>
      <c r="J77" s="1724">
        <f t="shared" si="8"/>
        <v>0</v>
      </c>
      <c r="K77" s="1724">
        <f t="shared" si="8"/>
        <v>0</v>
      </c>
      <c r="L77" s="347"/>
    </row>
    <row r="78" spans="1:12" ht="21.75" customHeight="1" thickTop="1" thickBot="1" x14ac:dyDescent="0.25">
      <c r="A78" s="2147" t="s">
        <v>618</v>
      </c>
      <c r="B78" s="2148"/>
      <c r="C78" s="1723">
        <f t="shared" ref="C78:K78" si="9">C20+C77</f>
        <v>636123</v>
      </c>
      <c r="D78" s="1723">
        <f t="shared" si="9"/>
        <v>-487949</v>
      </c>
      <c r="E78" s="1723">
        <f t="shared" si="9"/>
        <v>-37</v>
      </c>
      <c r="F78" s="1723">
        <f t="shared" si="9"/>
        <v>612916</v>
      </c>
      <c r="G78" s="1723">
        <f t="shared" si="9"/>
        <v>50456</v>
      </c>
      <c r="H78" s="1723">
        <f t="shared" si="9"/>
        <v>500000</v>
      </c>
      <c r="I78" s="1723">
        <f t="shared" si="9"/>
        <v>0</v>
      </c>
      <c r="J78" s="1723">
        <f t="shared" si="9"/>
        <v>75299</v>
      </c>
      <c r="K78" s="1723">
        <f t="shared" si="9"/>
        <v>0</v>
      </c>
      <c r="L78" s="533"/>
    </row>
    <row r="79" spans="1:12" ht="13.5" thickTop="1" x14ac:dyDescent="0.2">
      <c r="A79" s="1515" t="s">
        <v>2072</v>
      </c>
      <c r="B79" s="534"/>
      <c r="C79" s="478">
        <v>3671900</v>
      </c>
      <c r="D79" s="535">
        <v>619586</v>
      </c>
      <c r="E79" s="535">
        <v>38214</v>
      </c>
      <c r="F79" s="535">
        <v>175135</v>
      </c>
      <c r="G79" s="535">
        <v>204419</v>
      </c>
      <c r="H79" s="535">
        <v>0</v>
      </c>
      <c r="I79" s="535">
        <v>0</v>
      </c>
      <c r="J79" s="535">
        <v>190611</v>
      </c>
      <c r="K79" s="535"/>
      <c r="L79" s="347"/>
    </row>
    <row r="80" spans="1:12" x14ac:dyDescent="0.2">
      <c r="A80" s="2153" t="s">
        <v>1897</v>
      </c>
      <c r="B80" s="2154"/>
      <c r="C80" s="467"/>
      <c r="D80" s="467"/>
      <c r="E80" s="467"/>
      <c r="F80" s="467"/>
      <c r="G80" s="467"/>
      <c r="H80" s="467"/>
      <c r="I80" s="467"/>
      <c r="J80" s="467"/>
      <c r="K80" s="467"/>
      <c r="L80" s="347"/>
    </row>
    <row r="81" spans="1:12" ht="13.5" thickBot="1" x14ac:dyDescent="0.25">
      <c r="A81" s="2145" t="s">
        <v>2073</v>
      </c>
      <c r="B81" s="2146"/>
      <c r="C81" s="1709">
        <f>(SUM(C78:C80))</f>
        <v>4308023</v>
      </c>
      <c r="D81" s="1709">
        <f>SUM(D78:D80)</f>
        <v>131637</v>
      </c>
      <c r="E81" s="1709">
        <f t="shared" ref="E81:K81" si="10">SUM(E78:E80)</f>
        <v>38177</v>
      </c>
      <c r="F81" s="1709">
        <f t="shared" si="10"/>
        <v>788051</v>
      </c>
      <c r="G81" s="1709">
        <f t="shared" si="10"/>
        <v>254875</v>
      </c>
      <c r="H81" s="1709">
        <f t="shared" si="10"/>
        <v>500000</v>
      </c>
      <c r="I81" s="1709">
        <f t="shared" si="10"/>
        <v>0</v>
      </c>
      <c r="J81" s="1709">
        <f t="shared" si="10"/>
        <v>265910</v>
      </c>
      <c r="K81" s="1709">
        <f t="shared" si="10"/>
        <v>0</v>
      </c>
      <c r="L81" s="347"/>
    </row>
    <row r="82" spans="1:12" ht="0.75" customHeight="1" thickTop="1" thickBot="1" x14ac:dyDescent="0.25">
      <c r="A82" s="536" t="s">
        <v>361</v>
      </c>
      <c r="B82" s="537"/>
      <c r="C82" s="538">
        <f>(C81-C79)</f>
        <v>636123</v>
      </c>
      <c r="D82" s="538">
        <f t="shared" ref="D82:K82" si="11">(D81-D79)</f>
        <v>-487949</v>
      </c>
      <c r="E82" s="538">
        <f t="shared" si="11"/>
        <v>-37</v>
      </c>
      <c r="F82" s="538">
        <f t="shared" si="11"/>
        <v>612916</v>
      </c>
      <c r="G82" s="538">
        <f t="shared" si="11"/>
        <v>50456</v>
      </c>
      <c r="H82" s="538">
        <f t="shared" si="11"/>
        <v>500000</v>
      </c>
      <c r="I82" s="538">
        <f t="shared" si="11"/>
        <v>0</v>
      </c>
      <c r="J82" s="538">
        <f t="shared" si="11"/>
        <v>75299</v>
      </c>
      <c r="K82" s="538">
        <f t="shared" si="11"/>
        <v>0</v>
      </c>
    </row>
    <row r="83" spans="1:12" ht="14.25" hidden="1" thickTop="1" thickBot="1" x14ac:dyDescent="0.25">
      <c r="A83" s="539" t="s">
        <v>362</v>
      </c>
      <c r="B83" s="464"/>
      <c r="C83" s="540">
        <f>C82/C81</f>
        <v>0.1476600751667296</v>
      </c>
      <c r="D83" s="540">
        <f t="shared" ref="D83:K83" si="12">D82/D81</f>
        <v>-3.7067769700008357</v>
      </c>
      <c r="E83" s="540">
        <f t="shared" si="12"/>
        <v>-9.6916991906121491E-4</v>
      </c>
      <c r="F83" s="540">
        <f t="shared" si="12"/>
        <v>0.77776184536280013</v>
      </c>
      <c r="G83" s="540">
        <f t="shared" si="12"/>
        <v>0.19796370769985286</v>
      </c>
      <c r="H83" s="540">
        <f t="shared" si="12"/>
        <v>1</v>
      </c>
      <c r="I83" s="540" t="e">
        <f t="shared" si="12"/>
        <v>#DIV/0!</v>
      </c>
      <c r="J83" s="540">
        <f t="shared" si="12"/>
        <v>0.28317475837689443</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9" t="s">
        <v>1904</v>
      </c>
      <c r="B1" s="452"/>
      <c r="C1" s="453" t="s">
        <v>445</v>
      </c>
      <c r="D1" s="453" t="s">
        <v>446</v>
      </c>
      <c r="E1" s="453" t="s">
        <v>447</v>
      </c>
      <c r="F1" s="453" t="s">
        <v>448</v>
      </c>
      <c r="G1" s="453" t="s">
        <v>449</v>
      </c>
      <c r="H1" s="453" t="s">
        <v>450</v>
      </c>
      <c r="I1" s="453" t="s">
        <v>451</v>
      </c>
      <c r="J1" s="453" t="s">
        <v>452</v>
      </c>
      <c r="K1" s="453" t="s">
        <v>780</v>
      </c>
    </row>
    <row r="2" spans="1:12" ht="36" x14ac:dyDescent="0.2">
      <c r="A2" s="215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1851842</v>
      </c>
      <c r="D5" s="481">
        <f>343393-55816</f>
        <v>287577</v>
      </c>
      <c r="E5" s="466">
        <v>207339</v>
      </c>
      <c r="F5" s="548">
        <v>137357</v>
      </c>
      <c r="G5" s="466">
        <f>232222</f>
        <v>232222</v>
      </c>
      <c r="H5" s="466"/>
      <c r="I5" s="466">
        <v>57238</v>
      </c>
      <c r="J5" s="467">
        <v>257885</v>
      </c>
      <c r="K5" s="466"/>
    </row>
    <row r="6" spans="1:12" ht="15" x14ac:dyDescent="0.2">
      <c r="A6" s="463" t="s">
        <v>1761</v>
      </c>
      <c r="B6" s="470">
        <v>1130</v>
      </c>
      <c r="C6" s="466"/>
      <c r="D6" s="466">
        <v>55816</v>
      </c>
      <c r="E6" s="475"/>
      <c r="F6" s="475"/>
      <c r="G6" s="468"/>
      <c r="H6" s="468"/>
      <c r="I6" s="468"/>
      <c r="J6" s="468"/>
      <c r="K6" s="468"/>
    </row>
    <row r="7" spans="1:12" x14ac:dyDescent="0.2">
      <c r="A7" s="463" t="s">
        <v>112</v>
      </c>
      <c r="B7" s="549">
        <v>1140</v>
      </c>
      <c r="C7" s="466"/>
      <c r="D7" s="466">
        <v>22893</v>
      </c>
      <c r="E7" s="468"/>
      <c r="F7" s="467"/>
      <c r="G7" s="467"/>
      <c r="H7" s="467"/>
      <c r="I7" s="468"/>
      <c r="J7" s="468"/>
      <c r="K7" s="468"/>
    </row>
    <row r="8" spans="1:12" x14ac:dyDescent="0.2">
      <c r="A8" s="463" t="s">
        <v>433</v>
      </c>
      <c r="B8" s="470">
        <v>1150</v>
      </c>
      <c r="C8" s="475"/>
      <c r="D8" s="475"/>
      <c r="E8" s="477"/>
      <c r="F8" s="477"/>
      <c r="G8" s="481">
        <v>146738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1851842</v>
      </c>
      <c r="D12" s="1728">
        <f t="shared" si="0"/>
        <v>366286</v>
      </c>
      <c r="E12" s="1728">
        <f t="shared" si="0"/>
        <v>207339</v>
      </c>
      <c r="F12" s="1728">
        <f t="shared" si="0"/>
        <v>137357</v>
      </c>
      <c r="G12" s="1728">
        <f t="shared" si="0"/>
        <v>378960</v>
      </c>
      <c r="H12" s="1728">
        <f t="shared" si="0"/>
        <v>0</v>
      </c>
      <c r="I12" s="1728">
        <f t="shared" si="0"/>
        <v>57238</v>
      </c>
      <c r="J12" s="1728">
        <f t="shared" si="0"/>
        <v>257885</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v>591206</v>
      </c>
      <c r="G16" s="466">
        <v>85000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591206</v>
      </c>
      <c r="G18" s="1731">
        <f t="shared" si="1"/>
        <v>85000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12074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12074</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f>42969+179</f>
        <v>43148</v>
      </c>
      <c r="D65" s="466">
        <f>7221+30</f>
        <v>7251</v>
      </c>
      <c r="E65" s="466">
        <f>4845+20</f>
        <v>4865</v>
      </c>
      <c r="F65" s="467">
        <f>3210+13</f>
        <v>3223</v>
      </c>
      <c r="G65" s="466">
        <f>8855+37</f>
        <v>8892</v>
      </c>
      <c r="H65" s="466"/>
      <c r="I65" s="466">
        <f>1337+6</f>
        <v>1343</v>
      </c>
      <c r="J65" s="467">
        <f>7363+31</f>
        <v>7394</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43148</v>
      </c>
      <c r="D67" s="1709">
        <f t="shared" ref="D67:K67" si="2">SUM(D65:D66)</f>
        <v>7251</v>
      </c>
      <c r="E67" s="1709">
        <f t="shared" si="2"/>
        <v>4865</v>
      </c>
      <c r="F67" s="1709">
        <f t="shared" si="2"/>
        <v>3223</v>
      </c>
      <c r="G67" s="1709">
        <f t="shared" si="2"/>
        <v>8892</v>
      </c>
      <c r="H67" s="1709">
        <f t="shared" si="2"/>
        <v>0</v>
      </c>
      <c r="I67" s="1709">
        <f t="shared" si="2"/>
        <v>1343</v>
      </c>
      <c r="J67" s="1709">
        <f t="shared" si="2"/>
        <v>7394</v>
      </c>
      <c r="K67" s="1709">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2453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3888</v>
      </c>
      <c r="D73" s="468"/>
      <c r="E73" s="468"/>
      <c r="F73" s="468"/>
      <c r="G73" s="468"/>
      <c r="H73" s="468"/>
      <c r="I73" s="468"/>
      <c r="J73" s="468"/>
      <c r="K73" s="468"/>
    </row>
    <row r="74" spans="1:11" ht="12.75" customHeight="1" x14ac:dyDescent="0.2">
      <c r="A74" s="463" t="s">
        <v>25</v>
      </c>
      <c r="B74" s="470">
        <v>1690</v>
      </c>
      <c r="C74" s="551">
        <v>20049</v>
      </c>
      <c r="D74" s="468"/>
      <c r="E74" s="468"/>
      <c r="F74" s="468"/>
      <c r="G74" s="468"/>
      <c r="H74" s="468"/>
      <c r="I74" s="468"/>
      <c r="J74" s="468"/>
      <c r="K74" s="468"/>
    </row>
    <row r="75" spans="1:11" ht="12.75" customHeight="1" thickBot="1" x14ac:dyDescent="0.25">
      <c r="A75" s="1729" t="s">
        <v>569</v>
      </c>
      <c r="B75" s="1730"/>
      <c r="C75" s="1709">
        <f>SUM(C69:C74)</f>
        <v>26390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6229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4679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10908</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1120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1120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260</v>
      </c>
      <c r="D100" s="489">
        <v>51</v>
      </c>
      <c r="E100" s="489">
        <v>29</v>
      </c>
      <c r="F100" s="489">
        <v>19</v>
      </c>
      <c r="G100" s="489">
        <v>53</v>
      </c>
      <c r="H100" s="489"/>
      <c r="I100" s="467">
        <v>8</v>
      </c>
      <c r="J100" s="489">
        <v>36</v>
      </c>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166932</v>
      </c>
      <c r="D107" s="466">
        <v>3218</v>
      </c>
      <c r="E107" s="466"/>
      <c r="F107" s="466">
        <v>249</v>
      </c>
      <c r="G107" s="466"/>
      <c r="H107" s="466"/>
      <c r="I107" s="466"/>
      <c r="J107" s="467"/>
      <c r="K107" s="466"/>
    </row>
    <row r="108" spans="1:12" ht="12.75" customHeight="1" thickBot="1" x14ac:dyDescent="0.25">
      <c r="A108" s="1729" t="s">
        <v>508</v>
      </c>
      <c r="B108" s="1733"/>
      <c r="C108" s="1728">
        <f>SUM(C95:C107)</f>
        <v>167192</v>
      </c>
      <c r="D108" s="1728">
        <f t="shared" ref="D108:K108" si="3">SUM(D95:D107)</f>
        <v>3269</v>
      </c>
      <c r="E108" s="1728">
        <f t="shared" si="3"/>
        <v>29</v>
      </c>
      <c r="F108" s="1728">
        <f t="shared" si="3"/>
        <v>268</v>
      </c>
      <c r="G108" s="1728">
        <f t="shared" si="3"/>
        <v>53</v>
      </c>
      <c r="H108" s="1728">
        <f t="shared" si="3"/>
        <v>0</v>
      </c>
      <c r="I108" s="1728">
        <f t="shared" si="3"/>
        <v>8</v>
      </c>
      <c r="J108" s="1728">
        <f t="shared" si="3"/>
        <v>36</v>
      </c>
      <c r="K108" s="1709">
        <f t="shared" si="3"/>
        <v>0</v>
      </c>
    </row>
    <row r="109" spans="1:12" ht="14.25" thickTop="1" thickBot="1" x14ac:dyDescent="0.25">
      <c r="A109" s="1734" t="s">
        <v>266</v>
      </c>
      <c r="B109" s="1735" t="s">
        <v>591</v>
      </c>
      <c r="C109" s="1736">
        <f t="shared" ref="C109:K109" si="4">SUM(C12,C18,C40,C63,C67,C75,C82,C93,C108,)</f>
        <v>2112674</v>
      </c>
      <c r="D109" s="1736">
        <f t="shared" si="4"/>
        <v>376806</v>
      </c>
      <c r="E109" s="1736">
        <f t="shared" si="4"/>
        <v>212233</v>
      </c>
      <c r="F109" s="1736">
        <f t="shared" si="4"/>
        <v>732054</v>
      </c>
      <c r="G109" s="1736">
        <f t="shared" si="4"/>
        <v>472905</v>
      </c>
      <c r="H109" s="1736">
        <f t="shared" si="4"/>
        <v>0</v>
      </c>
      <c r="I109" s="1736">
        <f t="shared" si="4"/>
        <v>58589</v>
      </c>
      <c r="J109" s="1736">
        <f t="shared" si="4"/>
        <v>265315</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7840800</v>
      </c>
      <c r="D117" s="481"/>
      <c r="E117" s="466"/>
      <c r="F117" s="481"/>
      <c r="G117" s="481"/>
      <c r="H117" s="466">
        <v>500000</v>
      </c>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7" t="s">
        <v>1903</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7840800</v>
      </c>
      <c r="D121" s="1728">
        <f t="shared" si="5"/>
        <v>0</v>
      </c>
      <c r="E121" s="1728">
        <f t="shared" si="5"/>
        <v>0</v>
      </c>
      <c r="F121" s="1728">
        <f t="shared" si="5"/>
        <v>0</v>
      </c>
      <c r="G121" s="1728">
        <f t="shared" si="5"/>
        <v>0</v>
      </c>
      <c r="H121" s="1728">
        <f t="shared" si="5"/>
        <v>500000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101823</v>
      </c>
      <c r="D125" s="561"/>
      <c r="E125" s="468"/>
      <c r="F125" s="466"/>
      <c r="G125" s="468"/>
      <c r="H125" s="468"/>
      <c r="I125" s="468"/>
      <c r="J125" s="468"/>
      <c r="K125" s="468"/>
    </row>
    <row r="126" spans="1:11" ht="12.75" customHeight="1" x14ac:dyDescent="0.2">
      <c r="A126" s="463" t="s">
        <v>922</v>
      </c>
      <c r="B126" s="562">
        <v>3110</v>
      </c>
      <c r="C126" s="551">
        <v>144469</v>
      </c>
      <c r="D126" s="466"/>
      <c r="E126" s="468"/>
      <c r="F126" s="466"/>
      <c r="G126" s="468"/>
      <c r="H126" s="468"/>
      <c r="I126" s="468"/>
      <c r="J126" s="468"/>
      <c r="K126" s="468"/>
    </row>
    <row r="127" spans="1:11" ht="12.75" customHeight="1" x14ac:dyDescent="0.2">
      <c r="A127" s="463" t="s">
        <v>107</v>
      </c>
      <c r="B127" s="562">
        <v>3120</v>
      </c>
      <c r="C127" s="466">
        <v>86101</v>
      </c>
      <c r="D127" s="561"/>
      <c r="E127" s="468"/>
      <c r="F127" s="466"/>
      <c r="G127" s="468"/>
      <c r="H127" s="468"/>
      <c r="I127" s="468"/>
      <c r="J127" s="468"/>
      <c r="K127" s="468"/>
    </row>
    <row r="128" spans="1:11" ht="12.75" customHeight="1" x14ac:dyDescent="0.2">
      <c r="A128" s="463" t="s">
        <v>1522</v>
      </c>
      <c r="B128" s="562">
        <v>3130</v>
      </c>
      <c r="C128" s="466">
        <v>2022</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334415</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13660</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273460</v>
      </c>
      <c r="G151" s="467"/>
      <c r="H151" s="468"/>
      <c r="I151" s="468"/>
      <c r="J151" s="468"/>
      <c r="K151" s="468"/>
    </row>
    <row r="152" spans="1:11" ht="12.75" customHeight="1" x14ac:dyDescent="0.2">
      <c r="A152" s="463" t="s">
        <v>1117</v>
      </c>
      <c r="B152" s="562">
        <v>3510</v>
      </c>
      <c r="C152" s="551"/>
      <c r="D152" s="466"/>
      <c r="E152" s="561"/>
      <c r="F152" s="466">
        <v>215999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489459</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1568</v>
      </c>
      <c r="D171" s="580"/>
      <c r="E171" s="580"/>
      <c r="F171" s="580"/>
      <c r="G171" s="581"/>
      <c r="H171" s="582"/>
      <c r="I171" s="581"/>
      <c r="J171" s="581"/>
      <c r="K171" s="582"/>
    </row>
    <row r="172" spans="1:11" ht="12.75" customHeight="1" thickTop="1" thickBot="1" x14ac:dyDescent="0.25">
      <c r="A172" s="2169" t="s">
        <v>418</v>
      </c>
      <c r="B172" s="2170"/>
      <c r="C172" s="1743">
        <f t="shared" ref="C172:K172" si="6">SUM(C131,C140,C144,C145:C149,C154,C155:C170,C171)</f>
        <v>349643</v>
      </c>
      <c r="D172" s="1743">
        <f t="shared" si="6"/>
        <v>0</v>
      </c>
      <c r="E172" s="1743">
        <f t="shared" si="6"/>
        <v>0</v>
      </c>
      <c r="F172" s="1743">
        <f t="shared" si="6"/>
        <v>489459</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8190443</v>
      </c>
      <c r="D173" s="1736">
        <f>SUM(D121,D172)</f>
        <v>0</v>
      </c>
      <c r="E173" s="1736">
        <f>SUM(E121,E172)</f>
        <v>0</v>
      </c>
      <c r="F173" s="1736">
        <f t="shared" ref="F173:K173" si="7">SUM(F121,F172)</f>
        <v>489459</v>
      </c>
      <c r="G173" s="1736">
        <f t="shared" si="7"/>
        <v>0</v>
      </c>
      <c r="H173" s="1736">
        <f t="shared" si="7"/>
        <v>500000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1" t="s">
        <v>1572</v>
      </c>
      <c r="B175" s="217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5" t="s">
        <v>1764</v>
      </c>
      <c r="B178" s="2176"/>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9" t="s">
        <v>1763</v>
      </c>
      <c r="B179" s="218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7" t="s">
        <v>818</v>
      </c>
      <c r="B184" s="2178"/>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3" t="s">
        <v>1905</v>
      </c>
      <c r="B185" s="2174"/>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f>12538+13262</f>
        <v>25800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25800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598504</v>
      </c>
      <c r="D194" s="468"/>
      <c r="E194" s="561"/>
      <c r="F194" s="468"/>
      <c r="G194" s="585"/>
      <c r="H194" s="468"/>
      <c r="I194" s="468"/>
      <c r="J194" s="468"/>
      <c r="K194" s="468"/>
    </row>
    <row r="195" spans="1:11" ht="12.75" customHeight="1" x14ac:dyDescent="0.2">
      <c r="A195" s="463" t="s">
        <v>1107</v>
      </c>
      <c r="B195" s="470">
        <v>4215</v>
      </c>
      <c r="C195" s="551">
        <v>465</v>
      </c>
      <c r="D195" s="468"/>
      <c r="E195" s="561"/>
      <c r="F195" s="468"/>
      <c r="G195" s="585"/>
      <c r="H195" s="468"/>
      <c r="I195" s="468"/>
      <c r="J195" s="468"/>
      <c r="K195" s="468"/>
    </row>
    <row r="196" spans="1:11" ht="12.75" customHeight="1" x14ac:dyDescent="0.2">
      <c r="A196" s="463" t="s">
        <v>1119</v>
      </c>
      <c r="B196" s="470">
        <v>4220</v>
      </c>
      <c r="C196" s="551">
        <v>219074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33625</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851668</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f>180589+705108</f>
        <v>885697</v>
      </c>
      <c r="D203" s="466"/>
      <c r="E203" s="468"/>
      <c r="F203" s="466">
        <f>1844+400</f>
        <v>2244</v>
      </c>
      <c r="G203" s="466">
        <f>6987+46356</f>
        <v>53343</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885697</v>
      </c>
      <c r="D211" s="1728">
        <f>SUM(D203:D210)</f>
        <v>0</v>
      </c>
      <c r="E211" s="468"/>
      <c r="F211" s="1728">
        <f>SUM(F203:F210)</f>
        <v>2244</v>
      </c>
      <c r="G211" s="1728">
        <f>SUM(G203:G210)</f>
        <v>53343</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7574</v>
      </c>
      <c r="D213" s="466"/>
      <c r="E213" s="468"/>
      <c r="F213" s="466"/>
      <c r="G213" s="466">
        <v>74</v>
      </c>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7574</v>
      </c>
      <c r="D216" s="1728">
        <f>SUM(D213:D215)</f>
        <v>0</v>
      </c>
      <c r="E216" s="468" t="s">
        <v>1231</v>
      </c>
      <c r="F216" s="1728">
        <f>SUM(F213:F215)</f>
        <v>0</v>
      </c>
      <c r="G216" s="1728">
        <f>SUM(G213:G215)</f>
        <v>74</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17234</v>
      </c>
      <c r="D218" s="466"/>
      <c r="E218" s="468"/>
      <c r="F218" s="466"/>
      <c r="G218" s="466">
        <v>3170</v>
      </c>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73841</v>
      </c>
      <c r="D220" s="466"/>
      <c r="E220" s="468"/>
      <c r="F220" s="466"/>
      <c r="G220" s="466">
        <v>12253</v>
      </c>
      <c r="H220" s="468"/>
      <c r="I220" s="468"/>
      <c r="J220" s="468"/>
      <c r="K220" s="468"/>
    </row>
    <row r="221" spans="1:11" ht="12.75" customHeight="1" x14ac:dyDescent="0.2">
      <c r="A221" s="463" t="s">
        <v>1114</v>
      </c>
      <c r="B221" s="470">
        <v>4625</v>
      </c>
      <c r="C221" s="551">
        <v>13613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104688</v>
      </c>
      <c r="D224" s="1728">
        <f>SUM(D218:D223)</f>
        <v>0</v>
      </c>
      <c r="E224" s="468"/>
      <c r="F224" s="1728">
        <f>SUM(F218:F223)</f>
        <v>0</v>
      </c>
      <c r="G224" s="1728">
        <f>SUM(G218:G223)</f>
        <v>15423</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f>42124+56013</f>
        <v>98137</v>
      </c>
      <c r="D268" s="576"/>
      <c r="E268" s="468"/>
      <c r="F268" s="576"/>
      <c r="G268" s="576">
        <v>922</v>
      </c>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43233</v>
      </c>
      <c r="D270" s="576"/>
      <c r="E270" s="468"/>
      <c r="F270" s="576"/>
      <c r="G270" s="576"/>
      <c r="H270" s="468"/>
      <c r="I270" s="468"/>
      <c r="J270" s="468"/>
      <c r="K270" s="468"/>
    </row>
    <row r="271" spans="1:11" ht="12.75" customHeight="1" thickTop="1" thickBot="1" x14ac:dyDescent="0.25">
      <c r="A271" s="463" t="s">
        <v>395</v>
      </c>
      <c r="B271" s="470">
        <v>4992</v>
      </c>
      <c r="C271" s="575">
        <v>318245</v>
      </c>
      <c r="D271" s="576"/>
      <c r="E271" s="468"/>
      <c r="F271" s="576">
        <v>44626</v>
      </c>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2335042</v>
      </c>
      <c r="D273" s="1736">
        <f t="shared" si="10"/>
        <v>0</v>
      </c>
      <c r="E273" s="1736">
        <f t="shared" si="10"/>
        <v>0</v>
      </c>
      <c r="F273" s="1736">
        <f t="shared" si="10"/>
        <v>46870</v>
      </c>
      <c r="G273" s="1736">
        <f t="shared" si="10"/>
        <v>69762</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2335042</v>
      </c>
      <c r="D274" s="1736">
        <f>SUM(D178,D184,D273)</f>
        <v>0</v>
      </c>
      <c r="E274" s="1736">
        <f>SUM(E178,E273)</f>
        <v>0</v>
      </c>
      <c r="F274" s="1736">
        <f t="shared" ref="F274:K274" si="11">SUM(F178,F184,F273)</f>
        <v>46870</v>
      </c>
      <c r="G274" s="1736">
        <f t="shared" si="11"/>
        <v>69762</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12638159</v>
      </c>
      <c r="D275" s="1736">
        <f t="shared" si="12"/>
        <v>376806</v>
      </c>
      <c r="E275" s="1736">
        <f t="shared" si="12"/>
        <v>212233</v>
      </c>
      <c r="F275" s="1736">
        <f t="shared" si="12"/>
        <v>1268383</v>
      </c>
      <c r="G275" s="1736">
        <f t="shared" si="12"/>
        <v>542667</v>
      </c>
      <c r="H275" s="1736">
        <f t="shared" si="12"/>
        <v>500000</v>
      </c>
      <c r="I275" s="1736">
        <f t="shared" si="12"/>
        <v>58589</v>
      </c>
      <c r="J275" s="1736">
        <f t="shared" si="12"/>
        <v>265315</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fitToHeight="0"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colorId="8" zoomScaleNormal="110" workbookViewId="0">
      <selection activeCell="A21" sqref="A2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9"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9" t="s">
        <v>315</v>
      </c>
      <c r="B3" s="2190"/>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f>3604317+11692+49276+93610</f>
        <v>3758895</v>
      </c>
      <c r="D5" s="466">
        <f>13359+411195+623740+1072+10705+15718</f>
        <v>1075789</v>
      </c>
      <c r="E5" s="466">
        <f>106957+230</f>
        <v>107187</v>
      </c>
      <c r="F5" s="466">
        <f>24685+1215</f>
        <v>25900</v>
      </c>
      <c r="G5" s="466">
        <v>6092</v>
      </c>
      <c r="H5" s="466">
        <v>1232</v>
      </c>
      <c r="I5" s="467"/>
      <c r="J5" s="467"/>
      <c r="K5" s="1692">
        <f>SUM(C5:J5)</f>
        <v>4975095</v>
      </c>
      <c r="L5" s="466">
        <v>5130074</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f>62996+383959+22726+132994+78624+95018+52078+2505+13801+36151+540661+222965+9706+53495+182389</f>
        <v>1890068</v>
      </c>
      <c r="D8" s="466">
        <f>7261+8501+44002+66708+13154+9535+9123+10232+10974+48380+58663+231001</f>
        <v>517534</v>
      </c>
      <c r="E8" s="466">
        <v>5414</v>
      </c>
      <c r="F8" s="466">
        <v>13325</v>
      </c>
      <c r="G8" s="466"/>
      <c r="H8" s="466">
        <v>17978</v>
      </c>
      <c r="I8" s="467"/>
      <c r="J8" s="467"/>
      <c r="K8" s="1692">
        <f t="shared" si="0"/>
        <v>2444319</v>
      </c>
      <c r="L8" s="466">
        <v>2632865</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f>27187+259393</f>
        <v>286580</v>
      </c>
      <c r="D10" s="466">
        <f>56034+1429+55454</f>
        <v>112917</v>
      </c>
      <c r="E10" s="466">
        <v>25760</v>
      </c>
      <c r="F10" s="466">
        <f>9714+37928</f>
        <v>47642</v>
      </c>
      <c r="G10" s="466">
        <v>27035</v>
      </c>
      <c r="H10" s="466"/>
      <c r="I10" s="467"/>
      <c r="J10" s="467"/>
      <c r="K10" s="1692">
        <f t="shared" si="0"/>
        <v>499934</v>
      </c>
      <c r="L10" s="466">
        <v>608808</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c r="D13" s="466"/>
      <c r="E13" s="466"/>
      <c r="F13" s="466"/>
      <c r="G13" s="466"/>
      <c r="H13" s="466"/>
      <c r="I13" s="467"/>
      <c r="J13" s="467"/>
      <c r="K13" s="1692">
        <f t="shared" si="0"/>
        <v>0</v>
      </c>
      <c r="L13" s="466"/>
    </row>
    <row r="14" spans="1:14" x14ac:dyDescent="0.2">
      <c r="A14" s="1525" t="s">
        <v>1020</v>
      </c>
      <c r="B14" s="615">
        <v>1500</v>
      </c>
      <c r="C14" s="466"/>
      <c r="D14" s="466"/>
      <c r="E14" s="466">
        <v>10665</v>
      </c>
      <c r="F14" s="466">
        <v>3576</v>
      </c>
      <c r="G14" s="466"/>
      <c r="H14" s="466"/>
      <c r="I14" s="467"/>
      <c r="J14" s="467"/>
      <c r="K14" s="1692">
        <f t="shared" si="0"/>
        <v>14241</v>
      </c>
      <c r="L14" s="466">
        <v>21500</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v>20277</v>
      </c>
      <c r="D16" s="466"/>
      <c r="E16" s="466">
        <v>55</v>
      </c>
      <c r="F16" s="466"/>
      <c r="G16" s="466"/>
      <c r="H16" s="466"/>
      <c r="I16" s="467"/>
      <c r="J16" s="467"/>
      <c r="K16" s="1692">
        <f t="shared" si="0"/>
        <v>20332</v>
      </c>
      <c r="L16" s="466">
        <v>25850</v>
      </c>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v>5000</v>
      </c>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v>5000</v>
      </c>
    </row>
    <row r="33" spans="1:14" ht="12.75" customHeight="1" thickBot="1" x14ac:dyDescent="0.25">
      <c r="A33" s="1689" t="s">
        <v>1767</v>
      </c>
      <c r="B33" s="1690" t="s">
        <v>591</v>
      </c>
      <c r="C33" s="1691">
        <f>SUM(C5:C32)</f>
        <v>5955820</v>
      </c>
      <c r="D33" s="1691">
        <f t="shared" ref="D33:L33" si="1">SUM(D5:D32)</f>
        <v>1706240</v>
      </c>
      <c r="E33" s="1691">
        <f t="shared" si="1"/>
        <v>149081</v>
      </c>
      <c r="F33" s="1691">
        <f t="shared" si="1"/>
        <v>90443</v>
      </c>
      <c r="G33" s="1691">
        <f t="shared" si="1"/>
        <v>33127</v>
      </c>
      <c r="H33" s="1691">
        <f t="shared" si="1"/>
        <v>19210</v>
      </c>
      <c r="I33" s="1691">
        <f t="shared" si="1"/>
        <v>0</v>
      </c>
      <c r="J33" s="1691">
        <f t="shared" si="1"/>
        <v>0</v>
      </c>
      <c r="K33" s="1691">
        <f t="shared" si="1"/>
        <v>7953921</v>
      </c>
      <c r="L33" s="1691">
        <f t="shared" si="1"/>
        <v>8429097</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f>38212+18556</f>
        <v>56768</v>
      </c>
      <c r="D37" s="466">
        <f>3598+4192+8573</f>
        <v>16363</v>
      </c>
      <c r="E37" s="466">
        <v>23208</v>
      </c>
      <c r="F37" s="466"/>
      <c r="G37" s="466"/>
      <c r="H37" s="466"/>
      <c r="I37" s="467"/>
      <c r="J37" s="467"/>
      <c r="K37" s="1692">
        <f t="shared" si="2"/>
        <v>96339</v>
      </c>
      <c r="L37" s="466">
        <v>99175</v>
      </c>
    </row>
    <row r="38" spans="1:14" x14ac:dyDescent="0.2">
      <c r="A38" s="1525" t="s">
        <v>207</v>
      </c>
      <c r="B38" s="615">
        <v>2130</v>
      </c>
      <c r="C38" s="466">
        <f>77692+8838+10232</f>
        <v>96762</v>
      </c>
      <c r="D38" s="466"/>
      <c r="E38" s="466">
        <f>1932+2891+30000</f>
        <v>34823</v>
      </c>
      <c r="F38" s="466">
        <v>4018</v>
      </c>
      <c r="G38" s="466">
        <v>846</v>
      </c>
      <c r="H38" s="466">
        <v>26969</v>
      </c>
      <c r="I38" s="467"/>
      <c r="J38" s="467"/>
      <c r="K38" s="1692">
        <f t="shared" si="2"/>
        <v>163418</v>
      </c>
      <c r="L38" s="466">
        <v>156170</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c r="D40" s="466"/>
      <c r="E40" s="466"/>
      <c r="F40" s="466"/>
      <c r="G40" s="466"/>
      <c r="H40" s="466"/>
      <c r="I40" s="467"/>
      <c r="J40" s="467"/>
      <c r="K40" s="1692">
        <f t="shared" si="2"/>
        <v>0</v>
      </c>
      <c r="L40" s="466"/>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153530</v>
      </c>
      <c r="D42" s="1691">
        <f t="shared" ref="D42:L42" si="3">SUM(D36:D41)</f>
        <v>16363</v>
      </c>
      <c r="E42" s="1691">
        <f t="shared" si="3"/>
        <v>58031</v>
      </c>
      <c r="F42" s="1691">
        <f t="shared" si="3"/>
        <v>4018</v>
      </c>
      <c r="G42" s="1691">
        <f t="shared" si="3"/>
        <v>846</v>
      </c>
      <c r="H42" s="1691">
        <f t="shared" si="3"/>
        <v>26969</v>
      </c>
      <c r="I42" s="1691">
        <f t="shared" si="3"/>
        <v>0</v>
      </c>
      <c r="J42" s="1691">
        <f t="shared" si="3"/>
        <v>0</v>
      </c>
      <c r="K42" s="1691">
        <f t="shared" si="3"/>
        <v>259757</v>
      </c>
      <c r="L42" s="1691">
        <f t="shared" si="3"/>
        <v>255345</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f>2197+275+4083+2465</f>
        <v>9020</v>
      </c>
      <c r="D44" s="481">
        <f>62+807+288</f>
        <v>1157</v>
      </c>
      <c r="E44" s="481">
        <f>15+3695+1125+16633+955</f>
        <v>22423</v>
      </c>
      <c r="F44" s="481"/>
      <c r="G44" s="481"/>
      <c r="H44" s="481"/>
      <c r="I44" s="467"/>
      <c r="J44" s="467"/>
      <c r="K44" s="1693">
        <f>SUM(C44:J44)</f>
        <v>32600</v>
      </c>
      <c r="L44" s="481">
        <v>67165</v>
      </c>
    </row>
    <row r="45" spans="1:14" x14ac:dyDescent="0.2">
      <c r="A45" s="1525" t="s">
        <v>869</v>
      </c>
      <c r="B45" s="615">
        <v>2220</v>
      </c>
      <c r="C45" s="466">
        <f>76145+2963+146678</f>
        <v>225786</v>
      </c>
      <c r="D45" s="466">
        <f>5501+18557+714+27115</f>
        <v>51887</v>
      </c>
      <c r="E45" s="466">
        <f>870+275+178</f>
        <v>1323</v>
      </c>
      <c r="F45" s="466">
        <v>5958</v>
      </c>
      <c r="G45" s="466"/>
      <c r="H45" s="466"/>
      <c r="I45" s="467"/>
      <c r="J45" s="467"/>
      <c r="K45" s="1693">
        <f>SUM(C45:J45)</f>
        <v>284954</v>
      </c>
      <c r="L45" s="466">
        <v>293929</v>
      </c>
    </row>
    <row r="46" spans="1:14" x14ac:dyDescent="0.2">
      <c r="A46" s="1525" t="s">
        <v>870</v>
      </c>
      <c r="B46" s="615">
        <v>2230</v>
      </c>
      <c r="C46" s="466"/>
      <c r="D46" s="466"/>
      <c r="E46" s="466"/>
      <c r="F46" s="466">
        <v>19965</v>
      </c>
      <c r="G46" s="466"/>
      <c r="H46" s="466"/>
      <c r="I46" s="467"/>
      <c r="J46" s="467"/>
      <c r="K46" s="1693">
        <f>SUM(C46:J46)</f>
        <v>19965</v>
      </c>
      <c r="L46" s="466">
        <v>22156</v>
      </c>
    </row>
    <row r="47" spans="1:14" ht="12.75" customHeight="1" thickBot="1" x14ac:dyDescent="0.25">
      <c r="A47" s="1689" t="s">
        <v>582</v>
      </c>
      <c r="B47" s="1690" t="s">
        <v>32</v>
      </c>
      <c r="C47" s="1691">
        <f>SUM(C44:C46)</f>
        <v>234806</v>
      </c>
      <c r="D47" s="1691">
        <f t="shared" ref="D47:K47" si="4">SUM(D44:D46)</f>
        <v>53044</v>
      </c>
      <c r="E47" s="1691">
        <f t="shared" si="4"/>
        <v>23746</v>
      </c>
      <c r="F47" s="1691">
        <f t="shared" si="4"/>
        <v>25923</v>
      </c>
      <c r="G47" s="1691">
        <f t="shared" si="4"/>
        <v>0</v>
      </c>
      <c r="H47" s="1691">
        <f t="shared" si="4"/>
        <v>0</v>
      </c>
      <c r="I47" s="1691">
        <f t="shared" si="4"/>
        <v>0</v>
      </c>
      <c r="J47" s="1691">
        <f t="shared" si="4"/>
        <v>0</v>
      </c>
      <c r="K47" s="1691">
        <f t="shared" si="4"/>
        <v>337519</v>
      </c>
      <c r="L47" s="1691">
        <f>SUM(L44:L46)</f>
        <v>383250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30145</v>
      </c>
      <c r="F49" s="481">
        <v>2597</v>
      </c>
      <c r="G49" s="481">
        <v>4353</v>
      </c>
      <c r="H49" s="481"/>
      <c r="I49" s="467"/>
      <c r="J49" s="467"/>
      <c r="K49" s="1693">
        <f>SUM(C49:J49)</f>
        <v>37095</v>
      </c>
      <c r="L49" s="481">
        <v>43500</v>
      </c>
    </row>
    <row r="50" spans="1:14" x14ac:dyDescent="0.2">
      <c r="A50" s="1525" t="s">
        <v>872</v>
      </c>
      <c r="B50" s="615">
        <v>2320</v>
      </c>
      <c r="C50" s="466">
        <v>161393</v>
      </c>
      <c r="D50" s="466">
        <f>13563+18551</f>
        <v>32114</v>
      </c>
      <c r="E50" s="466">
        <v>13993</v>
      </c>
      <c r="F50" s="466">
        <v>6596</v>
      </c>
      <c r="G50" s="466">
        <v>629</v>
      </c>
      <c r="H50" s="466">
        <v>942</v>
      </c>
      <c r="I50" s="467"/>
      <c r="J50" s="467"/>
      <c r="K50" s="1693">
        <f>SUM(C50:J50)</f>
        <v>215667</v>
      </c>
      <c r="L50" s="466">
        <v>222500</v>
      </c>
    </row>
    <row r="51" spans="1:14" x14ac:dyDescent="0.2">
      <c r="A51" s="1525" t="s">
        <v>44</v>
      </c>
      <c r="B51" s="615">
        <v>2330</v>
      </c>
      <c r="C51" s="466">
        <v>5000</v>
      </c>
      <c r="D51" s="466">
        <v>1130</v>
      </c>
      <c r="E51" s="466">
        <v>300</v>
      </c>
      <c r="F51" s="466"/>
      <c r="G51" s="466"/>
      <c r="H51" s="466"/>
      <c r="I51" s="467"/>
      <c r="J51" s="467"/>
      <c r="K51" s="1693">
        <f>SUM(C51:J51)</f>
        <v>6430</v>
      </c>
      <c r="L51" s="466">
        <v>6729</v>
      </c>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166393</v>
      </c>
      <c r="D53" s="1691">
        <f t="shared" ref="D53:L53" si="5">SUM(D49:D52)</f>
        <v>33244</v>
      </c>
      <c r="E53" s="1691">
        <f t="shared" si="5"/>
        <v>44438</v>
      </c>
      <c r="F53" s="1691">
        <f t="shared" si="5"/>
        <v>9193</v>
      </c>
      <c r="G53" s="1691">
        <f t="shared" si="5"/>
        <v>4982</v>
      </c>
      <c r="H53" s="1691">
        <f t="shared" si="5"/>
        <v>942</v>
      </c>
      <c r="I53" s="1691">
        <f t="shared" si="5"/>
        <v>0</v>
      </c>
      <c r="J53" s="1691">
        <f t="shared" si="5"/>
        <v>0</v>
      </c>
      <c r="K53" s="1691">
        <f t="shared" si="5"/>
        <v>259192</v>
      </c>
      <c r="L53" s="1691">
        <f t="shared" si="5"/>
        <v>272729</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f>487655+223194</f>
        <v>710849</v>
      </c>
      <c r="D55" s="481">
        <f>56398+111198</f>
        <v>167596</v>
      </c>
      <c r="E55" s="481">
        <v>14443</v>
      </c>
      <c r="F55" s="481">
        <v>7294</v>
      </c>
      <c r="G55" s="481"/>
      <c r="H55" s="481"/>
      <c r="I55" s="467"/>
      <c r="J55" s="467"/>
      <c r="K55" s="1693">
        <f>SUM(C55:J55)</f>
        <v>900182</v>
      </c>
      <c r="L55" s="481">
        <v>918300</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710849</v>
      </c>
      <c r="D57" s="1695">
        <f t="shared" ref="D57:K57" si="6">SUM(D55:D56)</f>
        <v>167596</v>
      </c>
      <c r="E57" s="1695">
        <f t="shared" si="6"/>
        <v>14443</v>
      </c>
      <c r="F57" s="1695">
        <f t="shared" si="6"/>
        <v>7294</v>
      </c>
      <c r="G57" s="1695">
        <f t="shared" si="6"/>
        <v>0</v>
      </c>
      <c r="H57" s="1695">
        <f t="shared" si="6"/>
        <v>0</v>
      </c>
      <c r="I57" s="1695">
        <f t="shared" si="6"/>
        <v>0</v>
      </c>
      <c r="J57" s="1695">
        <f t="shared" si="6"/>
        <v>0</v>
      </c>
      <c r="K57" s="1695">
        <f t="shared" si="6"/>
        <v>900182</v>
      </c>
      <c r="L57" s="1691">
        <f>SUM(L55:L56)</f>
        <v>918300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f>146171+7055</f>
        <v>153226</v>
      </c>
      <c r="D60" s="466">
        <f>16702+928</f>
        <v>17630</v>
      </c>
      <c r="E60" s="466">
        <f>7551+174</f>
        <v>7725</v>
      </c>
      <c r="F60" s="466">
        <v>1175</v>
      </c>
      <c r="G60" s="466"/>
      <c r="H60" s="466"/>
      <c r="I60" s="467"/>
      <c r="J60" s="467"/>
      <c r="K60" s="1693">
        <f t="shared" si="7"/>
        <v>179756</v>
      </c>
      <c r="L60" s="466">
        <v>175995</v>
      </c>
      <c r="M60" s="610"/>
      <c r="N60" s="610"/>
    </row>
    <row r="61" spans="1:14" s="343" customFormat="1" x14ac:dyDescent="0.2">
      <c r="A61" s="1525" t="s">
        <v>206</v>
      </c>
      <c r="B61" s="615">
        <v>2540</v>
      </c>
      <c r="C61" s="466">
        <v>465453</v>
      </c>
      <c r="D61" s="466">
        <v>83438</v>
      </c>
      <c r="E61" s="466">
        <f>70077+52622</f>
        <v>122699</v>
      </c>
      <c r="F61" s="466">
        <f>37665+2566</f>
        <v>40231</v>
      </c>
      <c r="G61" s="466">
        <v>6528</v>
      </c>
      <c r="H61" s="466"/>
      <c r="I61" s="467"/>
      <c r="J61" s="467"/>
      <c r="K61" s="1693">
        <f t="shared" si="7"/>
        <v>718349</v>
      </c>
      <c r="L61" s="466">
        <v>785500</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357056</v>
      </c>
      <c r="D63" s="466">
        <f>1079+109888</f>
        <v>110967</v>
      </c>
      <c r="E63" s="466">
        <v>3519</v>
      </c>
      <c r="F63" s="466">
        <f>254711+32002</f>
        <v>286713</v>
      </c>
      <c r="G63" s="466">
        <v>13619</v>
      </c>
      <c r="H63" s="466"/>
      <c r="I63" s="467"/>
      <c r="J63" s="467"/>
      <c r="K63" s="1693">
        <f t="shared" si="7"/>
        <v>771874</v>
      </c>
      <c r="L63" s="466">
        <v>846200</v>
      </c>
    </row>
    <row r="64" spans="1:14" s="610" customFormat="1" x14ac:dyDescent="0.2">
      <c r="A64" s="1530" t="s">
        <v>103</v>
      </c>
      <c r="B64" s="631">
        <v>2570</v>
      </c>
      <c r="C64" s="481">
        <v>5149</v>
      </c>
      <c r="D64" s="481">
        <v>928</v>
      </c>
      <c r="E64" s="481"/>
      <c r="F64" s="481"/>
      <c r="G64" s="481"/>
      <c r="H64" s="481"/>
      <c r="I64" s="467"/>
      <c r="J64" s="467"/>
      <c r="K64" s="1693">
        <f t="shared" si="7"/>
        <v>6077</v>
      </c>
      <c r="L64" s="481">
        <v>6084</v>
      </c>
    </row>
    <row r="65" spans="1:14" s="343" customFormat="1" ht="12.75" customHeight="1" thickBot="1" x14ac:dyDescent="0.25">
      <c r="A65" s="1689" t="s">
        <v>743</v>
      </c>
      <c r="B65" s="1690" t="s">
        <v>35</v>
      </c>
      <c r="C65" s="1691">
        <f>SUM(C59:C64)</f>
        <v>980884</v>
      </c>
      <c r="D65" s="1691">
        <f t="shared" ref="D65:L65" si="8">SUM(D59:D64)</f>
        <v>212963</v>
      </c>
      <c r="E65" s="1691">
        <f t="shared" si="8"/>
        <v>133943</v>
      </c>
      <c r="F65" s="1691">
        <f t="shared" si="8"/>
        <v>328119</v>
      </c>
      <c r="G65" s="1691">
        <f t="shared" si="8"/>
        <v>20147</v>
      </c>
      <c r="H65" s="1691">
        <f t="shared" si="8"/>
        <v>0</v>
      </c>
      <c r="I65" s="1691">
        <f t="shared" si="8"/>
        <v>0</v>
      </c>
      <c r="J65" s="1691">
        <f t="shared" si="8"/>
        <v>0</v>
      </c>
      <c r="K65" s="1691">
        <f t="shared" si="8"/>
        <v>1676056</v>
      </c>
      <c r="L65" s="1691">
        <f t="shared" si="8"/>
        <v>1813779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v>9000</v>
      </c>
      <c r="D68" s="466">
        <v>2033</v>
      </c>
      <c r="E68" s="466"/>
      <c r="F68" s="466"/>
      <c r="G68" s="466"/>
      <c r="H68" s="466"/>
      <c r="I68" s="467"/>
      <c r="J68" s="467"/>
      <c r="K68" s="1693">
        <f>SUM(C68:J68)</f>
        <v>11033</v>
      </c>
      <c r="L68" s="466">
        <v>11033</v>
      </c>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9000</v>
      </c>
      <c r="D72" s="1691">
        <f t="shared" ref="D72:K72" si="9">SUM(D67:D71)</f>
        <v>2033</v>
      </c>
      <c r="E72" s="1691">
        <f t="shared" si="9"/>
        <v>0</v>
      </c>
      <c r="F72" s="1691">
        <f t="shared" si="9"/>
        <v>0</v>
      </c>
      <c r="G72" s="1691">
        <f t="shared" si="9"/>
        <v>0</v>
      </c>
      <c r="H72" s="1691">
        <f t="shared" si="9"/>
        <v>0</v>
      </c>
      <c r="I72" s="1691">
        <f t="shared" si="9"/>
        <v>0</v>
      </c>
      <c r="J72" s="1691">
        <f t="shared" si="9"/>
        <v>0</v>
      </c>
      <c r="K72" s="1691">
        <f t="shared" si="9"/>
        <v>11033</v>
      </c>
      <c r="L72" s="1691">
        <f>SUM(L67:L71)</f>
        <v>11033</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2255462</v>
      </c>
      <c r="D74" s="1698">
        <f t="shared" ref="D74:K74" si="10">SUM(D42,D47,D53,D57,D65,D72,D73)</f>
        <v>485243</v>
      </c>
      <c r="E74" s="1698">
        <f t="shared" si="10"/>
        <v>274601</v>
      </c>
      <c r="F74" s="1698">
        <f t="shared" si="10"/>
        <v>374547</v>
      </c>
      <c r="G74" s="1698">
        <f t="shared" si="10"/>
        <v>25975</v>
      </c>
      <c r="H74" s="1698">
        <f t="shared" si="10"/>
        <v>27911</v>
      </c>
      <c r="I74" s="1698">
        <f t="shared" si="10"/>
        <v>0</v>
      </c>
      <c r="J74" s="1698">
        <f t="shared" si="10"/>
        <v>0</v>
      </c>
      <c r="K74" s="1698">
        <f t="shared" si="10"/>
        <v>3443739</v>
      </c>
      <c r="L74" s="1698">
        <f>SUM(L42,L47,L53,L57,L65,L72,L73)</f>
        <v>3654436</v>
      </c>
    </row>
    <row r="75" spans="1:14" s="259" customFormat="1" ht="15.75" customHeight="1" thickTop="1" thickBot="1" x14ac:dyDescent="0.25">
      <c r="A75" s="1631" t="s">
        <v>49</v>
      </c>
      <c r="B75" s="1632" t="s">
        <v>596</v>
      </c>
      <c r="C75" s="573">
        <f>6197+35137</f>
        <v>41334</v>
      </c>
      <c r="D75" s="573">
        <f>715+8564</f>
        <v>9279</v>
      </c>
      <c r="E75" s="573">
        <f>163+2035+4273+1289</f>
        <v>7760</v>
      </c>
      <c r="F75" s="573">
        <f>2034+410</f>
        <v>2444</v>
      </c>
      <c r="G75" s="573"/>
      <c r="H75" s="573"/>
      <c r="I75" s="531"/>
      <c r="J75" s="531"/>
      <c r="K75" s="1691">
        <f>SUM(C75:J75)</f>
        <v>60817</v>
      </c>
      <c r="L75" s="576">
        <v>74107</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f>595415+900+10698</f>
        <v>607013</v>
      </c>
      <c r="F79" s="617"/>
      <c r="G79" s="617"/>
      <c r="H79" s="466"/>
      <c r="I79" s="477"/>
      <c r="J79" s="477"/>
      <c r="K79" s="1692">
        <f t="shared" si="11"/>
        <v>607013</v>
      </c>
      <c r="L79" s="466">
        <v>461584</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607013</v>
      </c>
      <c r="F84" s="617"/>
      <c r="G84" s="617"/>
      <c r="H84" s="1691">
        <f>SUM(H78:H83)</f>
        <v>0</v>
      </c>
      <c r="I84" s="477"/>
      <c r="J84" s="477"/>
      <c r="K84" s="1691">
        <f>SUM(K78:K83)</f>
        <v>607013</v>
      </c>
      <c r="L84" s="1691">
        <f>SUM(L78:L83)</f>
        <v>461584</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607013</v>
      </c>
      <c r="F102" s="617"/>
      <c r="G102" s="617"/>
      <c r="H102" s="1698">
        <f>SUM(H84,H92,H100,H101)</f>
        <v>0</v>
      </c>
      <c r="I102" s="477"/>
      <c r="J102" s="477"/>
      <c r="K102" s="1698">
        <f>SUM(K84,K92,K100,K101)</f>
        <v>607013</v>
      </c>
      <c r="L102" s="1698">
        <f>SUM(L84,L92,L100,L101)</f>
        <v>461584</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8252616</v>
      </c>
      <c r="D114" s="1691">
        <f t="shared" ref="D114:K114" si="13">SUM(D33,D74,D75,D102,D112,D113)</f>
        <v>2200762</v>
      </c>
      <c r="E114" s="1691">
        <f t="shared" si="13"/>
        <v>1038455</v>
      </c>
      <c r="F114" s="1691">
        <f t="shared" si="13"/>
        <v>467434</v>
      </c>
      <c r="G114" s="1691">
        <f t="shared" si="13"/>
        <v>59102</v>
      </c>
      <c r="H114" s="1691">
        <f>SUM(H33,H74,H75,H102,H112,H113)</f>
        <v>47121</v>
      </c>
      <c r="I114" s="1691">
        <f t="shared" si="13"/>
        <v>0</v>
      </c>
      <c r="J114" s="1691">
        <f t="shared" si="13"/>
        <v>0</v>
      </c>
      <c r="K114" s="1691">
        <f t="shared" si="13"/>
        <v>12065490</v>
      </c>
      <c r="L114" s="1691">
        <f>SUM(L33,L74,L75,L102,L112,L113)</f>
        <v>12619224</v>
      </c>
    </row>
    <row r="115" spans="1:14" ht="13.5" thickTop="1" x14ac:dyDescent="0.2">
      <c r="A115" s="2181" t="s">
        <v>1053</v>
      </c>
      <c r="B115" s="2182"/>
      <c r="C115" s="619"/>
      <c r="D115" s="619"/>
      <c r="E115" s="619"/>
      <c r="F115" s="619"/>
      <c r="G115" s="619"/>
      <c r="H115" s="619"/>
      <c r="I115" s="619"/>
      <c r="J115" s="619"/>
      <c r="K115" s="1705">
        <f>'Revenues 9-14'!C275-'Expenditures 15-22'!K114</f>
        <v>572669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6" t="s">
        <v>314</v>
      </c>
      <c r="B117" s="2187"/>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v>422392</v>
      </c>
      <c r="H123" s="466"/>
      <c r="I123" s="467"/>
      <c r="J123" s="467"/>
      <c r="K123" s="1691">
        <f>SUM(C123:J123)</f>
        <v>422392</v>
      </c>
      <c r="L123" s="466">
        <v>500000</v>
      </c>
    </row>
    <row r="124" spans="1:14" ht="14.25" thickTop="1" thickBot="1" x14ac:dyDescent="0.25">
      <c r="A124" s="1525" t="s">
        <v>206</v>
      </c>
      <c r="B124" s="615">
        <v>2540</v>
      </c>
      <c r="C124" s="466"/>
      <c r="D124" s="466"/>
      <c r="E124" s="466">
        <v>51930</v>
      </c>
      <c r="F124" s="466">
        <f>3965+36830+189037</f>
        <v>229832</v>
      </c>
      <c r="G124" s="466">
        <f>90245+177361</f>
        <v>267606</v>
      </c>
      <c r="H124" s="466"/>
      <c r="I124" s="467"/>
      <c r="J124" s="467"/>
      <c r="K124" s="1691">
        <f>SUM(C124:J124)</f>
        <v>549368</v>
      </c>
      <c r="L124" s="466">
        <v>360000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51930</v>
      </c>
      <c r="F127" s="1691">
        <f t="shared" si="14"/>
        <v>229832</v>
      </c>
      <c r="G127" s="1691">
        <f t="shared" si="14"/>
        <v>689998</v>
      </c>
      <c r="H127" s="1691">
        <f t="shared" si="14"/>
        <v>0</v>
      </c>
      <c r="I127" s="1691">
        <f t="shared" si="14"/>
        <v>0</v>
      </c>
      <c r="J127" s="1691">
        <f t="shared" si="14"/>
        <v>0</v>
      </c>
      <c r="K127" s="1691">
        <f t="shared" si="14"/>
        <v>971760</v>
      </c>
      <c r="L127" s="1691">
        <f t="shared" si="14"/>
        <v>860000</v>
      </c>
    </row>
    <row r="128" spans="1:14" ht="12.75" customHeight="1" thickTop="1" x14ac:dyDescent="0.2">
      <c r="A128" s="1532" t="s">
        <v>1037</v>
      </c>
      <c r="B128" s="656" t="s">
        <v>595</v>
      </c>
      <c r="C128" s="657"/>
      <c r="D128" s="657"/>
      <c r="E128" s="657">
        <v>57238</v>
      </c>
      <c r="F128" s="657"/>
      <c r="G128" s="657"/>
      <c r="H128" s="657"/>
      <c r="I128" s="535"/>
      <c r="J128" s="535"/>
      <c r="K128" s="1706">
        <f>SUM(C128:J128)</f>
        <v>57238</v>
      </c>
      <c r="L128" s="657">
        <v>57825</v>
      </c>
    </row>
    <row r="129" spans="1:14" ht="12.75" customHeight="1" thickBot="1" x14ac:dyDescent="0.25">
      <c r="A129" s="1707" t="s">
        <v>865</v>
      </c>
      <c r="B129" s="1708" t="s">
        <v>590</v>
      </c>
      <c r="C129" s="1698">
        <f>SUM(C120,C127,C128)</f>
        <v>0</v>
      </c>
      <c r="D129" s="1698">
        <f t="shared" ref="D129:L129" si="15">SUM(D120,D127,D128)</f>
        <v>0</v>
      </c>
      <c r="E129" s="1698">
        <f t="shared" si="15"/>
        <v>109168</v>
      </c>
      <c r="F129" s="1698">
        <f t="shared" si="15"/>
        <v>229832</v>
      </c>
      <c r="G129" s="1698">
        <f t="shared" si="15"/>
        <v>689998</v>
      </c>
      <c r="H129" s="1698">
        <f t="shared" si="15"/>
        <v>0</v>
      </c>
      <c r="I129" s="1698">
        <f t="shared" si="15"/>
        <v>0</v>
      </c>
      <c r="J129" s="1698">
        <f t="shared" si="15"/>
        <v>0</v>
      </c>
      <c r="K129" s="1698">
        <f t="shared" si="15"/>
        <v>1028998</v>
      </c>
      <c r="L129" s="1698">
        <f t="shared" si="15"/>
        <v>917825</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1956</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8" t="s">
        <v>641</v>
      </c>
      <c r="B151" s="2178"/>
      <c r="C151" s="1691">
        <f>SUM(C129,C130,C139,C149,C150)</f>
        <v>0</v>
      </c>
      <c r="D151" s="1691">
        <f t="shared" ref="D151:K151" si="16">SUM(D129,D130,D139,D149,D150)</f>
        <v>0</v>
      </c>
      <c r="E151" s="1691">
        <f t="shared" si="16"/>
        <v>109168</v>
      </c>
      <c r="F151" s="1691">
        <f t="shared" si="16"/>
        <v>229832</v>
      </c>
      <c r="G151" s="1691">
        <f t="shared" si="16"/>
        <v>689998</v>
      </c>
      <c r="H151" s="1691">
        <f t="shared" si="16"/>
        <v>0</v>
      </c>
      <c r="I151" s="1691">
        <f t="shared" si="16"/>
        <v>0</v>
      </c>
      <c r="J151" s="1691">
        <f t="shared" si="16"/>
        <v>0</v>
      </c>
      <c r="K151" s="1691">
        <f t="shared" si="16"/>
        <v>1028998</v>
      </c>
      <c r="L151" s="1691">
        <f>SUM(L129,L130,L139,L149,L150)</f>
        <v>917825</v>
      </c>
    </row>
    <row r="152" spans="1:14" ht="12.75" customHeight="1" thickTop="1" x14ac:dyDescent="0.2">
      <c r="A152" s="2201" t="s">
        <v>1240</v>
      </c>
      <c r="B152" s="2202"/>
      <c r="C152" s="619"/>
      <c r="D152" s="619"/>
      <c r="E152" s="619"/>
      <c r="F152" s="619"/>
      <c r="G152" s="619"/>
      <c r="H152" s="619"/>
      <c r="I152" s="619"/>
      <c r="J152" s="617"/>
      <c r="K152" s="1705">
        <f>'Revenues 9-14'!D275-'Expenditures 15-22'!K151</f>
        <v>-652192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6" t="s">
        <v>642</v>
      </c>
      <c r="B154" s="2188"/>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1957</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1956</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1958</v>
      </c>
      <c r="C158" s="617"/>
      <c r="D158" s="617"/>
      <c r="E158" s="617"/>
      <c r="F158" s="617"/>
      <c r="G158" s="617"/>
      <c r="H158" s="467"/>
      <c r="I158" s="617"/>
      <c r="J158" s="617"/>
      <c r="K158" s="1692">
        <f>H158</f>
        <v>0</v>
      </c>
      <c r="L158" s="467"/>
      <c r="M158" s="620"/>
      <c r="N158" s="620"/>
    </row>
    <row r="159" spans="1:14" s="621" customFormat="1" ht="12" x14ac:dyDescent="0.2">
      <c r="A159" s="1848" t="s">
        <v>1959</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1960</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f>62140+874</f>
        <v>63014</v>
      </c>
      <c r="I169" s="617"/>
      <c r="J169" s="617"/>
      <c r="K169" s="1692">
        <f>SUM(C169:H169)</f>
        <v>63014</v>
      </c>
      <c r="L169" s="657">
        <v>62140</v>
      </c>
    </row>
    <row r="170" spans="1:14" ht="33.75" customHeight="1" x14ac:dyDescent="0.2">
      <c r="A170" s="670" t="s">
        <v>1769</v>
      </c>
      <c r="B170" s="672" t="s">
        <v>31</v>
      </c>
      <c r="C170" s="617"/>
      <c r="D170" s="617"/>
      <c r="E170" s="617"/>
      <c r="F170" s="617"/>
      <c r="G170" s="617"/>
      <c r="H170" s="569">
        <f>145000+2405</f>
        <v>147405</v>
      </c>
      <c r="I170" s="617"/>
      <c r="J170" s="617"/>
      <c r="K170" s="1692">
        <f>SUM(C170:J170)</f>
        <v>147405</v>
      </c>
      <c r="L170" s="569">
        <v>145000</v>
      </c>
    </row>
    <row r="171" spans="1:14" ht="15.75" customHeight="1" x14ac:dyDescent="0.2">
      <c r="A171" s="622" t="s">
        <v>790</v>
      </c>
      <c r="B171" s="673" t="s">
        <v>86</v>
      </c>
      <c r="C171" s="617"/>
      <c r="D171" s="617"/>
      <c r="E171" s="466"/>
      <c r="F171" s="617"/>
      <c r="G171" s="617"/>
      <c r="H171" s="569">
        <v>265</v>
      </c>
      <c r="I171" s="477"/>
      <c r="J171" s="617"/>
      <c r="K171" s="1692">
        <f>SUM(C171:J171)</f>
        <v>265</v>
      </c>
      <c r="L171" s="569">
        <v>2000</v>
      </c>
    </row>
    <row r="172" spans="1:14" ht="12.75" customHeight="1" thickBot="1" x14ac:dyDescent="0.25">
      <c r="A172" s="1689" t="s">
        <v>659</v>
      </c>
      <c r="B172" s="1690" t="s">
        <v>513</v>
      </c>
      <c r="C172" s="617"/>
      <c r="D172" s="617"/>
      <c r="E172" s="1698">
        <f>SUM(E168,E169,E170,E171)</f>
        <v>0</v>
      </c>
      <c r="F172" s="617"/>
      <c r="G172" s="617"/>
      <c r="H172" s="1698">
        <f>SUM(H168,H169,H170,H171)</f>
        <v>210684</v>
      </c>
      <c r="I172" s="639"/>
      <c r="J172" s="617"/>
      <c r="K172" s="1698">
        <f>SUM(K168,K169,K170,K171)</f>
        <v>210684</v>
      </c>
      <c r="L172" s="1698">
        <f>SUM(L168,L169,L170,L171)</f>
        <v>209140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210684</v>
      </c>
      <c r="I174" s="639"/>
      <c r="J174" s="617"/>
      <c r="K174" s="1698">
        <f>SUM(K160,K172,K173)</f>
        <v>210684</v>
      </c>
      <c r="L174" s="1698">
        <f>SUM(L160,L172,L173)</f>
        <v>209140</v>
      </c>
    </row>
    <row r="175" spans="1:14" ht="13.5" thickTop="1" x14ac:dyDescent="0.2">
      <c r="A175" s="2181" t="s">
        <v>1053</v>
      </c>
      <c r="B175" s="2182"/>
      <c r="C175" s="617"/>
      <c r="D175" s="617"/>
      <c r="E175" s="617"/>
      <c r="F175" s="617"/>
      <c r="G175" s="617"/>
      <c r="H175" s="619"/>
      <c r="I175" s="617"/>
      <c r="J175" s="617"/>
      <c r="K175" s="1705">
        <f>'Revenues 9-14'!E275-'Expenditures 15-22'!K174</f>
        <v>1549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9250</v>
      </c>
      <c r="D182" s="466">
        <v>780</v>
      </c>
      <c r="E182" s="466">
        <f>641054+2802+148</f>
        <v>644004</v>
      </c>
      <c r="F182" s="466"/>
      <c r="G182" s="466">
        <v>1034</v>
      </c>
      <c r="H182" s="466">
        <v>399</v>
      </c>
      <c r="I182" s="467"/>
      <c r="J182" s="467"/>
      <c r="K182" s="1692">
        <f>SUM(C182:J182)</f>
        <v>655467</v>
      </c>
      <c r="L182" s="466">
        <v>692000</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9250</v>
      </c>
      <c r="D184" s="1698">
        <f t="shared" ref="D184:J184" si="17">SUM(D180,D182,D183)</f>
        <v>780</v>
      </c>
      <c r="E184" s="1698">
        <f t="shared" si="17"/>
        <v>644004</v>
      </c>
      <c r="F184" s="1698">
        <f t="shared" si="17"/>
        <v>0</v>
      </c>
      <c r="G184" s="1698">
        <f t="shared" si="17"/>
        <v>1034</v>
      </c>
      <c r="H184" s="1698">
        <f t="shared" si="17"/>
        <v>399</v>
      </c>
      <c r="I184" s="1698">
        <f t="shared" si="17"/>
        <v>0</v>
      </c>
      <c r="J184" s="1698">
        <f t="shared" si="17"/>
        <v>0</v>
      </c>
      <c r="K184" s="1698">
        <f>SUM(K180,K182,K183)</f>
        <v>655467</v>
      </c>
      <c r="L184" s="1698">
        <f>SUM(L180, L182:L183)</f>
        <v>692000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9250</v>
      </c>
      <c r="D210" s="1691">
        <f>SUM(D184,D185)</f>
        <v>780</v>
      </c>
      <c r="E210" s="1691">
        <f>SUM(E184,E185,E196)</f>
        <v>644004</v>
      </c>
      <c r="F210" s="1691">
        <f>SUM(F184,F185)</f>
        <v>0</v>
      </c>
      <c r="G210" s="1691">
        <f>SUM(G184,G185)</f>
        <v>1034</v>
      </c>
      <c r="H210" s="1691">
        <f>SUM(H184,H185,H196,H208,H209)</f>
        <v>399</v>
      </c>
      <c r="I210" s="1691">
        <f>SUM(I184,I185)</f>
        <v>0</v>
      </c>
      <c r="J210" s="1691">
        <f>SUM(J184,J185)</f>
        <v>0</v>
      </c>
      <c r="K210" s="1692">
        <f>SUM(K184,K185,K196,K208,K209)</f>
        <v>655467</v>
      </c>
      <c r="L210" s="1691">
        <f>SUM(L184,L185,L196,L208,L209)</f>
        <v>692000</v>
      </c>
    </row>
    <row r="211" spans="1:14" ht="13.5" thickTop="1" x14ac:dyDescent="0.2">
      <c r="A211" s="2181" t="s">
        <v>1053</v>
      </c>
      <c r="B211" s="2182"/>
      <c r="C211" s="619"/>
      <c r="D211" s="619"/>
      <c r="E211" s="619"/>
      <c r="F211" s="619"/>
      <c r="G211" s="619"/>
      <c r="H211" s="619"/>
      <c r="I211" s="617"/>
      <c r="J211" s="617"/>
      <c r="K211" s="1705">
        <f>'Revenues 9-14'!F275-'Expenditures 15-22'!K210</f>
        <v>612916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3" t="s">
        <v>1022</v>
      </c>
      <c r="B213" s="2204"/>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f>4179+5483+48551+164+684</f>
        <v>59061</v>
      </c>
      <c r="E215" s="617"/>
      <c r="F215" s="617"/>
      <c r="G215" s="617"/>
      <c r="H215" s="617"/>
      <c r="I215" s="617"/>
      <c r="J215" s="617"/>
      <c r="K215" s="1692">
        <f>D215</f>
        <v>59061</v>
      </c>
      <c r="L215" s="466">
        <v>65272</v>
      </c>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f>908+2706+1533+4499+1379+1084+4170+297+1644+4188+3976+184+1052+2730+1367+25564+1152+6372+21728+16603+730+4017+13264+7614</f>
        <v>128761</v>
      </c>
      <c r="E217" s="617"/>
      <c r="F217" s="617"/>
      <c r="G217" s="617"/>
      <c r="H217" s="617"/>
      <c r="I217" s="617"/>
      <c r="J217" s="617"/>
      <c r="K217" s="1692">
        <f t="shared" si="19"/>
        <v>128761</v>
      </c>
      <c r="L217" s="466">
        <v>139804</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f>868+6278+445+3448+271+2858</f>
        <v>14168</v>
      </c>
      <c r="E219" s="617"/>
      <c r="F219" s="617"/>
      <c r="G219" s="617"/>
      <c r="H219" s="617"/>
      <c r="I219" s="617"/>
      <c r="J219" s="617"/>
      <c r="K219" s="1692">
        <f t="shared" si="19"/>
        <v>14168</v>
      </c>
      <c r="L219" s="466">
        <v>18216</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c r="E223" s="617"/>
      <c r="F223" s="617"/>
      <c r="G223" s="617"/>
      <c r="H223" s="617"/>
      <c r="I223" s="617"/>
      <c r="J223" s="617"/>
      <c r="K223" s="1692">
        <f t="shared" si="19"/>
        <v>0</v>
      </c>
      <c r="L223" s="466"/>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v>294</v>
      </c>
      <c r="E225" s="617"/>
      <c r="F225" s="617"/>
      <c r="G225" s="617"/>
      <c r="H225" s="617"/>
      <c r="I225" s="617"/>
      <c r="J225" s="617"/>
      <c r="K225" s="1692">
        <f t="shared" si="19"/>
        <v>294</v>
      </c>
      <c r="L225" s="466">
        <v>300</v>
      </c>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202284</v>
      </c>
      <c r="E229" s="617"/>
      <c r="F229" s="617"/>
      <c r="G229" s="617"/>
      <c r="H229" s="617"/>
      <c r="I229" s="617"/>
      <c r="J229" s="617"/>
      <c r="K229" s="1691">
        <f>SUM(K215:K228)</f>
        <v>202284</v>
      </c>
      <c r="L229" s="1691">
        <f>SUM(L215:L228)</f>
        <v>223592</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f>547+264</f>
        <v>811</v>
      </c>
      <c r="E233" s="617"/>
      <c r="F233" s="617"/>
      <c r="G233" s="617"/>
      <c r="H233" s="617"/>
      <c r="I233" s="617"/>
      <c r="J233" s="617"/>
      <c r="K233" s="1692">
        <f t="shared" si="20"/>
        <v>811</v>
      </c>
      <c r="L233" s="466">
        <v>1000</v>
      </c>
    </row>
    <row r="234" spans="1:12" x14ac:dyDescent="0.2">
      <c r="A234" s="1525" t="s">
        <v>207</v>
      </c>
      <c r="B234" s="615">
        <v>2130</v>
      </c>
      <c r="C234" s="617"/>
      <c r="D234" s="466">
        <f>117+1104</f>
        <v>1221</v>
      </c>
      <c r="E234" s="617"/>
      <c r="F234" s="617"/>
      <c r="G234" s="617"/>
      <c r="H234" s="617"/>
      <c r="I234" s="617"/>
      <c r="J234" s="617"/>
      <c r="K234" s="1692">
        <f t="shared" si="20"/>
        <v>1221</v>
      </c>
      <c r="L234" s="466">
        <v>1200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2032</v>
      </c>
      <c r="E238" s="617"/>
      <c r="F238" s="617"/>
      <c r="G238" s="617"/>
      <c r="H238" s="617"/>
      <c r="I238" s="617"/>
      <c r="J238" s="617"/>
      <c r="K238" s="1691">
        <f>SUM(K232:K237)</f>
        <v>2032</v>
      </c>
      <c r="L238" s="1691">
        <f>SUM(L232:L237)</f>
        <v>2200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f>168+20+4+59+32</f>
        <v>283</v>
      </c>
      <c r="E240" s="617"/>
      <c r="F240" s="617"/>
      <c r="G240" s="617"/>
      <c r="H240" s="617"/>
      <c r="I240" s="617"/>
      <c r="J240" s="617"/>
      <c r="K240" s="1693">
        <f>D240</f>
        <v>283</v>
      </c>
      <c r="L240" s="481">
        <v>3697</v>
      </c>
    </row>
    <row r="241" spans="1:12" x14ac:dyDescent="0.2">
      <c r="A241" s="1525" t="s">
        <v>869</v>
      </c>
      <c r="B241" s="615">
        <v>2220</v>
      </c>
      <c r="C241" s="617"/>
      <c r="D241" s="466">
        <f>3396+352+17463+2182+222+10901+679</f>
        <v>35195</v>
      </c>
      <c r="E241" s="617"/>
      <c r="F241" s="617"/>
      <c r="G241" s="617"/>
      <c r="H241" s="617"/>
      <c r="I241" s="617"/>
      <c r="J241" s="617"/>
      <c r="K241" s="1693">
        <f>D241</f>
        <v>35195</v>
      </c>
      <c r="L241" s="466">
        <v>36802</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35478</v>
      </c>
      <c r="E243" s="617"/>
      <c r="F243" s="617"/>
      <c r="G243" s="617"/>
      <c r="H243" s="617"/>
      <c r="I243" s="617"/>
      <c r="J243" s="617"/>
      <c r="K243" s="1691">
        <f>SUM(K240:K242)</f>
        <v>35478</v>
      </c>
      <c r="L243" s="1691">
        <f>SUM(L240:L242)</f>
        <v>40499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f>5167+3262+1708</f>
        <v>10137</v>
      </c>
      <c r="E246" s="617"/>
      <c r="F246" s="617"/>
      <c r="G246" s="617"/>
      <c r="H246" s="617"/>
      <c r="I246" s="617"/>
      <c r="J246" s="617"/>
      <c r="K246" s="1693">
        <f t="shared" ref="K246:K256" si="21">D246</f>
        <v>10137</v>
      </c>
      <c r="L246" s="466">
        <v>10550</v>
      </c>
    </row>
    <row r="247" spans="1:12" x14ac:dyDescent="0.2">
      <c r="A247" s="1525" t="s">
        <v>873</v>
      </c>
      <c r="B247" s="615">
        <v>2330</v>
      </c>
      <c r="C247" s="617"/>
      <c r="D247" s="466">
        <v>74</v>
      </c>
      <c r="E247" s="617"/>
      <c r="F247" s="617"/>
      <c r="G247" s="617"/>
      <c r="H247" s="617"/>
      <c r="I247" s="617"/>
      <c r="J247" s="617"/>
      <c r="K247" s="1693">
        <f t="shared" si="21"/>
        <v>74</v>
      </c>
      <c r="L247" s="466">
        <v>71</v>
      </c>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1907</v>
      </c>
      <c r="B249" s="684" t="s">
        <v>300</v>
      </c>
      <c r="C249" s="617"/>
      <c r="D249" s="474"/>
      <c r="E249" s="617"/>
      <c r="F249" s="617"/>
      <c r="G249" s="617"/>
      <c r="H249" s="617"/>
      <c r="I249" s="617"/>
      <c r="J249" s="617"/>
      <c r="K249" s="1693">
        <f t="shared" si="21"/>
        <v>0</v>
      </c>
      <c r="L249" s="466"/>
    </row>
    <row r="250" spans="1:12" x14ac:dyDescent="0.2">
      <c r="A250" s="1526" t="s">
        <v>1908</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f>1749+1109</f>
        <v>2858</v>
      </c>
      <c r="E254" s="617"/>
      <c r="F254" s="617"/>
      <c r="G254" s="617"/>
      <c r="H254" s="617"/>
      <c r="I254" s="617"/>
      <c r="J254" s="617"/>
      <c r="K254" s="1693">
        <f t="shared" si="21"/>
        <v>2858</v>
      </c>
      <c r="L254" s="466">
        <v>2900</v>
      </c>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13069</v>
      </c>
      <c r="E257" s="617"/>
      <c r="F257" s="617"/>
      <c r="G257" s="617"/>
      <c r="H257" s="617"/>
      <c r="I257" s="617"/>
      <c r="J257" s="617"/>
      <c r="K257" s="1691">
        <f>SUM(K245:K256)</f>
        <v>13069</v>
      </c>
      <c r="L257" s="1691">
        <f>SUM(L245:L256)</f>
        <v>13521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f>26041+16717+6928</f>
        <v>49686</v>
      </c>
      <c r="E259" s="617"/>
      <c r="F259" s="617"/>
      <c r="G259" s="617"/>
      <c r="H259" s="617"/>
      <c r="I259" s="617"/>
      <c r="J259" s="617"/>
      <c r="K259" s="1693">
        <f>D259</f>
        <v>49686</v>
      </c>
      <c r="L259" s="481">
        <v>52500</v>
      </c>
    </row>
    <row r="260" spans="1:14" s="598" customFormat="1" x14ac:dyDescent="0.2">
      <c r="A260" s="1543" t="s">
        <v>1906</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49686</v>
      </c>
      <c r="E261" s="617"/>
      <c r="F261" s="617"/>
      <c r="G261" s="617"/>
      <c r="H261" s="617"/>
      <c r="I261" s="617"/>
      <c r="J261" s="617"/>
      <c r="K261" s="1691">
        <f>SUM(K259:K260)</f>
        <v>49686</v>
      </c>
      <c r="L261" s="1691">
        <f>SUM(L259:L260)</f>
        <v>52500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f>16449+840+10528+491</f>
        <v>28308</v>
      </c>
      <c r="E264" s="617"/>
      <c r="F264" s="617"/>
      <c r="G264" s="617"/>
      <c r="H264" s="617"/>
      <c r="I264" s="617"/>
      <c r="J264" s="617"/>
      <c r="K264" s="1693">
        <f t="shared" ref="K264:K269" si="22">D264</f>
        <v>28308</v>
      </c>
      <c r="L264" s="466">
        <v>28381</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f>53599+34630</f>
        <v>88229</v>
      </c>
      <c r="E266" s="617"/>
      <c r="F266" s="617"/>
      <c r="G266" s="617"/>
      <c r="H266" s="617"/>
      <c r="I266" s="617"/>
      <c r="J266" s="617"/>
      <c r="K266" s="1693">
        <f t="shared" si="22"/>
        <v>88229</v>
      </c>
      <c r="L266" s="466">
        <v>97500</v>
      </c>
    </row>
    <row r="267" spans="1:14" x14ac:dyDescent="0.2">
      <c r="A267" s="1525" t="s">
        <v>1010</v>
      </c>
      <c r="B267" s="615">
        <v>2550</v>
      </c>
      <c r="C267" s="617"/>
      <c r="D267" s="466">
        <f>1104+651</f>
        <v>1755</v>
      </c>
      <c r="E267" s="617"/>
      <c r="F267" s="617"/>
      <c r="G267" s="617"/>
      <c r="H267" s="617"/>
      <c r="I267" s="617"/>
      <c r="J267" s="617"/>
      <c r="K267" s="1693">
        <f t="shared" si="22"/>
        <v>1755</v>
      </c>
      <c r="L267" s="466">
        <v>1250</v>
      </c>
    </row>
    <row r="268" spans="1:14" x14ac:dyDescent="0.2">
      <c r="A268" s="1525" t="s">
        <v>102</v>
      </c>
      <c r="B268" s="615">
        <v>2560</v>
      </c>
      <c r="C268" s="617"/>
      <c r="D268" s="466">
        <f>37205+24893+129</f>
        <v>62227</v>
      </c>
      <c r="E268" s="617"/>
      <c r="F268" s="617"/>
      <c r="G268" s="617"/>
      <c r="H268" s="617"/>
      <c r="I268" s="617"/>
      <c r="J268" s="617"/>
      <c r="K268" s="1693">
        <f t="shared" si="22"/>
        <v>62227</v>
      </c>
      <c r="L268" s="466">
        <v>69700</v>
      </c>
    </row>
    <row r="269" spans="1:14" x14ac:dyDescent="0.2">
      <c r="A269" s="1525" t="s">
        <v>103</v>
      </c>
      <c r="B269" s="615">
        <v>2570</v>
      </c>
      <c r="C269" s="617"/>
      <c r="D269" s="466">
        <f>613+390</f>
        <v>1003</v>
      </c>
      <c r="E269" s="617"/>
      <c r="F269" s="617"/>
      <c r="G269" s="617"/>
      <c r="H269" s="617"/>
      <c r="I269" s="617"/>
      <c r="J269" s="617"/>
      <c r="K269" s="1693">
        <f t="shared" si="22"/>
        <v>1003</v>
      </c>
      <c r="L269" s="466">
        <v>1008</v>
      </c>
    </row>
    <row r="270" spans="1:14" ht="12.75" customHeight="1" thickBot="1" x14ac:dyDescent="0.25">
      <c r="A270" s="1689" t="s">
        <v>743</v>
      </c>
      <c r="B270" s="1696" t="s">
        <v>35</v>
      </c>
      <c r="C270" s="617"/>
      <c r="D270" s="1691">
        <f>SUM(D263:D269)</f>
        <v>181522</v>
      </c>
      <c r="E270" s="617"/>
      <c r="F270" s="617"/>
      <c r="G270" s="617"/>
      <c r="H270" s="617"/>
      <c r="I270" s="617"/>
      <c r="J270" s="617"/>
      <c r="K270" s="1691">
        <f>SUM(K263:K269)</f>
        <v>181522</v>
      </c>
      <c r="L270" s="1691">
        <f>SUM(L263:L269)</f>
        <v>197839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v>130</v>
      </c>
      <c r="E273" s="617"/>
      <c r="F273" s="617"/>
      <c r="G273" s="617"/>
      <c r="H273" s="617"/>
      <c r="I273" s="617"/>
      <c r="J273" s="617"/>
      <c r="K273" s="1693">
        <f>D273</f>
        <v>130</v>
      </c>
      <c r="L273" s="466">
        <v>117</v>
      </c>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130</v>
      </c>
      <c r="E277" s="617"/>
      <c r="F277" s="617"/>
      <c r="G277" s="617"/>
      <c r="H277" s="617"/>
      <c r="I277" s="617"/>
      <c r="J277" s="617"/>
      <c r="K277" s="1691">
        <f>SUM(K272:K276)</f>
        <v>130</v>
      </c>
      <c r="L277" s="1691">
        <f>SUM(L272:L276)</f>
        <v>117</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281917</v>
      </c>
      <c r="E279" s="617"/>
      <c r="F279" s="617"/>
      <c r="G279" s="617"/>
      <c r="H279" s="617"/>
      <c r="I279" s="617"/>
      <c r="J279" s="617"/>
      <c r="K279" s="1698">
        <f>SUM(K238,K243,K257,K261,K270,K277,K278)</f>
        <v>281917</v>
      </c>
      <c r="L279" s="1698">
        <f>SUM(L238,L243,L257,L261,L270,L277,L278)</f>
        <v>306676</v>
      </c>
    </row>
    <row r="280" spans="1:12" ht="15.75" customHeight="1" thickTop="1" thickBot="1" x14ac:dyDescent="0.25">
      <c r="A280" s="1645" t="s">
        <v>930</v>
      </c>
      <c r="B280" s="1634">
        <v>3000</v>
      </c>
      <c r="C280" s="617"/>
      <c r="D280" s="576">
        <f>736+4185+462+2627</f>
        <v>8010</v>
      </c>
      <c r="E280" s="617"/>
      <c r="F280" s="617"/>
      <c r="G280" s="617"/>
      <c r="H280" s="617"/>
      <c r="I280" s="617"/>
      <c r="J280" s="617"/>
      <c r="K280" s="1700">
        <f>D280</f>
        <v>8010</v>
      </c>
      <c r="L280" s="576">
        <v>9318</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1956</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9" t="s">
        <v>526</v>
      </c>
      <c r="B295" s="2200"/>
      <c r="C295" s="617"/>
      <c r="D295" s="1691">
        <f>SUM(D229,D279,D280,D285)</f>
        <v>492211</v>
      </c>
      <c r="E295" s="617"/>
      <c r="F295" s="617"/>
      <c r="G295" s="617"/>
      <c r="H295" s="1691">
        <f>H293</f>
        <v>0</v>
      </c>
      <c r="I295" s="617"/>
      <c r="J295" s="617"/>
      <c r="K295" s="1691">
        <f>SUM(K229,K279,K280,K285,K293,K294)</f>
        <v>492211</v>
      </c>
      <c r="L295" s="1691">
        <f>SUM(L229,L279,L280,L285,L293,L294)</f>
        <v>539586</v>
      </c>
    </row>
    <row r="296" spans="1:14" ht="13.5" thickTop="1" x14ac:dyDescent="0.2">
      <c r="A296" s="2181" t="s">
        <v>1053</v>
      </c>
      <c r="B296" s="2182"/>
      <c r="C296" s="617"/>
      <c r="D296" s="619"/>
      <c r="E296" s="617"/>
      <c r="F296" s="617"/>
      <c r="G296" s="617"/>
      <c r="H296" s="688"/>
      <c r="I296" s="617"/>
      <c r="J296" s="617"/>
      <c r="K296" s="1705">
        <f>'Revenues 9-14'!G275-'Expenditures 15-22'!K295</f>
        <v>50456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1" t="s">
        <v>145</v>
      </c>
      <c r="B298" s="2185"/>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v>500000</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500000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1961</v>
      </c>
      <c r="B306" s="691" t="s">
        <v>1956</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6" t="s">
        <v>295</v>
      </c>
      <c r="B312" s="2197"/>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500000</v>
      </c>
      <c r="M312" s="666"/>
      <c r="N312" s="666"/>
    </row>
    <row r="313" spans="1:14" ht="13.5" thickTop="1" x14ac:dyDescent="0.2">
      <c r="A313" s="2192" t="s">
        <v>1053</v>
      </c>
      <c r="B313" s="2193"/>
      <c r="C313" s="627"/>
      <c r="D313" s="627"/>
      <c r="E313" s="627"/>
      <c r="F313" s="627"/>
      <c r="G313" s="627"/>
      <c r="H313" s="627"/>
      <c r="I313" s="627"/>
      <c r="J313" s="627"/>
      <c r="K313" s="1706">
        <f>'Revenues 9-14'!H275-'Expenditures 15-22'!K312</f>
        <v>500000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5" t="s">
        <v>151</v>
      </c>
      <c r="B315" s="2206"/>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7" t="s">
        <v>954</v>
      </c>
      <c r="B317" s="2206"/>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1907</v>
      </c>
      <c r="B320" s="699" t="s">
        <v>300</v>
      </c>
      <c r="C320" s="467"/>
      <c r="D320" s="467"/>
      <c r="E320" s="467">
        <v>100261</v>
      </c>
      <c r="F320" s="467"/>
      <c r="G320" s="467"/>
      <c r="H320" s="467"/>
      <c r="I320" s="467"/>
      <c r="J320" s="467"/>
      <c r="K320" s="1692">
        <f t="shared" ref="K320:K327" si="24">SUM(C320:J320)</f>
        <v>100261</v>
      </c>
      <c r="L320" s="467">
        <v>100261</v>
      </c>
      <c r="M320" s="666"/>
      <c r="N320" s="666"/>
    </row>
    <row r="321" spans="1:14" s="675" customFormat="1" x14ac:dyDescent="0.2">
      <c r="A321" s="1540" t="s">
        <v>318</v>
      </c>
      <c r="B321" s="698" t="s">
        <v>301</v>
      </c>
      <c r="C321" s="467"/>
      <c r="D321" s="467"/>
      <c r="E321" s="467">
        <v>5886</v>
      </c>
      <c r="F321" s="467"/>
      <c r="G321" s="467"/>
      <c r="H321" s="467"/>
      <c r="I321" s="467"/>
      <c r="J321" s="467"/>
      <c r="K321" s="1692">
        <f t="shared" si="24"/>
        <v>5886</v>
      </c>
      <c r="L321" s="467">
        <v>40000</v>
      </c>
      <c r="M321" s="666"/>
      <c r="N321" s="666"/>
    </row>
    <row r="322" spans="1:14" s="675" customFormat="1" x14ac:dyDescent="0.2">
      <c r="A322" s="1540" t="s">
        <v>256</v>
      </c>
      <c r="B322" s="698" t="s">
        <v>302</v>
      </c>
      <c r="C322" s="467"/>
      <c r="D322" s="467"/>
      <c r="E322" s="467">
        <v>9478</v>
      </c>
      <c r="F322" s="467"/>
      <c r="G322" s="467"/>
      <c r="H322" s="467"/>
      <c r="I322" s="467"/>
      <c r="J322" s="467"/>
      <c r="K322" s="1692">
        <f t="shared" si="24"/>
        <v>9478</v>
      </c>
      <c r="L322" s="467">
        <v>9478</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f>14688+18887+6960</f>
        <v>40535</v>
      </c>
      <c r="F325" s="467"/>
      <c r="G325" s="467"/>
      <c r="H325" s="467"/>
      <c r="I325" s="467"/>
      <c r="J325" s="467"/>
      <c r="K325" s="1692">
        <f t="shared" si="24"/>
        <v>40535</v>
      </c>
      <c r="L325" s="467">
        <v>41637</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3395</v>
      </c>
      <c r="F327" s="467"/>
      <c r="G327" s="467"/>
      <c r="H327" s="467"/>
      <c r="I327" s="467"/>
      <c r="J327" s="467"/>
      <c r="K327" s="1692">
        <f t="shared" si="24"/>
        <v>3395</v>
      </c>
      <c r="L327" s="467">
        <v>15000</v>
      </c>
      <c r="M327" s="666"/>
      <c r="N327" s="666"/>
    </row>
    <row r="328" spans="1:14" s="675" customFormat="1" x14ac:dyDescent="0.2">
      <c r="A328" s="1541" t="s">
        <v>492</v>
      </c>
      <c r="B328" s="691" t="s">
        <v>1194</v>
      </c>
      <c r="C328" s="474"/>
      <c r="D328" s="474"/>
      <c r="E328" s="474">
        <v>30461</v>
      </c>
      <c r="F328" s="474"/>
      <c r="G328" s="474"/>
      <c r="H328" s="474"/>
      <c r="I328" s="474"/>
      <c r="J328" s="474"/>
      <c r="K328" s="1720">
        <f>SUM(C328:J328)</f>
        <v>30461</v>
      </c>
      <c r="L328" s="474">
        <v>30461</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v>2500</v>
      </c>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190016</v>
      </c>
      <c r="F330" s="1691">
        <f t="shared" si="25"/>
        <v>0</v>
      </c>
      <c r="G330" s="1691">
        <f t="shared" si="25"/>
        <v>0</v>
      </c>
      <c r="H330" s="1691">
        <f t="shared" si="25"/>
        <v>0</v>
      </c>
      <c r="I330" s="1691">
        <f t="shared" si="25"/>
        <v>0</v>
      </c>
      <c r="J330" s="1691">
        <f t="shared" si="25"/>
        <v>0</v>
      </c>
      <c r="K330" s="1691">
        <f>SUM(K319:K329)</f>
        <v>190016</v>
      </c>
      <c r="L330" s="1691">
        <f>SUM(L319:L329)</f>
        <v>239337</v>
      </c>
      <c r="M330" s="666"/>
      <c r="N330" s="666"/>
    </row>
    <row r="331" spans="1:14" s="675" customFormat="1" ht="12.75" customHeight="1" thickTop="1" x14ac:dyDescent="0.2">
      <c r="A331" s="1853" t="s">
        <v>1962</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1956</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1958</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1963</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190016</v>
      </c>
      <c r="F342" s="1691">
        <f>SUM(F330)</f>
        <v>0</v>
      </c>
      <c r="G342" s="1691">
        <f>SUM(G330)</f>
        <v>0</v>
      </c>
      <c r="H342" s="1691">
        <f>SUM(H330,H334,H340)</f>
        <v>0</v>
      </c>
      <c r="I342" s="1691">
        <f>SUM(I330)</f>
        <v>0</v>
      </c>
      <c r="J342" s="1691">
        <f>SUM(J330)</f>
        <v>0</v>
      </c>
      <c r="K342" s="1691">
        <f>SUM(K330,K334,K340)</f>
        <v>190016</v>
      </c>
      <c r="L342" s="1698">
        <f>SUM(L330,L340,L341)</f>
        <v>239337</v>
      </c>
    </row>
    <row r="343" spans="1:14" ht="12.75" customHeight="1" thickTop="1" x14ac:dyDescent="0.2">
      <c r="A343" s="2194" t="s">
        <v>1053</v>
      </c>
      <c r="B343" s="2195"/>
      <c r="C343" s="617"/>
      <c r="D343" s="617"/>
      <c r="E343" s="617"/>
      <c r="F343" s="617"/>
      <c r="G343" s="617"/>
      <c r="H343" s="617"/>
      <c r="I343" s="617"/>
      <c r="J343" s="617"/>
      <c r="K343" s="1705">
        <f>'Revenues 9-14'!J275-'Expenditures 15-22'!K342</f>
        <v>75299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4" t="s">
        <v>1023</v>
      </c>
      <c r="B345" s="2185"/>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1964</v>
      </c>
      <c r="B354" s="684" t="s">
        <v>1956</v>
      </c>
      <c r="C354" s="617"/>
      <c r="D354" s="617"/>
      <c r="E354" s="617"/>
      <c r="F354" s="617"/>
      <c r="G354" s="617"/>
      <c r="H354" s="474"/>
      <c r="I354" s="702"/>
      <c r="J354" s="617"/>
      <c r="K354" s="1720">
        <f>H354</f>
        <v>0</v>
      </c>
      <c r="L354" s="471"/>
    </row>
    <row r="355" spans="1:14" ht="12.75" customHeight="1" x14ac:dyDescent="0.2">
      <c r="A355" s="1534" t="s">
        <v>1965</v>
      </c>
      <c r="B355" s="691" t="s">
        <v>1958</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81" t="s">
        <v>1053</v>
      </c>
      <c r="B368" s="2182"/>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4d435f69-8686-490b-bd6d-b153bf22ab50"/>
    <ds:schemaRef ds:uri="http://purl.org/dc/elements/1.1/"/>
    <ds:schemaRef ds:uri="http://schemas.openxmlformats.org/package/2006/metadata/core-properties"/>
    <ds:schemaRef ds:uri="d21dc803-237d-4c68-8692-8d731fd29118"/>
    <ds:schemaRef ds:uri="http://schemas.microsoft.com/office/2006/metadata/properties"/>
    <ds:schemaRef ds:uri="http://purl.org/dc/terms/"/>
    <ds:schemaRef ds:uri="http://schemas.microsoft.com/office/2006/documentManagement/types"/>
    <ds:schemaRef ds:uri="6ce3111e-7420-4802-b50a-75d4e9a0b980"/>
    <ds:schemaRef ds:uri="http://schemas.microsoft.com/office/infopath/2007/PartnerControl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2018-09-05T16:45:39Z</cp:lastPrinted>
  <dcterms:created xsi:type="dcterms:W3CDTF">2003-10-29T19:06:34Z</dcterms:created>
  <dcterms:modified xsi:type="dcterms:W3CDTF">2018-11-27T16:52:45Z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WPCSUniqueID">
    <vt:lpwstr>f7726242-eef4-440e-af98-f092b1bd76af</vt:lpwstr>
  </property>
</Properties>
</file>