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8" i="181"/>
  <c r="G28" i="181" s="1"/>
  <c r="E28" i="181"/>
  <c r="F27" i="181"/>
  <c r="G27" i="181" s="1"/>
  <c r="E27" i="181"/>
  <c r="F29" i="181"/>
  <c r="G29" i="181" s="1"/>
  <c r="E29" i="18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0" i="181" l="1"/>
  <c r="D80" i="36" l="1"/>
  <c r="B7797" i="106"/>
  <c r="E30" i="181"/>
  <c r="E17" i="181"/>
  <c r="E16" i="181"/>
  <c r="F16" i="181" s="1"/>
  <c r="G16" i="181" s="1"/>
  <c r="F17" i="181" l="1"/>
  <c r="G17" i="181" s="1"/>
  <c r="G30" i="181" s="1"/>
  <c r="G40" i="108" l="1"/>
  <c r="B7799" i="106"/>
  <c r="F3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s="1"/>
  <c r="B5114" i="106"/>
  <c r="D5114" i="106" s="1"/>
  <c r="B5115" i="106"/>
  <c r="D5115" i="106" s="1"/>
  <c r="B5116" i="106"/>
  <c r="D5116" i="106" s="1"/>
  <c r="B5117" i="106"/>
  <c r="D5117" i="106"/>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s="1"/>
  <c r="B6303" i="106"/>
  <c r="D6303" i="106" s="1"/>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c r="B6320" i="106"/>
  <c r="D6320" i="106" s="1"/>
  <c r="B6321" i="106"/>
  <c r="D6321" i="106" s="1"/>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c r="B6655" i="106"/>
  <c r="D6655" i="106" s="1"/>
  <c r="B6656" i="106"/>
  <c r="D6656" i="106" s="1"/>
  <c r="B6657" i="106"/>
  <c r="D6657" i="106" s="1"/>
  <c r="B6658" i="106"/>
  <c r="D6658" i="106" s="1"/>
  <c r="B6659" i="106"/>
  <c r="D6659" i="106" s="1"/>
  <c r="B6660" i="106"/>
  <c r="D6660" i="106"/>
  <c r="B6661" i="106"/>
  <c r="D6661" i="106" s="1"/>
  <c r="B6662" i="106"/>
  <c r="D6662" i="106"/>
  <c r="B6663" i="106"/>
  <c r="D6663" i="106" s="1"/>
  <c r="B6664" i="106"/>
  <c r="D6664" i="106" s="1"/>
  <c r="B6665" i="106"/>
  <c r="D6665" i="106" s="1"/>
  <c r="B6666" i="106"/>
  <c r="D6666" i="106" s="1"/>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s="1"/>
  <c r="B6729" i="106"/>
  <c r="D6729" i="106"/>
  <c r="B6730" i="106"/>
  <c r="D6730" i="106" s="1"/>
  <c r="B6731" i="106"/>
  <c r="D6731" i="106"/>
  <c r="B6732" i="106"/>
  <c r="D6732" i="106" s="1"/>
  <c r="B6733" i="106"/>
  <c r="D6733" i="106"/>
  <c r="B6734" i="106"/>
  <c r="D6734" i="106" s="1"/>
  <c r="B6735" i="106"/>
  <c r="D6735" i="106"/>
  <c r="B6736" i="106"/>
  <c r="D6736" i="106" s="1"/>
  <c r="B6737" i="106"/>
  <c r="D6737" i="106"/>
  <c r="B6738" i="106"/>
  <c r="D6738" i="106" s="1"/>
  <c r="B6739" i="106"/>
  <c r="D6739" i="106"/>
  <c r="B6740" i="106"/>
  <c r="D6740" i="106" s="1"/>
  <c r="B6741" i="106"/>
  <c r="D6741" i="106"/>
  <c r="B6742" i="106"/>
  <c r="D6742" i="106" s="1"/>
  <c r="B6743" i="106"/>
  <c r="D6743" i="106"/>
  <c r="B6744" i="106"/>
  <c r="D6744" i="106" s="1"/>
  <c r="B6745" i="106"/>
  <c r="D6745" i="106"/>
  <c r="B6746" i="106"/>
  <c r="D6746" i="106" s="1"/>
  <c r="B6747" i="106"/>
  <c r="D6747" i="106"/>
  <c r="B6748" i="106"/>
  <c r="D6748" i="106" s="1"/>
  <c r="B6749" i="106"/>
  <c r="D6749" i="106"/>
  <c r="B6750" i="106"/>
  <c r="D6750" i="106" s="1"/>
  <c r="B6751" i="106"/>
  <c r="D6751" i="106"/>
  <c r="B6752" i="106"/>
  <c r="D6752" i="106" s="1"/>
  <c r="B6753" i="106"/>
  <c r="D6753" i="106"/>
  <c r="B6754" i="106"/>
  <c r="D6754" i="106" s="1"/>
  <c r="B6755" i="106"/>
  <c r="D6755" i="106"/>
  <c r="B6756" i="106"/>
  <c r="D6756" i="106" s="1"/>
  <c r="B6757" i="106"/>
  <c r="D6757" i="106"/>
  <c r="B6758" i="106"/>
  <c r="D6758" i="106" s="1"/>
  <c r="B6759" i="106"/>
  <c r="D6759" i="106"/>
  <c r="B6760" i="106"/>
  <c r="D6760" i="106" s="1"/>
  <c r="B6761" i="106"/>
  <c r="D6761" i="106"/>
  <c r="B6762" i="106"/>
  <c r="D6762" i="106" s="1"/>
  <c r="B6763" i="106"/>
  <c r="D6763" i="106"/>
  <c r="B6764" i="106"/>
  <c r="D6764" i="106" s="1"/>
  <c r="B6765" i="106"/>
  <c r="D6765" i="106"/>
  <c r="B6766" i="106"/>
  <c r="D6766" i="106" s="1"/>
  <c r="B6767" i="106"/>
  <c r="D6767" i="106"/>
  <c r="B6768" i="106"/>
  <c r="D6768" i="106" s="1"/>
  <c r="B6769" i="106"/>
  <c r="D6769" i="106"/>
  <c r="B6770" i="106"/>
  <c r="D6770" i="106" s="1"/>
  <c r="B6771" i="106"/>
  <c r="D6771" i="106"/>
  <c r="B6772" i="106"/>
  <c r="D6772" i="106" s="1"/>
  <c r="B6773" i="106"/>
  <c r="D6773" i="106"/>
  <c r="B6774" i="106"/>
  <c r="D6774" i="106" s="1"/>
  <c r="B6775" i="106"/>
  <c r="D6775" i="106"/>
  <c r="B6776" i="106"/>
  <c r="D6776" i="106" s="1"/>
  <c r="B6777" i="106"/>
  <c r="D6777" i="106"/>
  <c r="B6778" i="106"/>
  <c r="D6778" i="106" s="1"/>
  <c r="B6779" i="106"/>
  <c r="D6779" i="106"/>
  <c r="B6780" i="106"/>
  <c r="D6780" i="106" s="1"/>
  <c r="B6781" i="106"/>
  <c r="D6781" i="106"/>
  <c r="B6782" i="106"/>
  <c r="D6782" i="106" s="1"/>
  <c r="B6783" i="106"/>
  <c r="D6783" i="106"/>
  <c r="B6784" i="106"/>
  <c r="D6784" i="106" s="1"/>
  <c r="B6785" i="106"/>
  <c r="D6785" i="106"/>
  <c r="B6786" i="106"/>
  <c r="D6786" i="106" s="1"/>
  <c r="B6787" i="106"/>
  <c r="D6787" i="106"/>
  <c r="B6788" i="106"/>
  <c r="D6788" i="106" s="1"/>
  <c r="B6789" i="106"/>
  <c r="D6789" i="106"/>
  <c r="B6790" i="106"/>
  <c r="D6790" i="106" s="1"/>
  <c r="B6791" i="106"/>
  <c r="D6791" i="106"/>
  <c r="B6792" i="106"/>
  <c r="D6792" i="106" s="1"/>
  <c r="B6793" i="106"/>
  <c r="D6793" i="106"/>
  <c r="B6794" i="106"/>
  <c r="D6794" i="106" s="1"/>
  <c r="B6795" i="106"/>
  <c r="D6795" i="106"/>
  <c r="B6796" i="106"/>
  <c r="D6796" i="106" s="1"/>
  <c r="B6797" i="106"/>
  <c r="D6797" i="106"/>
  <c r="B6798" i="106"/>
  <c r="D6798" i="106" s="1"/>
  <c r="B6799" i="106"/>
  <c r="D6799" i="106"/>
  <c r="B6800" i="106"/>
  <c r="D6800" i="106" s="1"/>
  <c r="B6801" i="106"/>
  <c r="D6801" i="106"/>
  <c r="B6802" i="106"/>
  <c r="D6802" i="106" s="1"/>
  <c r="B6803" i="106"/>
  <c r="D6803" i="106"/>
  <c r="B6804" i="106"/>
  <c r="D6804" i="106" s="1"/>
  <c r="B6805" i="106"/>
  <c r="D6805" i="106"/>
  <c r="B6806" i="106"/>
  <c r="D6806" i="106" s="1"/>
  <c r="B6807" i="106"/>
  <c r="D6807" i="106"/>
  <c r="B6808" i="106"/>
  <c r="D6808" i="106" s="1"/>
  <c r="B6809" i="106"/>
  <c r="D6809" i="106"/>
  <c r="B6810" i="106"/>
  <c r="D6810" i="106" s="1"/>
  <c r="B6811" i="106"/>
  <c r="D6811" i="106"/>
  <c r="B6812" i="106"/>
  <c r="D6812" i="106" s="1"/>
  <c r="B6813" i="106"/>
  <c r="D6813" i="106"/>
  <c r="B6814" i="106"/>
  <c r="D6814" i="106" s="1"/>
  <c r="B6815" i="106"/>
  <c r="D6815" i="106"/>
  <c r="B6816" i="106"/>
  <c r="D6816" i="106" s="1"/>
  <c r="B6817" i="106"/>
  <c r="D6817" i="106"/>
  <c r="B6818" i="106"/>
  <c r="D6818" i="106" s="1"/>
  <c r="B6819" i="106"/>
  <c r="D6819" i="106"/>
  <c r="B6820" i="106"/>
  <c r="D6820" i="106" s="1"/>
  <c r="B6821" i="106"/>
  <c r="D6821" i="106"/>
  <c r="B6822" i="106"/>
  <c r="D6822" i="106" s="1"/>
  <c r="B6823" i="106"/>
  <c r="D6823" i="106"/>
  <c r="B6824" i="106"/>
  <c r="D6824" i="106" s="1"/>
  <c r="B6825" i="106"/>
  <c r="D6825" i="106"/>
  <c r="B6826" i="106"/>
  <c r="D6826" i="106" s="1"/>
  <c r="B6827" i="106"/>
  <c r="D6827" i="106"/>
  <c r="B6828" i="106"/>
  <c r="D6828" i="106" s="1"/>
  <c r="B6829" i="106"/>
  <c r="D6829" i="106"/>
  <c r="B6830" i="106"/>
  <c r="D6830" i="106" s="1"/>
  <c r="B6831" i="106"/>
  <c r="D6831" i="106"/>
  <c r="B6832" i="106"/>
  <c r="D6832" i="106" s="1"/>
  <c r="B6841" i="106"/>
  <c r="D6841" i="106"/>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G28"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F106" i="34" s="1"/>
  <c r="D140" i="5"/>
  <c r="B5383" i="106"/>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c r="D4951" i="106" s="1"/>
  <c r="C184" i="5"/>
  <c r="B5232" i="106" s="1"/>
  <c r="D5232" i="106" s="1"/>
  <c r="D184" i="5"/>
  <c r="B5425" i="106" s="1"/>
  <c r="D5425" i="106" s="1"/>
  <c r="F184" i="5"/>
  <c r="B5658" i="106"/>
  <c r="D5658" i="106" s="1"/>
  <c r="G184" i="5"/>
  <c r="B5784" i="106" s="1"/>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J22" i="37"/>
  <c r="L22" i="37"/>
  <c r="D24" i="37"/>
  <c r="B4270" i="106" s="1"/>
  <c r="D4270" i="106" s="1"/>
  <c r="D4" i="7"/>
  <c r="B1760" i="106" s="1"/>
  <c r="D1760" i="106" s="1"/>
  <c r="D5" i="7"/>
  <c r="B1761" i="106" s="1"/>
  <c r="D1761" i="106" s="1"/>
  <c r="F128" i="34"/>
  <c r="F127" i="34"/>
  <c r="B5599" i="106"/>
  <c r="D5599" i="106" s="1"/>
  <c r="K274" i="5"/>
  <c r="H173" i="5"/>
  <c r="B5906" i="106" s="1"/>
  <c r="D5906" i="106" s="1"/>
  <c r="D7" i="7"/>
  <c r="B1763" i="106" s="1"/>
  <c r="D1763" i="106" s="1"/>
  <c r="H6" i="4"/>
  <c r="B2656" i="106" s="1"/>
  <c r="D2656" i="106" s="1"/>
  <c r="D12" i="7"/>
  <c r="B1769" i="106" s="1"/>
  <c r="D1769" i="106" s="1"/>
  <c r="D11" i="7"/>
  <c r="B1768" i="106" s="1"/>
  <c r="D1768" i="106" s="1"/>
  <c r="D15" i="7"/>
  <c r="B1772" i="106" s="1"/>
  <c r="D1772" i="106" s="1"/>
  <c r="G173" i="5" l="1"/>
  <c r="B5778" i="106" s="1"/>
  <c r="D5778" i="106" s="1"/>
  <c r="B5770" i="106"/>
  <c r="D5770" i="106" s="1"/>
  <c r="F136" i="34"/>
  <c r="B5161" i="106"/>
  <c r="D5161" i="106" s="1"/>
  <c r="B6191" i="106"/>
  <c r="D6191" i="106" s="1"/>
  <c r="J41" i="3"/>
  <c r="B3621" i="106"/>
  <c r="D3621" i="106" s="1"/>
  <c r="C367" i="29"/>
  <c r="B5752" i="106"/>
  <c r="D5752" i="106" s="1"/>
  <c r="K173" i="5"/>
  <c r="K6" i="4" s="1"/>
  <c r="B3570" i="106" s="1"/>
  <c r="D3570" i="106" s="1"/>
  <c r="F46" i="34"/>
  <c r="D17" i="7"/>
  <c r="B4104" i="106" s="1"/>
  <c r="D4104" i="106" s="1"/>
  <c r="F130" i="34"/>
  <c r="D9" i="7"/>
  <c r="B1767" i="106" s="1"/>
  <c r="D1767" i="106" s="1"/>
  <c r="B1746" i="106"/>
  <c r="D1746" i="106" s="1"/>
  <c r="F131" i="34"/>
  <c r="D13" i="7"/>
  <c r="B3726" i="106" s="1"/>
  <c r="D3726" i="106" s="1"/>
  <c r="B7041" i="106"/>
  <c r="D7041" i="106" s="1"/>
  <c r="I173" i="5"/>
  <c r="B4216" i="106" s="1"/>
  <c r="D4216" i="106" s="1"/>
  <c r="L312" i="29"/>
  <c r="B7235" i="106"/>
  <c r="D7235" i="106" s="1"/>
  <c r="C342" i="29"/>
  <c r="B7216" i="106" s="1"/>
  <c r="D7216" i="106" s="1"/>
  <c r="F77" i="4"/>
  <c r="B3255" i="106" s="1"/>
  <c r="D3255" i="106" s="1"/>
  <c r="F21" i="8"/>
  <c r="G210" i="29"/>
  <c r="E174" i="29"/>
  <c r="B1309" i="106" s="1"/>
  <c r="D1309" i="106" s="1"/>
  <c r="C129" i="29"/>
  <c r="K24" i="12"/>
  <c r="B3619" i="106"/>
  <c r="D3619" i="106" s="1"/>
  <c r="H76" i="4"/>
  <c r="B3298" i="106" s="1"/>
  <c r="D3298" i="106" s="1"/>
  <c r="K41" i="3"/>
  <c r="G29" i="108"/>
  <c r="E29" i="108"/>
  <c r="D109" i="5"/>
  <c r="B5356" i="106" s="1"/>
  <c r="D5356" i="106" s="1"/>
  <c r="E109" i="5"/>
  <c r="E4" i="4" s="1"/>
  <c r="B2630" i="106" s="1"/>
  <c r="D2630" i="106" s="1"/>
  <c r="G352" i="29"/>
  <c r="F111" i="34"/>
  <c r="C172" i="5"/>
  <c r="B5214" i="106" s="1"/>
  <c r="D5214" i="106" s="1"/>
  <c r="B1329" i="106"/>
  <c r="D1329" i="106" s="1"/>
  <c r="F61" i="34"/>
  <c r="F19" i="7"/>
  <c r="B1807" i="106" s="1"/>
  <c r="D1807" i="106" s="1"/>
  <c r="D37" i="108"/>
  <c r="F37" i="108"/>
  <c r="F41" i="108" s="1"/>
  <c r="G43" i="108" s="1"/>
  <c r="C109" i="5"/>
  <c r="B5121" i="106" s="1"/>
  <c r="D5121" i="106" s="1"/>
  <c r="K184" i="29"/>
  <c r="F13" i="4" s="1"/>
  <c r="B2596" i="106" s="1"/>
  <c r="D2596" i="106" s="1"/>
  <c r="B1410" i="106"/>
  <c r="D1410" i="106" s="1"/>
  <c r="G109" i="5"/>
  <c r="B6024" i="106" s="1"/>
  <c r="D6024" i="106" s="1"/>
  <c r="H109" i="5"/>
  <c r="B3649" i="106"/>
  <c r="D3649" i="106" s="1"/>
  <c r="G367" i="29"/>
  <c r="B3650" i="106" s="1"/>
  <c r="D3650" i="106" s="1"/>
  <c r="K350" i="29"/>
  <c r="L15" i="11"/>
  <c r="B3459" i="106" s="1"/>
  <c r="D3459" i="106" s="1"/>
  <c r="L13" i="11"/>
  <c r="B2060" i="106" s="1"/>
  <c r="D2060" i="106" s="1"/>
  <c r="L5" i="11"/>
  <c r="B2056" i="106" s="1"/>
  <c r="D2056"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2657" i="106"/>
  <c r="D2657" i="106" s="1"/>
  <c r="B7270" i="106"/>
  <c r="F274" i="5" l="1"/>
  <c r="B3568" i="106"/>
  <c r="D3568" i="106" s="1"/>
  <c r="D52" i="36"/>
  <c r="B7733" i="106"/>
  <c r="D7733" i="106" s="1"/>
  <c r="K26" i="12"/>
  <c r="B7743" i="106" s="1"/>
  <c r="D7743" i="106" s="1"/>
  <c r="B1879" i="106"/>
  <c r="D1879" i="106" s="1"/>
  <c r="H22" i="37"/>
  <c r="B5914" i="106"/>
  <c r="D5914" i="106" s="1"/>
  <c r="D274" i="5"/>
  <c r="H275" i="5"/>
  <c r="H367" i="29"/>
  <c r="B3660" i="106" s="1"/>
  <c r="D3660" i="106" s="1"/>
  <c r="B1365" i="106"/>
  <c r="D1365" i="106" s="1"/>
  <c r="F65" i="34"/>
  <c r="B1381" i="106"/>
  <c r="D1381" i="106" s="1"/>
  <c r="D4" i="4"/>
  <c r="B2564" i="106" s="1"/>
  <c r="D2564" i="106" s="1"/>
  <c r="B1317" i="106"/>
  <c r="D1317" i="106" s="1"/>
  <c r="L114" i="29"/>
  <c r="F275" i="5"/>
  <c r="B5720" i="106" s="1"/>
  <c r="D5720" i="106" s="1"/>
  <c r="C173" i="5"/>
  <c r="B5223" i="106" s="1"/>
  <c r="D5223" i="106" s="1"/>
  <c r="D19" i="7"/>
  <c r="B1775" i="106" s="1"/>
  <c r="D1775" i="106" s="1"/>
  <c r="C114" i="29"/>
  <c r="B757" i="106" s="1"/>
  <c r="D757" i="106" s="1"/>
  <c r="C4" i="4"/>
  <c r="B2551" i="106" s="1"/>
  <c r="D2551" i="106" s="1"/>
  <c r="G4" i="4"/>
  <c r="B2603" i="106" s="1"/>
  <c r="D2603" i="106" s="1"/>
  <c r="B6025" i="106"/>
  <c r="D6025" i="106" s="1"/>
  <c r="H4" i="4"/>
  <c r="K342" i="29"/>
  <c r="F13" i="34" s="1"/>
  <c r="B3670" i="106"/>
  <c r="D3670" i="106" s="1"/>
  <c r="K352" i="29"/>
  <c r="K367" i="29"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D7" i="4"/>
  <c r="D275" i="5"/>
  <c r="B5507" i="106"/>
  <c r="D5507" i="106" s="1"/>
  <c r="B7298" i="106"/>
  <c r="B7299" i="106"/>
  <c r="F8" i="4" l="1"/>
  <c r="C6" i="4"/>
  <c r="B2553" i="106" s="1"/>
  <c r="D2553" i="106" s="1"/>
  <c r="G41" i="108"/>
  <c r="G44" i="108" s="1"/>
  <c r="G45" i="108" s="1"/>
  <c r="E41" i="108"/>
  <c r="E44" i="108" s="1"/>
  <c r="E45" i="108" s="1"/>
  <c r="B2655" i="106"/>
  <c r="D2655" i="106" s="1"/>
  <c r="H8" i="4"/>
  <c r="J17" i="4"/>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10" i="171" l="1"/>
  <c r="D19" i="171" s="1"/>
  <c r="D32" i="171" s="1"/>
  <c r="D49" i="171" s="1"/>
  <c r="D8" i="4"/>
  <c r="B2568" i="106" s="1"/>
  <c r="D2568" i="10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H13" i="118"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<sst xmlns="http://schemas.openxmlformats.org/spreadsheetml/2006/main" count="5101" uniqueCount="2125">
  <si>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</si>
  <si>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</si>
  <si>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</si>
  <si>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</si>
  <si>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</si>
  <si>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</si>
  <si>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</si>
  <si>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</si>
  <si>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</si>
  <si>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</si>
  <si>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</si>
  <si>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</si>
  <si>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</si>
  <si>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</si>
  <si>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</si>
  <si>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</si>
  <si>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</si>
  <si>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</si>
  <si>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</si>
  <si>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</si>
  <si>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</si>
  <si>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</si>
  <si>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</si>
  <si>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</si>
  <si>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</si>
  <si>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</si>
  <si>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</si>
  <si>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</si>
  <si>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</si>
  <si>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</si>
  <si>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</si>
  <si>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</si>
  <si>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</si>
  <si>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</si>
  <si>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</si>
  <si>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</si>
  <si>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</si>
  <si>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</si>
  <si>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</si>
  <si>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</si>
  <si>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</si>
  <si>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</si>
  <si>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</si>
  <si>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</si>
  <si>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</si>
  <si>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</si>
  <si>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</si>
  <si>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</si>
  <si>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</si>
  <si>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</si>
  <si>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</si>
  <si>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</si>
  <si>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</si>
  <si>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</si>
  <si>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</si>
  <si>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</si>
  <si>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</si>
  <si>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</si>
  <si>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</si>
  <si>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</si>
  <si>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</si>
  <si>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</si>
  <si>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</si>
  <si>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</si>
  <si>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</si>
  <si>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</si>
  <si>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</si>
  <si>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</si>
  <si>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</si>
  <si>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</si>
  <si>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</si>
  <si>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</si>
  <si>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</si>
  <si>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</si>
  <si>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</si>
  <si>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</si>
  <si>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</si>
  <si>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</si>
  <si>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</si>
  <si>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</si>
  <si>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</si>
  <si>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</si>
  <si>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</si>
  <si>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</si>
  <si>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</si>
  <si>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</si>
  <si>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</si>
  <si>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</si>
  <si>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</si>
  <si>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</si>
  <si>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</si>
  <si>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</si>
  <si>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</si>
  <si>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</si>
  <si>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</si>
  <si>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</si>
  <si>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</si>
  <si>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</si>
  <si>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</si>
  <si>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</si>
  <si>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</si>
  <si>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</si>
  <si>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</si>
  <si>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</si>
  <si>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</si>
  <si>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</si>
  <si>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</si>
  <si>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</si>
  <si>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</si>
  <si>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</si>
  <si>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</si>
  <si>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</si>
  <si>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</si>
  <si>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</si>
  <si>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</si>
  <si>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</si>
  <si>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</si>
  <si>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</si>
  <si>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</si>
  <si>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</si>
  <si>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</si>
  <si>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</si>
  <si>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</si>
  <si>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</si>
  <si>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</si>
  <si>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</si>
  <si>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</si>
  <si>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</si>
  <si>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</si>
  <si>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</si>
  <si>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</si>
  <si>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</si>
  <si>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</si>
  <si>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</si>
  <si>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</si>
  <si>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</si>
  <si>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</si>
  <si>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</si>
  <si>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</si>
  <si>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</si>
  <si>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</si>
  <si>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</si>
  <si>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</si>
  <si>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</si>
  <si>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</si>
  <si>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</si>
  <si>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</si>
  <si>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</si>
  <si>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</si>
  <si>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</si>
  <si>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</si>
  <si>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</si>
  <si>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</si>
  <si>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</si>
  <si>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</si>
  <si>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</si>
  <si>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</si>
  <si>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</si>
  <si>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</si>
  <si>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</si>
  <si>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</si>
  <si>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</si>
  <si>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</si>
  <si>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</si>
  <si>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</si>
  <si>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</si>
  <si>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</si>
  <si>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</si>
  <si>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</si>
  <si>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</si>
  <si>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</si>
  <si>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</si>
  <si>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</si>
  <si>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</si>
  <si>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</si>
  <si>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</si>
  <si>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</si>
  <si>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</si>
  <si>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</si>
  <si>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</si>
  <si>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</si>
  <si>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</si>
  <si>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</si>
  <si>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</si>
  <si>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</si>
  <si>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</si>
  <si>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</si>
  <si>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</si>
  <si>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</si>
  <si>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</si>
  <si>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</si>
  <si>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</si>
  <si>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</si>
  <si>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</si>
  <si>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</si>
  <si>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</si>
  <si>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</si>
  <si>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</si>
  <si>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</si>
  <si>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</si>
  <si>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</si>
  <si>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</si>
  <si>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</si>
  <si>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</si>
  <si>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</si>
  <si>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</si>
  <si>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</si>
  <si>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</si>
  <si>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</si>
  <si>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</si>
  <si>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</si>
  <si>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</si>
  <si>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</si>
  <si>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</si>
  <si>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</si>
  <si>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</si>
  <si>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</si>
  <si>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</si>
  <si>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</si>
  <si>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</si>
  <si>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</si>
  <si>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</si>
  <si>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</si>
  <si>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</si>
  <si>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</si>
  <si>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</si>
  <si>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</si>
  <si>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</si>
  <si>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</si>
  <si>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</si>
  <si>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</si>
  <si>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</si>
  <si>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</si>
  <si>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</si>
  <si>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</si>
  <si>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</si>
  <si>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</si>
  <si>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</si>
  <si>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</si>
  <si>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</si>
  <si>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</si>
  <si>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</si>
  <si>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</si>
  <si>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</si>
  <si>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</si>
  <si>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</si>
  <si>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</si>
  <si>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</si>
  <si>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</si>
  <si>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</si>
  <si>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</si>
  <si>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</si>
  <si>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</si>
  <si>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</si>
  <si>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</si>
  <si>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</si>
  <si>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</si>
  <si>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</si>
  <si>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</si>
  <si>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</si>
  <si>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</si>
  <si>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</si>
  <si>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</si>
  <si>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</si>
  <si>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</si>
  <si>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</si>
  <si>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</si>
  <si>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</si>
  <si>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</si>
  <si>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</si>
  <si>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</si>
  <si>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</si>
  <si>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</si>
  <si>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</si>
  <si>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</si>
  <si>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</si>
  <si>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</si>
  <si>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</si>
  <si>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</si>
  <si>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</si>
  <si>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</si>
  <si>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</si>
  <si>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</si>
  <si>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</si>
  <si>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</si>
  <si>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</si>
  <si>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</si>
  <si>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</si>
  <si>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</si>
  <si>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</si>
  <si>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</si>
  <si>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</si>
  <si>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</si>
  <si>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</si>
  <si>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</si>
  <si>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</si>
  <si>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</si>
  <si>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</si>
  <si>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</si>
  <si>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</si>
  <si>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</si>
  <si>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</si>
  <si>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</si>
  <si>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</si>
  <si>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</si>
  <si>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</si>
  <si>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</si>
  <si>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</si>
  <si>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</si>
  <si>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</si>
  <si>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</si>
  <si>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</si>
  <si>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</si>
  <si>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</si>
  <si>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</si>
  <si>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</si>
  <si>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</si>
  <si>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</si>
  <si>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</si>
  <si>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</si>
  <si>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</si>
  <si>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</si>
  <si>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</si>
  <si>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</si>
  <si>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</si>
  <si>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</si>
  <si>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</si>
  <si>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</si>
  <si>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</si>
  <si>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</si>
  <si>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</si>
  <si>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</si>
  <si>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</si>
  <si>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</si>
  <si>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</si>
  <si>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</si>
  <si>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</si>
  <si>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</si>
  <si>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</si>
  <si>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</si>
  <si>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</si>
  <si>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</si>
  <si>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</si>
  <si>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</si>
  <si>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</si>
  <si>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</si>
  <si>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</si>
  <si>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</si>
  <si>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</si>
  <si>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</si>
  <si>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</si>
  <si>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</si>
  <si>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</si>
  <si>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</si>
  <si>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</si>
  <si>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</si>
  <si>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</si>
  <si>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</si>
  <si>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</si>
  <si>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</si>
  <si>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</si>
  <si>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</si>
  <si>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</si>
  <si>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</si>
  <si>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</si>
  <si>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</si>
  <si>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</si>
  <si>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</si>
  <si>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</si>
  <si>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</si>
  <si>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</si>
  <si>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</si>
  <si>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</si>
  <si>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</si>
  <si>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</si>
  <si>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</si>
  <si>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</si>
  <si>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</si>
  <si>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</si>
  <si>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</si>
  <si>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</si>
  <si>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</si>
  <si>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</si>
  <si>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</si>
  <si>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</si>
  <si>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</si>
  <si>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</si>
  <si>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</si>
  <si>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</si>
  <si>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</si>
  <si>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</si>
  <si>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</si>
  <si>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</si>
  <si>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</si>
  <si>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</si>
  <si>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</si>
  <si>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</si>
  <si>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</si>
  <si>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</si>
  <si>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</si>
  <si>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</si>
  <si>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</si>
  <si>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</si>
  <si>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</si>
  <si>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</si>
  <si>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</si>
  <si>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</si>
  <si>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</si>
  <si>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</si>
  <si>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</si>
  <si>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</si>
  <si>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</si>
  <si>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</si>
  <si>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</si>
  <si>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</si>
  <si>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</si>
  <si>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</si>
  <si>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</si>
  <si>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</si>
  <si>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</si>
  <si>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</si>
  <si>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</si>
  <si>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</si>
  <si>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</si>
  <si>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</si>
  <si>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</si>
  <si>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</si>
  <si>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</si>
  <si>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</si>
  <si>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</si>
  <si>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</si>
  <si>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</si>
  <si>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</si>
  <si>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</si>
  <si>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</si>
  <si>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</si>
  <si>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</si>
  <si>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</si>
  <si>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</si>
  <si>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</si>
  <si>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</si>
  <si>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</si>
  <si>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</si>
  <si>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</si>
  <si>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</si>
  <si>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</si>
  <si>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</si>
  <si>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</si>
  <si>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</si>
  <si>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</si>
  <si>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</si>
  <si>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</si>
  <si>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</si>
  <si>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</si>
  <si>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</si>
  <si>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</si>
  <si>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</si>
  <si>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</si>
  <si>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</si>
  <si>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</si>
  <si>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</si>
  <si>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</si>
  <si>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</si>
  <si>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</si>
  <si>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</si>
  <si>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</si>
  <si>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</si>
  <si>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</si>
  <si>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</si>
  <si>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</si>
  <si>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</si>
  <si>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</si>
  <si>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</si>
  <si>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</si>
  <si>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</si>
  <si>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</si>
  <si>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</si>
  <si>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</si>
  <si>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</si>
  <si>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</si>
  <si>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</si>
  <si>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</si>
  <si>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</si>
  <si>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</si>
  <si>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</si>
  <si>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</si>
  <si>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</si>
  <si>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</si>
  <si>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</si>
  <si>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</si>
  <si>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</si>
  <si>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</si>
  <si>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</si>
  <si>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</si>
  <si>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</si>
  <si>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</si>
  <si>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</si>
  <si>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</si>
  <si>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</si>
  <si>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</si>
  <si>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</si>
  <si>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</si>
  <si>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</si>
  <si>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</si>
  <si>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</si>
  <si>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</si>
  <si>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</si>
  <si>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</si>
  <si>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</si>
  <si>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</si>
  <si>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</si>
  <si>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</si>
  <si>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</si>
  <si>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</si>
  <si>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</si>
  <si>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</si>
  <si>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</si>
  <si>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</si>
  <si>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</si>
  <si>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</si>
  <si>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</si>
  <si>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</si>
  <si>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</si>
  <si>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</si>
  <si>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</si>
  <si>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</si>
  <si>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</si>
  <si>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</si>
  <si>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</si>
  <si>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</si>
  <si>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</si>
  <si>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</si>
  <si>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</si>
  <si>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</si>
  <si>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</si>
  <si>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</si>
  <si>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</si>
  <si>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</si>
  <si>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</si>
  <si>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</si>
  <si>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</si>
  <si>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</si>
  <si>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</si>
  <si>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</si>
  <si>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</si>
  <si>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</si>
  <si>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</si>
  <si>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</si>
  <si>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</si>
  <si>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</si>
  <si>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</si>
  <si>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</si>
  <si>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</si>
  <si>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</si>
  <si>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</si>
  <si>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</si>
  <si>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</si>
  <si>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</si>
  <si>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</si>
  <si>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</si>
  <si>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</si>
  <si>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</si>
  <si>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</si>
  <si>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</si>
  <si>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</si>
  <si>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</si>
  <si>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</si>
  <si>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</si>
  <si>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</si>
  <si>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</si>
  <si>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</si>
  <si>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</si>
  <si>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</si>
  <si>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</si>
  <si>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</si>
  <si>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</si>
  <si>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</si>
  <si>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</si>
  <si>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</si>
  <si>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</si>
  <si>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</si>
  <si>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</si>
  <si>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</si>
  <si>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</si>
  <si>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</si>
  <si>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</si>
  <si>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</si>
  <si>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</si>
  <si>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</si>
  <si>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</si>
  <si>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</si>
  <si>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</si>
  <si>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</si>
  <si>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</si>
  <si>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</si>
  <si>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</si>
  <si>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</si>
  <si>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</si>
  <si>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</si>
  <si>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</si>
  <si>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</si>
  <si>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</si>
  <si>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</si>
  <si>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</si>
  <si>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</si>
  <si>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</si>
  <si>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</si>
  <si>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</si>
  <si>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</si>
  <si>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</si>
  <si>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</si>
  <si>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</si>
  <si>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</si>
  <si>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</si>
  <si>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</si>
  <si>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</si>
  <si>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</si>
  <si>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</si>
  <si>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</si>
  <si>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</si>
  <si>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</si>
  <si>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</si>
  <si>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</si>
  <si>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</si>
  <si>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</si>
  <si>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</si>
  <si>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</si>
  <si>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</si>
  <si>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</si>
  <si>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</si>
  <si>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</si>
  <si>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</si>
  <si>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</si>
  <si>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</si>
  <si>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</si>
  <si>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</si>
  <si>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</si>
  <si>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</si>
  <si>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</si>
  <si>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</si>
  <si>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</si>
  <si>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</si>
  <si>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</si>
  <si>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</si>
  <si>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</si>
  <si>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</si>
  <si>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</si>
  <si>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</si>
  <si>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</si>
  <si>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</si>
  <si>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</si>
  <si>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</si>
  <si>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</si>
  <si>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</si>
  <si>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</si>
  <si>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</si>
  <si>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</si>
  <si>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</si>
  <si>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</si>
  <si>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</si>
  <si>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</si>
  <si>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</si>
  <si>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</si>
  <si>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</si>
  <si>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</si>
  <si>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</si>
  <si>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</si>
  <si>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</si>
  <si>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</si>
  <si>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</si>
  <si>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</si>
  <si>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</si>
  <si>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</si>
  <si>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</si>
  <si>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</si>
  <si>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</si>
  <si>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</si>
  <si>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</si>
  <si>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</si>
  <si>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</si>
  <si>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</si>
  <si>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</si>
  <si>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</si>
  <si>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</si>
  <si>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</si>
  <si>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</si>
  <si>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</si>
  <si>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</si>
  <si>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</si>
  <si>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</si>
  <si>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</si>
  <si>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</si>
  <si>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</si>
  <si>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</si>
  <si>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</si>
  <si>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</si>
  <si>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</si>
  <si>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</si>
  <si>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</si>
  <si>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</si>
  <si>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</si>
  <si>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</si>
  <si>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</si>
  <si>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</si>
  <si>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</si>
  <si>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</si>
  <si>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</si>
  <si>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</si>
  <si>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</si>
  <si>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</si>
  <si>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</si>
  <si>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</si>
  <si>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</si>
  <si>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</si>
  <si>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</si>
  <si>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</si>
  <si>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</si>
  <si>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</si>
  <si>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</si>
  <si>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</si>
  <si>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</si>
  <si>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</si>
  <si>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</si>
  <si>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</si>
  <si>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</si>
  <si>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</si>
  <si>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</si>
  <si>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</si>
  <si>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</si>
  <si>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</si>
  <si>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</si>
  <si>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</si>
  <si>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</si>
  <si>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</si>
  <si>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</si>
  <si>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</si>
  <si>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</si>
  <si>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</si>
  <si>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</si>
  <si>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</si>
  <si>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</si>
  <si>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</si>
  <si>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</si>
  <si>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</si>
  <si>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</si>
  <si>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</si>
  <si>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</si>
  <si>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</si>
  <si>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</si>
  <si>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</si>
  <si>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</si>
  <si>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</si>
  <si>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</si>
  <si>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</si>
  <si>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</si>
  <si>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</si>
  <si>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</si>
  <si>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</si>
  <si>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</si>
  <si>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</si>
  <si>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</si>
  <si>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</si>
  <si>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</si>
  <si>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</si>
  <si>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</si>
  <si>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</si>
  <si>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</si>
  <si>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</si>
  <si>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</si>
  <si>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</si>
  <si>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</si>
  <si>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</si>
  <si>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</si>
  <si>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</si>
  <si>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</si>
  <si>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</si>
  <si>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</si>
  <si>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</si>
  <si>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</si>
  <si>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</si>
  <si>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</si>
  <si>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</si>
  <si>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</si>
  <si>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</si>
  <si>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</si>
  <si>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</si>
  <si>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</si>
  <si>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</si>
  <si>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</si>
  <si>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</si>
  <si>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</si>
  <si>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</si>
  <si>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</si>
  <si>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</si>
  <si>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</si>
  <si>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</si>
  <si>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</si>
  <si>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</si>
  <si>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</si>
  <si>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</si>
  <si>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</si>
  <si>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</si>
  <si>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</si>
  <si>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</si>
  <si>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</si>
  <si>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</si>
  <si>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</si>
  <si>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</si>
  <si>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</si>
  <si>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</si>
  <si>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</si>
  <si>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</si>
  <si>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</si>
  <si>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</si>
  <si>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</si>
  <si>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</si>
  <si>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</si>
  <si>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</si>
  <si>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</si>
  <si>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</si>
  <si>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</si>
  <si>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</si>
  <si>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</si>
  <si>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</si>
  <si>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</si>
  <si>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</si>
  <si>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</si>
  <si>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</si>
  <si>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</si>
  <si>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</si>
  <si>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</si>
  <si>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</si>
  <si>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</si>
  <si>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</si>
  <si>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</si>
  <si>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</si>
  <si>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</si>
  <si>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</si>
  <si>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</si>
  <si>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</si>
  <si>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</si>
  <si>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</si>
  <si>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</si>
  <si>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</si>
  <si>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</si>
  <si>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</si>
  <si>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</si>
  <si>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</si>
  <si>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</si>
  <si>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</si>
  <si>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</si>
  <si>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</si>
  <si>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</si>
  <si>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</si>
  <si>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</si>
  <si>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</si>
  <si>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</si>
  <si>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</si>
  <si>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</si>
  <si>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</si>
  <si>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</si>
  <si>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</si>
  <si>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</si>
  <si>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</si>
  <si>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</si>
  <si>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</si>
  <si>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</si>
  <si>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</si>
  <si>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</si>
  <si>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</si>
  <si>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</si>
  <si>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</si>
  <si>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</si>
  <si>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</si>
  <si>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</si>
  <si>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</si>
  <si>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</si>
  <si>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</si>
  <si>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</si>
  <si>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</si>
  <si>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</si>
  <si>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</si>
  <si>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</si>
  <si>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</si>
  <si>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</si>
  <si>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</si>
  <si>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</si>
  <si>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</si>
  <si>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</si>
  <si>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</si>
  <si>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</si>
  <si>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</si>
  <si>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</si>
  <si>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</si>
  <si>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</si>
  <si>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</si>
  <si>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</si>
  <si>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</si>
  <si>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</si>
  <si>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</si>
  <si>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</si>
  <si>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</si>
  <si>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</si>
  <si>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</si>
  <si>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</si>
  <si>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</si>
  <si>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</si>
  <si>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</si>
  <si>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</si>
  <si>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</si>
  <si>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</si>
  <si>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</si>
  <si>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</si>
  <si>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</si>
  <si>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</si>
  <si>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</si>
  <si>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</si>
  <si>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</si>
  <si>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</si>
  <si>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</si>
  <si>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</si>
  <si>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</si>
  <si>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</si>
  <si>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</si>
  <si>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</si>
  <si>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</si>
  <si>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</si>
  <si>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</si>
  <si>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</si>
  <si>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</si>
  <si>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</si>
  <si>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</si>
  <si>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</si>
  <si>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</si>
  <si>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</si>
  <si>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</si>
  <si>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</si>
  <si>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</si>
  <si>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</si>
  <si>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</si>
  <si>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</si>
  <si>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</si>
  <si>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</si>
  <si>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</si>
  <si>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</si>
  <si>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</si>
  <si>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</si>
  <si>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</si>
  <si>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</si>
  <si>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</si>
  <si>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</si>
  <si>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</si>
  <si>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</si>
  <si>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</si>
  <si>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</si>
  <si>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</si>
  <si>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</si>
  <si>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</si>
  <si>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</si>
  <si>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</si>
  <si>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</si>
  <si>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</si>
  <si>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</si>
  <si>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</si>
  <si>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</si>
  <si>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</si>
  <si>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</si>
  <si>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</si>
  <si>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</si>
  <si>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</si>
  <si>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</si>
  <si>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</si>
  <si>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</si>
  <si>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</si>
  <si>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</si>
  <si>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</si>
  <si>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</si>
  <si>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</si>
  <si>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</si>
  <si>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</si>
  <si>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</si>
  <si>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</si>
  <si>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</si>
  <si>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</si>
  <si>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</si>
  <si>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</si>
  <si>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</si>
  <si>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</si>
  <si>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</si>
  <si>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</si>
  <si>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</si>
  <si>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</si>
  <si>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</si>
  <si>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</si>
  <si>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</si>
  <si>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</si>
  <si>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</si>
  <si>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</si>
  <si>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</si>
  <si>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</si>
  <si>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</si>
  <si>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</si>
  <si>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</si>
  <si>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</si>
  <si>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</si>
  <si>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</si>
  <si>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</si>
  <si>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</si>
  <si>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</si>
  <si>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</si>
  <si>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</si>
  <si>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</si>
  <si>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</si>
  <si>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</si>
  <si>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</si>
  <si>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</si>
  <si>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</si>
  <si>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</si>
  <si>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</si>
  <si>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</si>
  <si>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</si>
  <si>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</si>
  <si>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</si>
  <si>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</si>
  <si>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</si>
  <si>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</si>
  <si>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</si>
  <si>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</si>
  <si>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</si>
  <si>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</si>
  <si>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</si>
  <si>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</si>
  <si>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</si>
  <si>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</si>
  <si>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</si>
  <si>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</si>
  <si>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</si>
  <si>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</si>
  <si>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</si>
  <si>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</si>
  <si>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</si>
  <si>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</si>
  <si>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</si>
  <si>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</si>
  <si>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</si>
  <si>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</si>
  <si>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</si>
  <si>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</si>
  <si>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</si>
  <si>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</si>
  <si>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</si>
  <si>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</si>
  <si>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</si>
  <si>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</si>
  <si>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</si>
  <si>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</si>
  <si>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</si>
  <si>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</si>
  <si>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</si>
  <si>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</si>
  <si>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</si>
  <si>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</si>
  <si>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</si>
  <si>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</si>
  <si>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</si>
  <si>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</si>
  <si>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</si>
  <si>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</si>
  <si>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</si>
  <si>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</si>
  <si>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</si>
  <si>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</si>
  <si>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</si>
  <si>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</si>
  <si>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</si>
  <si>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</si>
  <si>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</si>
  <si>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</si>
  <si>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</si>
  <si>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</si>
  <si>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</si>
  <si>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</si>
  <si>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</si>
  <si>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</si>
  <si>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</si>
  <si>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</si>
  <si>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</si>
  <si>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</si>
  <si>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</si>
  <si>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</si>
  <si>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</si>
  <si>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</si>
  <si>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</si>
  <si>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</si>
  <si>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</si>
  <si>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</si>
  <si>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</si>
  <si>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</si>
  <si>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</si>
  <si>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</si>
  <si>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</si>
  <si>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</si>
  <si>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</si>
  <si>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</si>
  <si>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</si>
  <si>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</si>
  <si>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</si>
  <si>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</si>
  <si>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</si>
  <si>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</si>
  <si>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</si>
  <si>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</si>
  <si>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</si>
  <si>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</si>
  <si>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</si>
  <si>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</si>
  <si>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</si>
  <si>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</si>
  <si>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</si>
  <si>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</si>
  <si>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</si>
  <si>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</si>
  <si>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</si>
  <si>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</si>
  <si>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</si>
  <si>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</si>
  <si>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</si>
  <si>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</si>
  <si>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</si>
  <si>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</si>
  <si>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</si>
  <si>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</si>
  <si>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</si>
  <si>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</si>
  <si>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</si>
  <si>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</si>
  <si>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</si>
  <si>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</si>
  <si>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</si>
  <si>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</si>
  <si>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</si>
  <si>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</si>
  <si>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</si>
  <si>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</si>
  <si>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</si>
  <si>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</si>
  <si>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</si>
  <si>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</si>
  <si>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</si>
  <si>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</si>
  <si>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</si>
  <si>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</si>
  <si>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</si>
  <si>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</si>
  <si>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</si>
  <si>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</si>
  <si>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</si>
  <si>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</si>
  <si>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</si>
  <si>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</si>
  <si>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</si>
  <si>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</si>
  <si>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</si>
  <si>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</si>
  <si>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</si>
  <si>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</si>
  <si>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</si>
  <si>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</si>
  <si>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</si>
  <si>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</si>
  <si>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</si>
  <si>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</si>
  <si>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</si>
  <si>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</si>
  <si>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</si>
  <si>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</si>
  <si>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</si>
  <si>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</si>
  <si>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</si>
  <si>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</si>
  <si>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</si>
  <si>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</si>
  <si>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</si>
  <si>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</si>
  <si>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</si>
  <si>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</si>
  <si>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</si>
  <si>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</si>
  <si>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</si>
  <si>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</si>
  <si>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</si>
  <si>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</si>
  <si>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</si>
  <si>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</si>
  <si>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</si>
  <si>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</si>
  <si>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</si>
  <si>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</si>
  <si>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</si>
  <si>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</si>
  <si>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</si>
  <si>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</si>
  <si>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</si>
  <si>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</si>
  <si>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</si>
  <si>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</si>
  <si>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</si>
  <si>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</si>
  <si>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</si>
  <si>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</si>
  <si>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</si>
  <si>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</si>
  <si>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</si>
  <si>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</si>
  <si>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</si>
  <si>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</si>
  <si>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</si>
  <si>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</si>
  <si>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</si>
  <si>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</si>
  <si>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</si>
  <si>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</si>
  <si>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</si>
  <si>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</si>
  <si>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</si>
  <si>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</si>
  <si>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</si>
  <si>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</si>
  <si>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</si>
  <si>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</si>
  <si>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</si>
  <si>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</si>
  <si>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</si>
  <si>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</si>
  <si>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</si>
  <si>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</si>
  <si>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</si>
  <si>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</si>
  <si>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</si>
  <si>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</si>
  <si>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</si>
  <si>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</si>
  <si>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</si>
  <si>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</si>
  <si>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</si>
  <si>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</si>
  <si>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</si>
  <si>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</si>
  <si>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</si>
  <si>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</si>
  <si>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</si>
  <si>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</si>
  <si>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</si>
  <si>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</si>
  <si>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</si>
  <si>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</si>
  <si>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</si>
  <si>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</si>
  <si>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</si>
  <si>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</si>
  <si>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</si>
  <si>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</si>
  <si>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</si>
  <si>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</si>
  <si>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</si>
  <si>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</si>
  <si>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</si>
  <si>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</si>
  <si>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</si>
  <si>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</si>
  <si>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</si>
  <si>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</si>
  <si>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</si>
  <si>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</si>
  <si>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</si>
  <si>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</si>
  <si>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</si>
  <si>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</si>
  <si>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</si>
  <si>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</si>
  <si>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</si>
  <si>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</si>
  <si>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</si>
  <si>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</si>
  <si>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</si>
  <si>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</si>
  <si>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</si>
  <si>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</si>
  <si>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</si>
  <si>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</si>
  <si>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</si>
  <si>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</si>
  <si>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</si>
  <si>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</si>
  <si>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</si>
  <si>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</si>
  <si>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</si>
  <si>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</si>
  <si>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</si>
  <si>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</si>
  <si>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</si>
  <si>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</si>
  <si>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</si>
  <si>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</si>
  <si>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</si>
  <si>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</si>
  <si>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</si>
  <si>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</si>
  <si>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</si>
  <si>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</si>
  <si>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</si>
  <si>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</si>
  <si>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</si>
  <si>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</si>
  <si>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</si>
  <si>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</si>
  <si>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</si>
  <si>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</si>
  <si>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</si>
  <si>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</si>
  <si>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</si>
  <si>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</si>
  <si>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</si>
  <si>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</si>
  <si>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</si>
  <si>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</si>
  <si>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</si>
  <si>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</si>
  <si>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</si>
  <si>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</si>
  <si>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</si>
  <si>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</si>
  <si>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</si>
  <si>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</si>
  <si>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</si>
  <si>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</si>
  <si>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</si>
  <si>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</si>
  <si>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</si>
  <si>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</si>
  <si>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</si>
  <si>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</si>
  <si>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</si>
  <si>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</si>
  <si>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</si>
  <si>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</si>
  <si>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</si>
  <si>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</si>
  <si>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</si>
  <si>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</si>
  <si>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</si>
  <si>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</si>
  <si>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</si>
  <si>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</si>
  <si>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</si>
  <si>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</si>
  <si>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</si>
  <si>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</si>
  <si>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</si>
  <si>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</si>
  <si>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</si>
  <si>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</si>
  <si>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</si>
  <si>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</si>
  <si>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</si>
  <si>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</si>
  <si>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</si>
  <si>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</si>
  <si>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</si>
  <si>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</si>
  <si>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</si>
  <si>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</si>
  <si>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</si>
  <si>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</si>
  <si>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</si>
  <si>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</si>
  <si>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</si>
  <si>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</si>
  <si>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</si>
  <si>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</si>
  <si>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</si>
  <si>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</si>
  <si>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</si>
  <si>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</si>
  <si>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</si>
  <si>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</si>
  <si>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</si>
  <si>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</si>
  <si>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</si>
  <si>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</si>
  <si>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</si>
  <si>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</si>
  <si>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</si>
  <si>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</si>
  <si>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</si>
  <si>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</si>
  <si>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</si>
  <si>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</si>
  <si>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</si>
  <si>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</si>
  <si>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</si>
  <si>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</si>
  <si>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</si>
  <si>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</si>
  <si>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</si>
  <si>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</si>
  <si>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</si>
  <si>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</si>
  <si>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</si>
  <si>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</si>
  <si>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</si>
  <si>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</si>
  <si>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</si>
  <si>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</si>
  <si>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</si>
  <si>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</si>
  <si>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</si>
  <si>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</si>
  <si>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</si>
  <si>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</si>
  <si>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</si>
  <si>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</si>
  <si>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</si>
  <si>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</si>
  <si>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</si>
  <si>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</si>
  <si>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</si>
  <si>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</si>
  <si>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</si>
  <si>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</si>
  <si>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</si>
  <si>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</si>
  <si>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</si>
  <si>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</si>
  <si>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</si>
  <si>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</si>
  <si>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</si>
  <si>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</si>
  <si>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</si>
  <si>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</si>
  <si>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</si>
  <si>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</si>
  <si>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</si>
  <si>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</si>
  <si>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</si>
  <si>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</si>
  <si>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</si>
  <si>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</si>
  <si>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</si>
  <si>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</si>
  <si>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</si>
  <si>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</si>
  <si>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</si>
  <si>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</si>
  <si>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</si>
  <si>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</si>
  <si>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</si>
  <si>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</si>
  <si>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</si>
  <si>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</si>
  <si>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</si>
  <si>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</si>
  <si>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</si>
  <si>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</si>
  <si>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</si>
  <si>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</si>
  <si>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</si>
  <si>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</si>
  <si>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</si>
  <si>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</si>
  <si>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</si>
  <si>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</si>
  <si>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</si>
  <si>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</si>
  <si>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</si>
  <si>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</si>
  <si>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</si>
  <si>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</si>
  <si>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</si>
  <si>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</si>
  <si>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</si>
  <si>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</si>
  <si>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</si>
  <si>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</si>
  <si>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</si>
  <si>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</si>
  <si>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</si>
  <si>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</si>
  <si>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</si>
  <si>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</si>
  <si>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</si>
  <si>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</si>
  <si>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</si>
  <si>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</si>
  <si>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</si>
  <si>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</si>
  <si>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</si>
  <si>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</si>
  <si>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</si>
  <si>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</si>
  <si>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</si>
  <si>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</si>
  <si>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</si>
  <si>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</si>
  <si>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</si>
  <si>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</si>
  <si>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</si>
  <si>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</si>
  <si>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</si>
  <si>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</si>
  <si>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</si>
  <si>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</si>
  <si>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</si>
  <si>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</si>
  <si>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</si>
  <si>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</si>
  <si>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</si>
  <si>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</si>
  <si>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</si>
  <si>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</si>
  <si>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</si>
  <si>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</si>
  <si>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</si>
  <si>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</si>
  <si>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</si>
  <si>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</si>
  <si>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</si>
  <si>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</si>
  <si>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</si>
  <si>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</si>
  <si>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</si>
  <si>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</si>
  <si>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</si>
  <si>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</si>
  <si>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</si>
  <si>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</si>
  <si>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</si>
  <si>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</si>
  <si>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</si>
  <si>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</si>
  <si>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</si>
  <si>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</si>
  <si>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</si>
  <si>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</si>
  <si>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</si>
  <si>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</si>
  <si>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</si>
  <si>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</si>
  <si>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</si>
  <si>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</si>
  <si>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</si>
  <si>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</si>
  <si>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</si>
  <si>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</si>
  <si>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</si>
  <si>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</si>
  <si>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</si>
  <si>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</si>
  <si>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</si>
  <si>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</si>
  <si>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</si>
  <si>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</si>
  <si>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</si>
  <si>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</si>
  <si>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</si>
  <si>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</si>
  <si>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</si>
  <si>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</si>
  <si>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</si>
  <si>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</si>
  <si>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</si>
  <si>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</si>
  <si>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</si>
  <si>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</si>
  <si>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</si>
  <si>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</si>
  <si>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</si>
  <si>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</si>
  <si>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</si>
  <si>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</si>
  <si>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</si>
  <si>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</si>
  <si>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</si>
  <si>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</si>
  <si>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</si>
  <si>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</si>
  <si>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</si>
  <si>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</si>
  <si>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</si>
  <si>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</si>
  <si>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</si>
  <si>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</si>
  <si>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</si>
  <si>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</si>
  <si>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</si>
  <si>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</si>
  <si>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</si>
  <si>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</si>
  <si>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</si>
  <si>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</si>
  <si>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</si>
  <si>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</si>
  <si>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</si>
  <si>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</si>
  <si>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</si>
  <si>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</si>
  <si>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</si>
  <si>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</si>
  <si>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</si>
  <si>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</si>
  <si>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</si>
  <si>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</si>
  <si>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</si>
  <si>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</si>
  <si>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</si>
  <si>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</si>
  <si>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</si>
  <si>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</si>
  <si>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</si>
  <si>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</si>
  <si>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</si>
  <si>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</si>
  <si>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</si>
  <si>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</si>
  <si>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</si>
  <si>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</si>
  <si>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</si>
  <si>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</si>
  <si>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</si>
  <si>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</si>
  <si>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</si>
  <si>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</si>
  <si>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</si>
  <si>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</si>
  <si>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</si>
  <si>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</si>
  <si>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</si>
  <si>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</si>
  <si>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</si>
  <si>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</si>
  <si>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</si>
  <si>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</si>
  <si>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</si>
  <si>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</si>
  <si>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</si>
  <si>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</si>
  <si>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</si>
  <si>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</si>
  <si>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</si>
  <si>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</si>
  <si>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</si>
  <si>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</si>
  <si>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</si>
  <si>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</si>
  <si>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</si>
  <si>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</si>
  <si>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</si>
  <si>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</si>
  <si>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</si>
  <si>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</si>
  <si>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</si>
  <si>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</si>
  <si>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</si>
  <si>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</si>
  <si>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</si>
  <si>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</si>
  <si>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</si>
  <si>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</si>
  <si>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</si>
  <si>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</si>
  <si>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</si>
  <si>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</si>
  <si>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</si>
  <si>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</si>
  <si>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</si>
  <si>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</si>
  <si>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</si>
  <si>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</si>
  <si>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</si>
  <si>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</si>
  <si>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</si>
  <si>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</si>
  <si>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</si>
  <si>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</si>
  <si>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</si>
  <si>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</si>
  <si>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</si>
  <si>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</si>
  <si>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</si>
  <si>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</si>
  <si>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</si>
  <si>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</si>
  <si>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</si>
  <si>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</si>
  <si>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</si>
  <si>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</si>
  <si>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</si>
  <si>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</si>
  <si>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</si>
  <si>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</si>
  <si>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</si>
  <si>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</si>
  <si>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</si>
  <si>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</si>
  <si>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</si>
  <si>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</si>
  <si>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</si>
  <si>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</si>
  <si>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</si>
  <si>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</si>
  <si>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</si>
  <si>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</si>
  <si>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</si>
  <si>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</si>
  <si>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</si>
  <si>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</si>
  <si>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</si>
  <si>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</si>
  <si>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</si>
  <si>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</si>
  <si>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</si>
  <si>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</si>
  <si>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</si>
  <si>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</si>
  <si>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</si>
  <si>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</si>
  <si>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</si>
  <si>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</si>
  <si>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</si>
  <si>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</si>
  <si>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</si>
  <si>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</si>
  <si>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</si>
  <si>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</si>
  <si>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</si>
  <si>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</si>
  <si>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</si>
  <si>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</si>
  <si>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</si>
  <si>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</si>
  <si>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</si>
  <si>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</si>
  <si>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</si>
  <si>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</si>
  <si>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</si>
  <si>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</si>
  <si>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</si>
  <si>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</si>
  <si>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</si>
  <si>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</si>
  <si>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</si>
  <si>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</si>
  <si>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</si>
  <si>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</si>
  <si>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</si>
  <si>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</si>
  <si>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</si>
  <si>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</si>
  <si>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</si>
  <si>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</si>
  <si>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</si>
  <si>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</si>
  <si>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</si>
  <si>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</si>
  <si>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</si>
  <si>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</si>
  <si>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</si>
  <si>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</si>
  <si>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</si>
  <si>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</si>
  <si>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</si>
  <si>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</si>
  <si>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</si>
  <si>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</si>
  <si>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</si>
  <si>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</si>
  <si>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</si>
  <si>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</si>
  <si>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</si>
  <si>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</si>
  <si>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</si>
  <si>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</si>
  <si>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</si>
  <si>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</si>
  <si>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</si>
  <si>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</si>
  <si>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</si>
  <si>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</si>
  <si>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</si>
  <si>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</si>
  <si>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</si>
  <si>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</si>
  <si>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</si>
  <si>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</si>
  <si>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</si>
  <si>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</si>
  <si>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</si>
  <si>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</si>
  <si>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</si>
  <si>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</si>
  <si>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</si>
  <si>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</si>
  <si>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</si>
  <si>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</si>
  <si>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</si>
  <si>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</si>
  <si>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</si>
  <si>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</si>
  <si>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</si>
  <si>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</si>
  <si>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</si>
  <si>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</si>
  <si>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</si>
  <si>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</si>
  <si>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</si>
  <si>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</si>
  <si>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</si>
  <si>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</si>
  <si>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</si>
  <si>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</si>
  <si>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</si>
  <si>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</si>
  <si>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</si>
  <si>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</si>
  <si>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</si>
  <si>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</si>
  <si>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</si>
  <si>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</si>
  <si>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</si>
  <si>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</si>
  <si>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</si>
  <si>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</si>
  <si>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</si>
  <si>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</si>
  <si>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</si>
  <si>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</si>
  <si>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</si>
  <si>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</si>
  <si>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</si>
  <si>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</si>
  <si>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</si>
  <si>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</si>
  <si>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</si>
  <si>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</si>
  <si>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</si>
  <si>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</si>
  <si>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</si>
  <si>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</si>
  <si>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</si>
  <si>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</si>
  <si>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</si>
  <si>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</si>
  <si>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</si>
  <si>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</si>
  <si>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</si>
  <si>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</si>
  <si>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</si>
  <si>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</si>
  <si>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</si>
  <si>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</si>
  <si>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</si>
  <si>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</si>
  <si>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</si>
  <si>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</si>
  <si>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</si>
  <si>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</si>
  <si>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</si>
  <si>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</si>
  <si>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</si>
  <si>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</si>
  <si>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</si>
  <si>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</si>
  <si>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</si>
  <si>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</si>
  <si>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</si>
  <si>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</si>
  <si>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</si>
  <si>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</si>
  <si>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</si>
  <si>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</si>
  <si>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</si>
  <si>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</si>
  <si>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</si>
  <si>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</si>
  <si>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</si>
  <si>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</si>
  <si>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</si>
  <si>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</si>
  <si>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</si>
  <si>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</si>
  <si>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</si>
  <si>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</si>
  <si>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</si>
  <si>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</si>
  <si>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</si>
  <si>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</si>
  <si>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</si>
  <si>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</si>
  <si>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</si>
  <si>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</si>
  <si>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</si>
  <si>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</si>
  <si>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</si>
  <si>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</si>
  <si>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</si>
  <si>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</si>
  <si>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</si>
  <si>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</si>
  <si>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</si>
  <si>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</si>
  <si>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</si>
  <si>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</si>
  <si>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</si>
  <si>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</si>
  <si>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</si>
  <si>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</si>
  <si>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</si>
  <si>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</si>
  <si>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</si>
  <si>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</si>
  <si>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</si>
  <si>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</si>
  <si>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</si>
  <si>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</si>
  <si>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</si>
  <si>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</si>
  <si>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</si>
  <si>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</si>
  <si>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</si>
  <si>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</si>
  <si>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</si>
  <si>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</si>
  <si>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</si>
  <si>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</si>
  <si>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</si>
  <si>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</si>
  <si>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</si>
  <si>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</si>
  <si>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</si>
  <si>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</si>
  <si>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</si>
  <si>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</si>
  <si>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</si>
  <si>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</si>
  <si>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</si>
  <si>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</si>
  <si>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</si>
  <si>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</si>
  <si>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</si>
  <si>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</si>
  <si>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</si>
  <si>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</si>
  <si>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</si>
  <si>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</si>
  <si>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</si>
  <si>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</si>
  <si>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</si>
  <si>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</si>
  <si>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</si>
  <si>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</si>
  <si>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</si>
  <si>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</si>
  <si>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</si>
  <si>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</si>
  <si>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</si>
  <si>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</si>
  <si>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</si>
  <si>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</si>
  <si>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</si>
  <si>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</si>
  <si>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</si>
  <si>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</si>
  <si>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</si>
  <si>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</si>
  <si>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</si>
  <si>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</si>
  <si>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</si>
  <si>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</si>
  <si>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</si>
  <si>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</si>
  <si>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</si>
  <si>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</si>
  <si>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</si>
  <si>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</si>
  <si>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</si>
  <si>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</si>
  <si>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</si>
  <si>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</si>
  <si>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</si>
  <si>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</si>
  <si>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</si>
  <si>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</si>
  <si>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</si>
  <si>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</si>
  <si>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</si>
  <si>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</si>
  <si>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</si>
  <si>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</si>
  <si>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</si>
  <si>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</si>
  <si>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</si>
  <si>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</si>
  <si>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</si>
  <si>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</si>
  <si>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</si>
  <si>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</si>
  <si>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</si>
  <si>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</si>
  <si>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</si>
  <si>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</si>
  <si>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</si>
  <si>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</si>
  <si>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</si>
  <si>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</si>
  <si>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</si>
  <si>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</si>
  <si>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</si>
  <si>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</si>
  <si>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</si>
  <si>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</si>
  <si>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</si>
  <si>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</si>
  <si>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</si>
  <si>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</si>
  <si>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</si>
  <si>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</si>
  <si>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</si>
  <si>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</si>
  <si>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</si>
  <si>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</si>
  <si>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</si>
  <si>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</si>
  <si>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</si>
  <si>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</si>
  <si>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</si>
  <si>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</si>
  <si>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</si>
  <si>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</si>
  <si>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</si>
  <si>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</si>
  <si>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</si>
  <si>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</si>
  <si>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</si>
  <si>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</si>
  <si>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</si>
  <si>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</si>
  <si>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</si>
  <si>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</si>
  <si>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</si>
  <si>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</si>
  <si>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</si>
  <si>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</si>
  <si>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</si>
  <si>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</si>
  <si>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</si>
  <si>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</si>
  <si>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</si>
  <si>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</si>
  <si>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</si>
  <si>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</si>
  <si>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</si>
  <si>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</si>
  <si>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</si>
  <si>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</si>
  <si>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</si>
  <si>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</si>
  <si>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</si>
  <si>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</si>
  <si>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</si>
  <si>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</si>
  <si>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</si>
  <si>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</si>
  <si>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</si>
  <si>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</si>
  <si>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</si>
  <si>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</si>
  <si>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</si>
  <si>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</si>
  <si>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SUSAN J. LYONS, CPA, P.C.</t>
  </si>
  <si>
    <t>SUSAN J. LYONS</t>
  </si>
  <si>
    <t>5859 U.S. HIGHWAY 51</t>
  </si>
  <si>
    <t>ODIN</t>
  </si>
  <si>
    <t>IL</t>
  </si>
  <si>
    <t>618-267-3213</t>
  </si>
  <si>
    <t>618-247-3208</t>
  </si>
  <si>
    <t>060-006876</t>
  </si>
  <si>
    <t>slyons1007@gmail.com</t>
  </si>
  <si>
    <t>x</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</si>
  <si>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</si>
  <si>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</si>
  <si>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</si>
  <si>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</si>
  <si>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</si>
  <si>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</si>
  <si>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</si>
  <si>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RON DANIELS</t>
  </si>
  <si>
    <t>MARION</t>
  </si>
  <si>
    <t>CENTRAL CITY SCHOOL DISTRICT NO. 133</t>
  </si>
  <si>
    <t>129 N. DOUGLAS</t>
  </si>
  <si>
    <t>CENTRALIA</t>
  </si>
  <si>
    <t>TIM BRANON</t>
  </si>
  <si>
    <t>618-532-9521</t>
  </si>
  <si>
    <t>618-533-2219</t>
  </si>
  <si>
    <t>branon@ccs133.com</t>
  </si>
  <si>
    <t>General Obligation Limited School Bonds, Series 2013</t>
  </si>
  <si>
    <t>Taxable Limited Working Cash Bonds, Series 2015</t>
  </si>
  <si>
    <t>ED-Support Services Business-Purchased Service</t>
  </si>
  <si>
    <t>10-2540-300</t>
  </si>
  <si>
    <t>Greatamerica Financial</t>
  </si>
  <si>
    <t>Da-Com Corporation</t>
  </si>
  <si>
    <t>Regional Office of Education #13</t>
  </si>
  <si>
    <t>Odin School District #722</t>
  </si>
  <si>
    <t>Egyptian Area Schools Benefit Trust</t>
  </si>
  <si>
    <t>MidAmerican Energy and Homefield Energy</t>
  </si>
  <si>
    <t>Southern Illinois School District Coop Buying Program</t>
  </si>
  <si>
    <t>Illinois Public Risk Fund</t>
  </si>
  <si>
    <t>Regional Office of Education #13 and various other schools</t>
  </si>
  <si>
    <t>Kaskaskia Special Education District 801</t>
  </si>
  <si>
    <t>Page 10, Line 74 - Safe and Alternative School</t>
  </si>
  <si>
    <t>Page 10, Line 107 - Education - Erate $15,081; PreK O&amp;M Reimbursement $1,500; Miscellaneous refunds &amp; reimbursements $6,997</t>
  </si>
  <si>
    <t xml:space="preserve">                                        Transportation - Grant $1,282; Reimbursement $188</t>
  </si>
  <si>
    <t>Page 12, Line 183 - REAP Grant</t>
  </si>
  <si>
    <t>Page 16, Line 73 - Crossing Guard</t>
  </si>
  <si>
    <t>Page 18, Line 171 - Bond Fees</t>
  </si>
  <si>
    <t>Page 20, Line 278 - Crossing Guard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</si>
</sst>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3" fillId="0" borderId="0" xfId="3" applyFont="1" applyAlignment="1" applyProtection="1">
      <alignment horizontal="center"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304800</xdr:colOff>
          <xdr:row>14</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6" t="s">
        <v>425</v>
      </c>
      <c r="J1" s="2037"/>
      <c r="K1" s="2037"/>
      <c r="L1" s="2037"/>
      <c r="M1" s="2037"/>
      <c r="N1" s="2037"/>
      <c r="O1" s="2037"/>
      <c r="P1" s="2037"/>
      <c r="Q1" s="2037"/>
      <c r="R1" s="2037"/>
      <c r="S1" s="2037"/>
    </row>
    <row r="2" spans="1:28" ht="12" customHeight="1" x14ac:dyDescent="0.2">
      <c r="A2" s="47" t="s">
        <v>1684</v>
      </c>
      <c r="D2" s="48"/>
      <c r="I2" s="2038" t="s">
        <v>1036</v>
      </c>
      <c r="J2" s="2037"/>
      <c r="K2" s="2037"/>
      <c r="L2" s="2037"/>
      <c r="M2" s="2037"/>
      <c r="N2" s="2037"/>
      <c r="O2" s="2037"/>
      <c r="P2" s="2037"/>
      <c r="Q2" s="2037"/>
      <c r="R2" s="2037"/>
      <c r="S2" s="2037"/>
    </row>
    <row r="3" spans="1:28" ht="12" customHeight="1" x14ac:dyDescent="0.2">
      <c r="A3" s="155" t="s">
        <v>1685</v>
      </c>
      <c r="B3" s="156"/>
      <c r="C3" s="156"/>
      <c r="D3" s="157"/>
      <c r="I3" s="2038" t="s">
        <v>54</v>
      </c>
      <c r="J3" s="2037"/>
      <c r="K3" s="2037"/>
      <c r="L3" s="2037"/>
      <c r="M3" s="2037"/>
      <c r="N3" s="2037"/>
      <c r="O3" s="2037"/>
      <c r="P3" s="2037"/>
      <c r="Q3" s="2037"/>
      <c r="R3" s="2037"/>
      <c r="S3" s="2037"/>
    </row>
    <row r="4" spans="1:28" ht="12" customHeight="1" x14ac:dyDescent="0.2">
      <c r="A4" s="37"/>
      <c r="I4" s="2038" t="s">
        <v>545</v>
      </c>
      <c r="J4" s="2037"/>
      <c r="K4" s="2037"/>
      <c r="L4" s="2037"/>
      <c r="M4" s="2037"/>
      <c r="N4" s="2037"/>
      <c r="O4" s="2037"/>
      <c r="P4" s="2037"/>
      <c r="Q4" s="2037"/>
      <c r="R4" s="2037"/>
      <c r="S4" s="2037"/>
    </row>
    <row r="5" spans="1:28" ht="14.1" customHeight="1" x14ac:dyDescent="0.2">
      <c r="B5" s="104" t="s">
        <v>2077</v>
      </c>
      <c r="C5" s="26" t="s">
        <v>966</v>
      </c>
      <c r="D5" s="84"/>
      <c r="E5" s="84"/>
      <c r="H5" s="38"/>
      <c r="I5" s="2045" t="s">
        <v>701</v>
      </c>
      <c r="J5" s="1990"/>
      <c r="K5" s="1990"/>
      <c r="L5" s="1990"/>
      <c r="M5" s="1990"/>
      <c r="N5" s="1990"/>
      <c r="O5" s="1990"/>
      <c r="P5" s="1990"/>
      <c r="Q5" s="1990"/>
      <c r="R5" s="1990"/>
      <c r="S5" s="1990"/>
    </row>
    <row r="6" spans="1:28" ht="14.1" customHeight="1" x14ac:dyDescent="0.2">
      <c r="B6" s="104"/>
      <c r="C6" s="26" t="s">
        <v>967</v>
      </c>
      <c r="D6" s="84"/>
      <c r="E6" s="84"/>
      <c r="I6" s="2044" t="s">
        <v>938</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695</v>
      </c>
      <c r="J9" s="2042"/>
      <c r="K9" s="2042"/>
      <c r="L9" s="2042"/>
      <c r="M9" s="2042"/>
      <c r="N9" s="2042"/>
      <c r="O9" s="2042"/>
      <c r="P9" s="2042"/>
      <c r="Q9" s="2042"/>
      <c r="R9" s="2042"/>
      <c r="S9" s="2043"/>
      <c r="T9" s="1986" t="s">
        <v>554</v>
      </c>
      <c r="U9" s="1987"/>
      <c r="V9" s="1987"/>
      <c r="W9" s="1987"/>
      <c r="X9" s="1987"/>
      <c r="Y9" s="1987"/>
      <c r="Z9" s="1987"/>
      <c r="AA9" s="1988"/>
    </row>
    <row r="10" spans="1:28" ht="13.5" customHeight="1" x14ac:dyDescent="0.2">
      <c r="A10" s="1995" t="s">
        <v>696</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1012</v>
      </c>
      <c r="B11" s="1999"/>
      <c r="C11" s="1999"/>
      <c r="D11" s="1999"/>
      <c r="E11" s="1999"/>
      <c r="F11" s="1999"/>
      <c r="G11" s="1999"/>
      <c r="H11" s="2000"/>
      <c r="I11" s="27"/>
      <c r="J11" s="74"/>
      <c r="K11" s="27"/>
      <c r="O11" s="148" t="s">
        <v>2077</v>
      </c>
      <c r="P11" s="100" t="s">
        <v>210</v>
      </c>
      <c r="Q11" s="30"/>
      <c r="R11" s="28"/>
      <c r="S11" s="27"/>
      <c r="T11" s="1992"/>
      <c r="U11" s="1993"/>
      <c r="V11" s="1993"/>
      <c r="W11" s="1993"/>
      <c r="X11" s="1993"/>
      <c r="Y11" s="1993"/>
      <c r="Z11" s="1993"/>
      <c r="AA11" s="199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6">
        <v>13058133002</v>
      </c>
      <c r="B13" s="2007"/>
      <c r="C13" s="2007"/>
      <c r="D13" s="2007"/>
      <c r="E13" s="2007"/>
      <c r="F13" s="2007"/>
      <c r="G13" s="2007"/>
      <c r="H13" s="2008"/>
      <c r="I13" s="31"/>
      <c r="J13" s="30"/>
      <c r="K13" s="28"/>
      <c r="L13" s="30"/>
      <c r="M13" s="30"/>
      <c r="N13" s="30"/>
      <c r="O13" s="30"/>
      <c r="P13" s="30"/>
      <c r="Q13" s="30"/>
      <c r="R13" s="30"/>
      <c r="S13" s="30"/>
      <c r="T13" s="2011" t="s">
        <v>2078</v>
      </c>
      <c r="U13" s="2012"/>
      <c r="V13" s="2012"/>
      <c r="W13" s="2012"/>
      <c r="X13" s="2012"/>
      <c r="Y13" s="2013"/>
      <c r="Z13" s="2013"/>
      <c r="AA13" s="201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4" t="s">
        <v>2096</v>
      </c>
      <c r="B15" s="2009"/>
      <c r="C15" s="2009"/>
      <c r="D15" s="2009"/>
      <c r="E15" s="2009"/>
      <c r="F15" s="2009"/>
      <c r="G15" s="2009"/>
      <c r="H15" s="2010"/>
      <c r="T15" s="1972" t="s">
        <v>2079</v>
      </c>
      <c r="U15" s="1973"/>
      <c r="V15" s="1973"/>
      <c r="W15" s="1973"/>
      <c r="X15" s="1973"/>
      <c r="Y15" s="2015"/>
      <c r="Z15" s="2015"/>
      <c r="AA15" s="201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4" t="s">
        <v>2097</v>
      </c>
      <c r="B17" s="2034"/>
      <c r="C17" s="2034"/>
      <c r="D17" s="2034"/>
      <c r="E17" s="2034"/>
      <c r="F17" s="2034"/>
      <c r="G17" s="2034"/>
      <c r="H17" s="2035"/>
      <c r="T17" s="2021" t="s">
        <v>2080</v>
      </c>
      <c r="U17" s="2022"/>
      <c r="V17" s="2022"/>
      <c r="W17" s="2022"/>
      <c r="X17" s="2022"/>
      <c r="Y17" s="2022"/>
      <c r="Z17" s="2022"/>
      <c r="AA17" s="2023"/>
    </row>
    <row r="18" spans="1:27" ht="13.5" customHeight="1" x14ac:dyDescent="0.2">
      <c r="A18" s="85" t="s">
        <v>551</v>
      </c>
      <c r="B18" s="76"/>
      <c r="C18" s="72"/>
      <c r="D18" s="76"/>
      <c r="E18" s="76"/>
      <c r="F18" s="76"/>
      <c r="G18" s="76"/>
      <c r="H18" s="56"/>
      <c r="I18" s="2031" t="s">
        <v>697</v>
      </c>
      <c r="J18" s="2032"/>
      <c r="K18" s="2032"/>
      <c r="L18" s="2032"/>
      <c r="M18" s="2032"/>
      <c r="N18" s="2032"/>
      <c r="O18" s="2032"/>
      <c r="P18" s="2032"/>
      <c r="Q18" s="2032"/>
      <c r="R18" s="2032"/>
      <c r="S18" s="2033"/>
      <c r="T18" s="85" t="s">
        <v>735</v>
      </c>
      <c r="U18" s="51"/>
      <c r="V18" s="72"/>
      <c r="W18" s="50"/>
      <c r="X18" s="85" t="s">
        <v>284</v>
      </c>
      <c r="Y18" s="81"/>
      <c r="Z18" s="159" t="s">
        <v>698</v>
      </c>
      <c r="AA18" s="46"/>
    </row>
    <row r="19" spans="1:27" ht="13.5" customHeight="1" x14ac:dyDescent="0.2">
      <c r="A19" s="2004" t="s">
        <v>2098</v>
      </c>
      <c r="B19" s="2005"/>
      <c r="C19" s="2005"/>
      <c r="D19" s="2005"/>
      <c r="E19" s="2005"/>
      <c r="F19" s="2005"/>
      <c r="G19" s="2005"/>
      <c r="H19" s="2003"/>
      <c r="I19" s="30"/>
      <c r="J19" s="99"/>
      <c r="K19" s="40"/>
      <c r="L19" s="38"/>
      <c r="M19" s="112" t="s">
        <v>333</v>
      </c>
      <c r="P19" s="27"/>
      <c r="Q19" s="27"/>
      <c r="R19" s="27"/>
      <c r="S19" s="31"/>
      <c r="T19" s="2004" t="s">
        <v>2081</v>
      </c>
      <c r="U19" s="2002"/>
      <c r="V19" s="2002"/>
      <c r="W19" s="2003"/>
      <c r="X19" s="2019" t="s">
        <v>2082</v>
      </c>
      <c r="Y19" s="2020"/>
      <c r="Z19" s="2017">
        <v>62870</v>
      </c>
      <c r="AA19" s="201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1" t="s">
        <v>2099</v>
      </c>
      <c r="B21" s="2002"/>
      <c r="C21" s="2002"/>
      <c r="D21" s="2002"/>
      <c r="E21" s="2002"/>
      <c r="F21" s="2002"/>
      <c r="G21" s="2002"/>
      <c r="H21" s="2003"/>
      <c r="I21" s="2027" t="s">
        <v>699</v>
      </c>
      <c r="J21" s="1990"/>
      <c r="K21" s="1990"/>
      <c r="L21" s="1990"/>
      <c r="M21" s="1990"/>
      <c r="N21" s="1990"/>
      <c r="O21" s="1990"/>
      <c r="P21" s="1990"/>
      <c r="Q21" s="1990"/>
      <c r="R21" s="1990"/>
      <c r="S21" s="1991"/>
      <c r="T21" s="1969" t="s">
        <v>2083</v>
      </c>
      <c r="U21" s="1970"/>
      <c r="V21" s="1970"/>
      <c r="W21" s="1970"/>
      <c r="X21" s="1983" t="s">
        <v>2084</v>
      </c>
      <c r="Y21" s="1984"/>
      <c r="Z21" s="1984"/>
      <c r="AA21" s="1985"/>
    </row>
    <row r="22" spans="1:27" ht="13.5" customHeight="1" x14ac:dyDescent="0.2">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60" t="s">
        <v>1385</v>
      </c>
      <c r="Z22" s="45"/>
      <c r="AA22" s="46"/>
    </row>
    <row r="23" spans="1:27" ht="13.5" customHeight="1" x14ac:dyDescent="0.2">
      <c r="A23" s="2024" t="s">
        <v>2103</v>
      </c>
      <c r="B23" s="2025"/>
      <c r="C23" s="2025"/>
      <c r="D23" s="2025"/>
      <c r="E23" s="2025"/>
      <c r="F23" s="2025"/>
      <c r="G23" s="2025"/>
      <c r="H23" s="2026"/>
      <c r="T23" s="1964" t="s">
        <v>2085</v>
      </c>
      <c r="U23" s="1965"/>
      <c r="V23" s="1965"/>
      <c r="W23" s="1965"/>
      <c r="X23" s="1980">
        <v>43466</v>
      </c>
      <c r="Y23" s="1981"/>
      <c r="Z23" s="1981"/>
      <c r="AA23" s="1982"/>
    </row>
    <row r="24" spans="1:27" ht="14.1" customHeight="1" x14ac:dyDescent="0.2">
      <c r="A24" s="88" t="s">
        <v>698</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552</v>
      </c>
      <c r="U24" s="106"/>
      <c r="V24" s="106"/>
      <c r="W24" s="106"/>
      <c r="X24" s="107"/>
      <c r="Y24" s="107"/>
      <c r="Z24" s="107"/>
      <c r="AA24" s="108"/>
    </row>
    <row r="25" spans="1:27" ht="14.1" customHeight="1" x14ac:dyDescent="0.2">
      <c r="A25" s="2001">
        <v>62801</v>
      </c>
      <c r="B25" s="2002"/>
      <c r="C25" s="2002"/>
      <c r="D25" s="2002"/>
      <c r="E25" s="2002"/>
      <c r="F25" s="2002"/>
      <c r="G25" s="2002"/>
      <c r="H25" s="2003"/>
      <c r="I25" s="113"/>
      <c r="J25" s="2068"/>
      <c r="K25" s="2068"/>
      <c r="L25" s="2068"/>
      <c r="M25" s="2068"/>
      <c r="N25" s="2068"/>
      <c r="O25" s="2068"/>
      <c r="P25" s="2068"/>
      <c r="Q25" s="2068"/>
      <c r="R25" s="2068"/>
      <c r="S25" s="2069"/>
      <c r="T25" s="1961" t="s">
        <v>2086</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9" t="s">
        <v>1591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48"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4" t="s">
        <v>2100</v>
      </c>
      <c r="B38" s="2034"/>
      <c r="C38" s="2034"/>
      <c r="D38" s="2034"/>
      <c r="E38" s="2034"/>
      <c r="F38" s="2002"/>
      <c r="G38" s="2002"/>
      <c r="H38" s="2003"/>
      <c r="I38" s="2053"/>
      <c r="J38" s="1973"/>
      <c r="K38" s="1973"/>
      <c r="L38" s="1973"/>
      <c r="M38" s="1973"/>
      <c r="N38" s="1973"/>
      <c r="O38" s="1973"/>
      <c r="P38" s="1974"/>
      <c r="Q38" s="1974"/>
      <c r="R38" s="1974"/>
      <c r="S38" s="1975"/>
      <c r="T38" s="1972" t="s">
        <v>2095</v>
      </c>
      <c r="U38" s="1973"/>
      <c r="V38" s="1973"/>
      <c r="W38" s="1973"/>
      <c r="X38" s="1974"/>
      <c r="Y38" s="1974"/>
      <c r="Z38" s="1974"/>
      <c r="AA38" s="1975"/>
    </row>
    <row r="39" spans="1:27" ht="12" customHeight="1" x14ac:dyDescent="0.2">
      <c r="A39" s="2057" t="s">
        <v>552</v>
      </c>
      <c r="B39" s="2058"/>
      <c r="C39" s="72"/>
      <c r="D39" s="69"/>
      <c r="E39" s="69"/>
      <c r="F39" s="79"/>
      <c r="G39" s="69"/>
      <c r="H39" s="56"/>
      <c r="I39" s="2057" t="s">
        <v>552</v>
      </c>
      <c r="J39" s="2058"/>
      <c r="K39" s="2058"/>
      <c r="L39" s="2058"/>
      <c r="M39" s="2058"/>
      <c r="N39" s="67"/>
      <c r="O39" s="72"/>
      <c r="P39" s="72"/>
      <c r="Q39" s="78"/>
      <c r="R39" s="72"/>
      <c r="S39" s="56"/>
      <c r="T39" s="72" t="s">
        <v>552</v>
      </c>
      <c r="U39" s="51"/>
      <c r="V39" s="72"/>
      <c r="W39" s="50"/>
      <c r="X39" s="78"/>
      <c r="Y39" s="45"/>
      <c r="Z39" s="45"/>
      <c r="AA39" s="46"/>
    </row>
    <row r="40" spans="1:27" ht="13.5" customHeight="1" x14ac:dyDescent="0.2">
      <c r="A40" s="2060" t="s">
        <v>2103</v>
      </c>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0" t="s">
        <v>2101</v>
      </c>
      <c r="B42" s="2051"/>
      <c r="C42" s="2052"/>
      <c r="D42" s="2065" t="s">
        <v>2102</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zoomScale="110" zoomScaleNormal="110" workbookViewId="0">
      <selection activeCell="I38" sqref="I38:S3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32" right="0.2" top="0.5" bottom="0.27" header="0.19" footer="0.17"/>
  <pageSetup scale="80"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2087</v>
      </c>
      <c r="C53" s="179">
        <v>22</v>
      </c>
      <c r="D53" s="247" t="s">
        <v>1537</v>
      </c>
      <c r="E53" s="248"/>
      <c r="F53" s="249"/>
      <c r="G53" s="249" t="s">
        <v>1536</v>
      </c>
      <c r="H53" s="250">
        <v>36161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2078</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O15" sqref="O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18109828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1.10916E-2</v>
      </c>
      <c r="E10" s="356" t="s">
        <v>1062</v>
      </c>
      <c r="F10" s="355">
        <v>1.6197E-3</v>
      </c>
      <c r="G10" s="356" t="s">
        <v>1062</v>
      </c>
      <c r="H10" s="355">
        <v>1.0656000000000001E-3</v>
      </c>
      <c r="I10" s="356" t="s">
        <v>1063</v>
      </c>
      <c r="J10" s="1753">
        <f>ROUND(D10+F10+H10,5)</f>
        <v>1.3780000000000001E-2</v>
      </c>
      <c r="K10" s="222"/>
      <c r="L10" s="355">
        <v>0</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2437330</v>
      </c>
      <c r="E16" s="356"/>
      <c r="F16" s="1754">
        <f>SUM('Acct Summary 7-8'!C17,'Acct Summary 7-8'!D17,'Acct Summary 7-8'!F17)</f>
        <v>2264370</v>
      </c>
      <c r="G16" s="356"/>
      <c r="H16" s="1754">
        <f>SUM(D16-F16)</f>
        <v>172960</v>
      </c>
      <c r="I16" s="222"/>
      <c r="J16" s="1754">
        <f>SUM('Acct Summary 7-8'!C81,'Acct Summary 7-8'!D81,'Acct Summary 7-8'!F81,'Acct Summary 7-8'!I81)</f>
        <v>701566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2087</v>
      </c>
      <c r="C31" s="367" t="s">
        <v>607</v>
      </c>
      <c r="D31" s="237" t="s">
        <v>1132</v>
      </c>
      <c r="E31" s="222"/>
      <c r="F31" s="222"/>
      <c r="G31" s="363"/>
      <c r="H31" s="1756">
        <f>IF(B31="X",(J7*0.069),IF(B32="X",(J7*0.138),"Enter x in a.or b."))</f>
        <v>1249578.1320000002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387000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I38" sqref="I38:S3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CENTRAL CITY SCHOOL DISTRICT NO. 133</v>
      </c>
      <c r="E7" s="391"/>
      <c r="G7" s="252"/>
      <c r="H7" s="387"/>
      <c r="I7" s="387"/>
      <c r="J7" s="387"/>
      <c r="K7" s="387"/>
      <c r="L7" s="329"/>
      <c r="M7" s="329"/>
      <c r="N7" s="329"/>
      <c r="O7" s="329"/>
      <c r="P7" s="329"/>
    </row>
    <row r="8" spans="1:18" ht="12.75" x14ac:dyDescent="0.2">
      <c r="A8" s="329"/>
      <c r="B8" s="329"/>
      <c r="C8" s="389" t="s">
        <v>1187</v>
      </c>
      <c r="D8" s="392">
        <f>COVER!A13</f>
        <v>13058133002</v>
      </c>
      <c r="E8" s="393"/>
      <c r="G8" s="329"/>
      <c r="H8" s="329"/>
      <c r="I8" s="329"/>
      <c r="J8" s="329"/>
      <c r="K8" s="329"/>
      <c r="L8" s="329"/>
      <c r="M8" s="329"/>
      <c r="N8" s="329"/>
      <c r="O8" s="329"/>
      <c r="P8" s="329"/>
    </row>
    <row r="9" spans="1:18" ht="12.75" x14ac:dyDescent="0.2">
      <c r="A9" s="329"/>
      <c r="B9" s="329"/>
      <c r="C9" s="389" t="s">
        <v>737</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701566</v>
      </c>
      <c r="I12" s="404"/>
      <c r="J12" s="404"/>
      <c r="K12" s="405">
        <f>TRUNC((H12/H13*100000),5)/100000</f>
        <v>0.28784202380000001</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2437330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2264370</v>
      </c>
      <c r="I17" s="404"/>
      <c r="J17" s="416"/>
      <c r="K17" s="405">
        <f>TRUNC((H17/H18*100000),5)/100000</f>
        <v>0.929037102</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2437330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701566</v>
      </c>
      <c r="I24" s="422"/>
      <c r="J24" s="422"/>
      <c r="K24" s="423">
        <f>TRUNC(((H24/H25*100000)/100000),2)</f>
        <v>111.53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6289.9166699999996</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212120.41536000001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387000</v>
      </c>
      <c r="I32" s="420"/>
      <c r="J32" s="420"/>
      <c r="K32" s="423">
        <f>TRUNC(100-((((H32/H33*100))*100)/100),2)</f>
        <v>69.02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1249578.1320000002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I38" sqref="I38:S38"/>
      <selection pane="bottomLeft" activeCell="I38" sqref="I38:S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392952</v>
      </c>
      <c r="D4" s="466">
        <v>72913</v>
      </c>
      <c r="E4" s="466">
        <v>97521</v>
      </c>
      <c r="F4" s="466">
        <v>27556</v>
      </c>
      <c r="G4" s="466">
        <v>18539</v>
      </c>
      <c r="H4" s="466"/>
      <c r="I4" s="466">
        <v>208145</v>
      </c>
      <c r="J4" s="467">
        <v>1384</v>
      </c>
      <c r="K4" s="466">
        <v>422</v>
      </c>
      <c r="L4" s="466">
        <v>37036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392952</v>
      </c>
      <c r="D13" s="1758">
        <f t="shared" ref="D13:L13" si="0">SUM(D4:D12)</f>
        <v>72913</v>
      </c>
      <c r="E13" s="1758">
        <f t="shared" si="0"/>
        <v>97521</v>
      </c>
      <c r="F13" s="1758">
        <f t="shared" si="0"/>
        <v>27556</v>
      </c>
      <c r="G13" s="1758">
        <f t="shared" si="0"/>
        <v>18539</v>
      </c>
      <c r="H13" s="1758">
        <f t="shared" si="0"/>
        <v>0</v>
      </c>
      <c r="I13" s="1758">
        <f t="shared" si="0"/>
        <v>208145</v>
      </c>
      <c r="J13" s="1758">
        <f t="shared" si="0"/>
        <v>1384</v>
      </c>
      <c r="K13" s="1758">
        <f t="shared" si="0"/>
        <v>422</v>
      </c>
      <c r="L13" s="1758">
        <f t="shared" si="0"/>
        <v>37036</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13324</v>
      </c>
      <c r="N16" s="484"/>
    </row>
    <row r="17" spans="1:14" s="485" customFormat="1" ht="12.75" customHeight="1" x14ac:dyDescent="0.2">
      <c r="A17" s="482" t="s">
        <v>1470</v>
      </c>
      <c r="B17" s="483">
        <v>230</v>
      </c>
      <c r="C17" s="477"/>
      <c r="D17" s="477"/>
      <c r="E17" s="477"/>
      <c r="F17" s="477"/>
      <c r="G17" s="477"/>
      <c r="H17" s="477"/>
      <c r="I17" s="477"/>
      <c r="J17" s="477"/>
      <c r="K17" s="477"/>
      <c r="L17" s="477"/>
      <c r="M17" s="467">
        <v>4827081</v>
      </c>
      <c r="N17" s="484"/>
    </row>
    <row r="18" spans="1:14" s="485" customFormat="1" ht="12.75" customHeight="1" x14ac:dyDescent="0.2">
      <c r="A18" s="482" t="s">
        <v>1471</v>
      </c>
      <c r="B18" s="483">
        <v>240</v>
      </c>
      <c r="C18" s="477"/>
      <c r="D18" s="477"/>
      <c r="E18" s="477"/>
      <c r="F18" s="477"/>
      <c r="G18" s="477"/>
      <c r="H18" s="477"/>
      <c r="I18" s="477"/>
      <c r="J18" s="477"/>
      <c r="K18" s="477"/>
      <c r="L18" s="477"/>
      <c r="M18" s="467">
        <v>121626</v>
      </c>
      <c r="N18" s="484"/>
    </row>
    <row r="19" spans="1:14" s="485" customFormat="1" ht="12.75" customHeight="1" x14ac:dyDescent="0.2">
      <c r="A19" s="482" t="s">
        <v>1472</v>
      </c>
      <c r="B19" s="483">
        <v>250</v>
      </c>
      <c r="C19" s="477"/>
      <c r="D19" s="477"/>
      <c r="E19" s="477"/>
      <c r="F19" s="477"/>
      <c r="G19" s="477"/>
      <c r="H19" s="477"/>
      <c r="I19" s="477"/>
      <c r="J19" s="477"/>
      <c r="K19" s="477"/>
      <c r="L19" s="477"/>
      <c r="M19" s="467">
        <v>719958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97521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289479</v>
      </c>
    </row>
    <row r="23" spans="1:14" ht="13.5" customHeight="1" thickBot="1" x14ac:dyDescent="0.25">
      <c r="A23" s="1757" t="s">
        <v>664</v>
      </c>
      <c r="B23" s="1762"/>
      <c r="C23" s="468"/>
      <c r="D23" s="468"/>
      <c r="E23" s="468"/>
      <c r="F23" s="468"/>
      <c r="G23" s="468"/>
      <c r="H23" s="468"/>
      <c r="I23" s="468"/>
      <c r="J23" s="468"/>
      <c r="K23" s="468"/>
      <c r="L23" s="468"/>
      <c r="M23" s="1709">
        <f>SUM(M15:M22)</f>
        <v>5681989</v>
      </c>
      <c r="N23" s="1709">
        <f>SUM(N21:N22)</f>
        <v>387000</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37036</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37036</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387000</v>
      </c>
    </row>
    <row r="37" spans="1:14" ht="13.5" thickBot="1" x14ac:dyDescent="0.25">
      <c r="A37" s="1757" t="s">
        <v>674</v>
      </c>
      <c r="B37" s="1762"/>
      <c r="C37" s="477"/>
      <c r="D37" s="477"/>
      <c r="E37" s="477"/>
      <c r="F37" s="477"/>
      <c r="G37" s="477"/>
      <c r="H37" s="477"/>
      <c r="I37" s="477"/>
      <c r="J37" s="477"/>
      <c r="K37" s="477"/>
      <c r="L37" s="480"/>
      <c r="M37" s="468"/>
      <c r="N37" s="1709">
        <f>SUM(N36:N36)</f>
        <v>387000</v>
      </c>
    </row>
    <row r="38" spans="1:14" s="329" customFormat="1" ht="13.5" customHeight="1" thickTop="1" x14ac:dyDescent="0.2">
      <c r="A38" s="496" t="s">
        <v>440</v>
      </c>
      <c r="B38" s="483">
        <v>714</v>
      </c>
      <c r="C38" s="466"/>
      <c r="D38" s="466"/>
      <c r="E38" s="466"/>
      <c r="F38" s="466"/>
      <c r="G38" s="466">
        <v>8257</v>
      </c>
      <c r="H38" s="466"/>
      <c r="I38" s="466"/>
      <c r="J38" s="467"/>
      <c r="K38" s="466"/>
      <c r="L38" s="481"/>
      <c r="M38" s="497"/>
      <c r="N38" s="497"/>
    </row>
    <row r="39" spans="1:14" s="329" customFormat="1" ht="13.5" customHeight="1" x14ac:dyDescent="0.2">
      <c r="A39" s="496" t="s">
        <v>360</v>
      </c>
      <c r="B39" s="483">
        <v>730</v>
      </c>
      <c r="C39" s="466">
        <v>392952</v>
      </c>
      <c r="D39" s="466">
        <v>72913</v>
      </c>
      <c r="E39" s="466">
        <v>97521</v>
      </c>
      <c r="F39" s="466">
        <v>27556</v>
      </c>
      <c r="G39" s="466">
        <v>10282</v>
      </c>
      <c r="H39" s="466"/>
      <c r="I39" s="466">
        <v>208145</v>
      </c>
      <c r="J39" s="467">
        <v>1384</v>
      </c>
      <c r="K39" s="466">
        <v>422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5681989</v>
      </c>
      <c r="N40" s="497"/>
    </row>
    <row r="41" spans="1:14" ht="13.5" customHeight="1" thickBot="1" x14ac:dyDescent="0.25">
      <c r="A41" s="1757" t="s">
        <v>676</v>
      </c>
      <c r="B41" s="1727"/>
      <c r="C41" s="1709">
        <f>(SUM(C34,C37,C38,C39))</f>
        <v>392952</v>
      </c>
      <c r="D41" s="1709">
        <f t="shared" ref="D41:L41" si="2">SUM(D34,D37,D38:D39)</f>
        <v>72913</v>
      </c>
      <c r="E41" s="1709">
        <f t="shared" si="2"/>
        <v>97521</v>
      </c>
      <c r="F41" s="1709">
        <f t="shared" si="2"/>
        <v>27556</v>
      </c>
      <c r="G41" s="1709">
        <f t="shared" si="2"/>
        <v>18539</v>
      </c>
      <c r="H41" s="1709">
        <f t="shared" si="2"/>
        <v>0</v>
      </c>
      <c r="I41" s="1709">
        <f t="shared" si="2"/>
        <v>208145</v>
      </c>
      <c r="J41" s="1709">
        <f t="shared" si="2"/>
        <v>1384</v>
      </c>
      <c r="K41" s="1709">
        <f t="shared" si="2"/>
        <v>422</v>
      </c>
      <c r="L41" s="1709">
        <f t="shared" si="2"/>
        <v>37036</v>
      </c>
      <c r="M41" s="1709">
        <f>SUM(M40)</f>
        <v>5681989</v>
      </c>
      <c r="N41" s="1709">
        <f>SUM(N37)</f>
        <v>387000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61" right="0.15" top="0.86" bottom="0" header="0.28000000000000003"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I38" sqref="I38:S38"/>
      <selection pane="bottomLeft" activeCell="I38" sqref="I38:S3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2" t="s">
        <v>1579</v>
      </c>
      <c r="B4" s="1953">
        <v>1000</v>
      </c>
      <c r="C4" s="1763">
        <f>'Revenues 9-14'!C109</f>
        <v>298515</v>
      </c>
      <c r="D4" s="1763">
        <f>'Revenues 9-14'!D109</f>
        <v>28596</v>
      </c>
      <c r="E4" s="1763">
        <f>'Revenues 9-14'!E109</f>
        <v>75383</v>
      </c>
      <c r="F4" s="1763">
        <f>'Revenues 9-14'!F109</f>
        <v>20214</v>
      </c>
      <c r="G4" s="1763">
        <f>'Revenues 9-14'!G109</f>
        <v>76463</v>
      </c>
      <c r="H4" s="1763">
        <f>'Revenues 9-14'!H109</f>
        <v>0</v>
      </c>
      <c r="I4" s="1763">
        <f>'Revenues 9-14'!I109</f>
        <v>987</v>
      </c>
      <c r="J4" s="1763">
        <f>'Revenues 9-14'!J109</f>
        <v>11774</v>
      </c>
      <c r="K4" s="1763">
        <f>'Revenues 9-14'!K109</f>
        <v>2</v>
      </c>
      <c r="L4" s="347"/>
    </row>
    <row r="5" spans="1:13" ht="15.75" customHeight="1" x14ac:dyDescent="0.2">
      <c r="A5" s="1598" t="s">
        <v>1580</v>
      </c>
      <c r="B5" s="1599">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1671052</v>
      </c>
      <c r="D6" s="1764">
        <f>'Revenues 9-14'!D173</f>
        <v>0</v>
      </c>
      <c r="E6" s="1764">
        <f>'Revenues 9-14'!E173</f>
        <v>0</v>
      </c>
      <c r="F6" s="1764">
        <f>'Revenues 9-14'!F173</f>
        <v>56474</v>
      </c>
      <c r="G6" s="1764">
        <f>'Revenues 9-14'!G173</f>
        <v>11236</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361492</v>
      </c>
      <c r="D7" s="1764">
        <f>'Revenues 9-14'!D274</f>
        <v>0</v>
      </c>
      <c r="E7" s="1764">
        <f>'Revenues 9-14'!E274</f>
        <v>0</v>
      </c>
      <c r="F7" s="1764">
        <f>'Revenues 9-14'!F274</f>
        <v>0</v>
      </c>
      <c r="G7" s="1764">
        <f>'Revenues 9-14'!G274</f>
        <v>3764</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2331059</v>
      </c>
      <c r="D8" s="1709">
        <f t="shared" ref="D8:K8" si="0">SUM(D4:D7)</f>
        <v>28596</v>
      </c>
      <c r="E8" s="1709">
        <f t="shared" si="0"/>
        <v>75383</v>
      </c>
      <c r="F8" s="1709">
        <f t="shared" si="0"/>
        <v>76688</v>
      </c>
      <c r="G8" s="1709">
        <f t="shared" si="0"/>
        <v>91463</v>
      </c>
      <c r="H8" s="1709">
        <f t="shared" si="0"/>
        <v>0</v>
      </c>
      <c r="I8" s="1709">
        <f t="shared" si="0"/>
        <v>987</v>
      </c>
      <c r="J8" s="1709">
        <f t="shared" si="0"/>
        <v>11774</v>
      </c>
      <c r="K8" s="1709">
        <f t="shared" si="0"/>
        <v>2</v>
      </c>
      <c r="L8" s="347"/>
    </row>
    <row r="9" spans="1:13" ht="15.75" thickTop="1" x14ac:dyDescent="0.2">
      <c r="A9" s="514" t="s">
        <v>1752</v>
      </c>
      <c r="B9" s="515">
        <v>3998</v>
      </c>
      <c r="C9" s="481">
        <v>721929</v>
      </c>
      <c r="D9" s="516"/>
      <c r="E9" s="481"/>
      <c r="F9" s="481"/>
      <c r="G9" s="517"/>
      <c r="H9" s="481"/>
      <c r="I9" s="509" t="s">
        <v>1231</v>
      </c>
      <c r="J9" s="478"/>
      <c r="K9" s="481"/>
      <c r="L9" s="347"/>
    </row>
    <row r="10" spans="1:13" s="519" customFormat="1" ht="13.5" thickBot="1" x14ac:dyDescent="0.25">
      <c r="A10" s="1757" t="s">
        <v>1235</v>
      </c>
      <c r="B10" s="1730"/>
      <c r="C10" s="1709">
        <f>SUM(C8:C9)</f>
        <v>3052988</v>
      </c>
      <c r="D10" s="1709">
        <f t="shared" ref="D10:K10" si="1">SUM(D8:D9)</f>
        <v>28596</v>
      </c>
      <c r="E10" s="1709">
        <f t="shared" si="1"/>
        <v>75383</v>
      </c>
      <c r="F10" s="1709">
        <f t="shared" si="1"/>
        <v>76688</v>
      </c>
      <c r="G10" s="1709">
        <f t="shared" si="1"/>
        <v>91463</v>
      </c>
      <c r="H10" s="1709">
        <f t="shared" si="1"/>
        <v>0</v>
      </c>
      <c r="I10" s="1709">
        <f t="shared" si="1"/>
        <v>987</v>
      </c>
      <c r="J10" s="1709">
        <f t="shared" si="1"/>
        <v>11774</v>
      </c>
      <c r="K10" s="1709">
        <f t="shared" si="1"/>
        <v>2</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3">
        <f>'Expenditures 15-22'!K33</f>
        <v>1317830</v>
      </c>
      <c r="D12" s="520" t="s">
        <v>1231</v>
      </c>
      <c r="E12" s="468" t="s">
        <v>1231</v>
      </c>
      <c r="F12" s="468" t="s">
        <v>1231</v>
      </c>
      <c r="G12" s="1763">
        <f>'Expenditures 15-22'!K229</f>
        <v>32799</v>
      </c>
      <c r="H12" s="521"/>
      <c r="I12" s="468" t="s">
        <v>1231</v>
      </c>
      <c r="J12" s="468" t="s">
        <v>1231</v>
      </c>
      <c r="K12" s="521" t="s">
        <v>1231</v>
      </c>
      <c r="L12" s="347"/>
    </row>
    <row r="13" spans="1:13" ht="15.75" customHeight="1" x14ac:dyDescent="0.2">
      <c r="A13" s="1598" t="s">
        <v>477</v>
      </c>
      <c r="B13" s="1600">
        <v>2000</v>
      </c>
      <c r="C13" s="1764">
        <f>'Expenditures 15-22'!K74</f>
        <v>713297</v>
      </c>
      <c r="D13" s="1764">
        <f>'Expenditures 15-22'!K129</f>
        <v>10486</v>
      </c>
      <c r="E13" s="469" t="s">
        <v>1231</v>
      </c>
      <c r="F13" s="1764">
        <f>'Expenditures 15-22'!K184</f>
        <v>60471</v>
      </c>
      <c r="G13" s="1764">
        <f>'Expenditures 15-22'!K279</f>
        <v>53963</v>
      </c>
      <c r="H13" s="1764">
        <f>'Expenditures 15-22'!K303</f>
        <v>0</v>
      </c>
      <c r="I13" s="468" t="s">
        <v>1231</v>
      </c>
      <c r="J13" s="1764">
        <f>'Expenditures 15-22'!K330</f>
        <v>11679</v>
      </c>
      <c r="K13" s="1768">
        <f>'Expenditures 15-22'!K352</f>
        <v>0</v>
      </c>
      <c r="L13" s="347"/>
    </row>
    <row r="14" spans="1:13" ht="15.75" customHeight="1" x14ac:dyDescent="0.2">
      <c r="A14" s="1598" t="s">
        <v>469</v>
      </c>
      <c r="B14" s="1600">
        <v>3000</v>
      </c>
      <c r="C14" s="1764">
        <f>'Expenditures 15-22'!K75</f>
        <v>3644</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158642</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91751</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2193413</v>
      </c>
      <c r="D17" s="1709">
        <f t="shared" si="2"/>
        <v>10486</v>
      </c>
      <c r="E17" s="1709">
        <f t="shared" si="2"/>
        <v>91751</v>
      </c>
      <c r="F17" s="1709">
        <f t="shared" si="2"/>
        <v>60471</v>
      </c>
      <c r="G17" s="1709">
        <f t="shared" si="2"/>
        <v>86762</v>
      </c>
      <c r="H17" s="1709">
        <f t="shared" si="2"/>
        <v>0</v>
      </c>
      <c r="I17" s="468"/>
      <c r="J17" s="1709">
        <f>SUM(J12:J16)</f>
        <v>11679</v>
      </c>
      <c r="K17" s="1709">
        <f>SUM(K12:K16)</f>
        <v>0</v>
      </c>
      <c r="L17" s="347"/>
    </row>
    <row r="18" spans="1:12" ht="15" customHeight="1" thickTop="1" x14ac:dyDescent="0.2">
      <c r="A18" s="1765" t="s">
        <v>1753</v>
      </c>
      <c r="B18" s="1766">
        <v>4180</v>
      </c>
      <c r="C18" s="1763">
        <f t="shared" ref="C18:H18" si="3">C9</f>
        <v>721929</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2915342</v>
      </c>
      <c r="D19" s="1709">
        <f t="shared" si="4"/>
        <v>10486</v>
      </c>
      <c r="E19" s="1709">
        <f t="shared" si="4"/>
        <v>91751</v>
      </c>
      <c r="F19" s="1709">
        <f t="shared" si="4"/>
        <v>60471</v>
      </c>
      <c r="G19" s="1709">
        <f t="shared" si="4"/>
        <v>86762</v>
      </c>
      <c r="H19" s="1709">
        <f t="shared" si="4"/>
        <v>0</v>
      </c>
      <c r="I19" s="468"/>
      <c r="J19" s="1709">
        <f>SUM(J17:J18)</f>
        <v>11679</v>
      </c>
      <c r="K19" s="1709">
        <f>SUM(K17:K18)</f>
        <v>0</v>
      </c>
      <c r="L19" s="347"/>
    </row>
    <row r="20" spans="1:12" ht="16.5" thickTop="1" thickBot="1" x14ac:dyDescent="0.25">
      <c r="A20" s="2146" t="s">
        <v>1754</v>
      </c>
      <c r="B20" s="2147"/>
      <c r="C20" s="1767">
        <f>C8-C17</f>
        <v>137646</v>
      </c>
      <c r="D20" s="1767">
        <f t="shared" ref="D20:K20" si="5">D8-D17</f>
        <v>18110</v>
      </c>
      <c r="E20" s="1767">
        <f t="shared" si="5"/>
        <v>-16368</v>
      </c>
      <c r="F20" s="1767">
        <f t="shared" si="5"/>
        <v>16217</v>
      </c>
      <c r="G20" s="1767">
        <f t="shared" si="5"/>
        <v>4701</v>
      </c>
      <c r="H20" s="1767">
        <f t="shared" si="5"/>
        <v>0</v>
      </c>
      <c r="I20" s="1767">
        <f t="shared" si="5"/>
        <v>987</v>
      </c>
      <c r="J20" s="1767">
        <f t="shared" si="5"/>
        <v>95</v>
      </c>
      <c r="K20" s="1767">
        <f t="shared" si="5"/>
        <v>2</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0" t="s">
        <v>392</v>
      </c>
      <c r="B44" s="2161"/>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0</v>
      </c>
      <c r="J47" s="477"/>
      <c r="K47" s="477"/>
      <c r="L47" s="529"/>
    </row>
    <row r="48" spans="1:12" s="485" customFormat="1" ht="15" x14ac:dyDescent="0.2">
      <c r="A48" s="1512" t="s">
        <v>1759</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6" t="s">
        <v>460</v>
      </c>
      <c r="B76" s="2137"/>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8" t="s">
        <v>1239</v>
      </c>
      <c r="B77" s="2139"/>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42" t="s">
        <v>618</v>
      </c>
      <c r="B78" s="2143"/>
      <c r="C78" s="1723">
        <f t="shared" ref="C78:K78" si="9">C20+C77</f>
        <v>137646</v>
      </c>
      <c r="D78" s="1723">
        <f t="shared" si="9"/>
        <v>18110</v>
      </c>
      <c r="E78" s="1723">
        <f t="shared" si="9"/>
        <v>-16368</v>
      </c>
      <c r="F78" s="1723">
        <f t="shared" si="9"/>
        <v>16217</v>
      </c>
      <c r="G78" s="1723">
        <f t="shared" si="9"/>
        <v>4701</v>
      </c>
      <c r="H78" s="1723">
        <f t="shared" si="9"/>
        <v>0</v>
      </c>
      <c r="I78" s="1723">
        <f t="shared" si="9"/>
        <v>987</v>
      </c>
      <c r="J78" s="1723">
        <f t="shared" si="9"/>
        <v>95</v>
      </c>
      <c r="K78" s="1723">
        <f t="shared" si="9"/>
        <v>2</v>
      </c>
      <c r="L78" s="533"/>
    </row>
    <row r="79" spans="1:12" ht="13.5" thickTop="1" x14ac:dyDescent="0.2">
      <c r="A79" s="1516" t="s">
        <v>2073</v>
      </c>
      <c r="B79" s="534"/>
      <c r="C79" s="478">
        <v>255306</v>
      </c>
      <c r="D79" s="535">
        <v>54803</v>
      </c>
      <c r="E79" s="535">
        <v>113889</v>
      </c>
      <c r="F79" s="535">
        <v>11339</v>
      </c>
      <c r="G79" s="535">
        <v>13838</v>
      </c>
      <c r="H79" s="535"/>
      <c r="I79" s="535">
        <v>207158</v>
      </c>
      <c r="J79" s="535">
        <v>1289</v>
      </c>
      <c r="K79" s="535">
        <v>420</v>
      </c>
      <c r="L79" s="347"/>
    </row>
    <row r="80" spans="1:12" x14ac:dyDescent="0.2">
      <c r="A80" s="2148" t="s">
        <v>1898</v>
      </c>
      <c r="B80" s="2149"/>
      <c r="C80" s="467"/>
      <c r="D80" s="467"/>
      <c r="E80" s="467"/>
      <c r="F80" s="467"/>
      <c r="G80" s="467"/>
      <c r="H80" s="467"/>
      <c r="I80" s="467"/>
      <c r="J80" s="467"/>
      <c r="K80" s="467"/>
      <c r="L80" s="347"/>
    </row>
    <row r="81" spans="1:12" ht="13.5" thickBot="1" x14ac:dyDescent="0.25">
      <c r="A81" s="2140" t="s">
        <v>2074</v>
      </c>
      <c r="B81" s="2141"/>
      <c r="C81" s="1709">
        <f>(SUM(C78:C80))</f>
        <v>392952</v>
      </c>
      <c r="D81" s="1709">
        <f>SUM(D78:D80)</f>
        <v>72913</v>
      </c>
      <c r="E81" s="1709">
        <f t="shared" ref="E81:K81" si="10">SUM(E78:E80)</f>
        <v>97521</v>
      </c>
      <c r="F81" s="1709">
        <f t="shared" si="10"/>
        <v>27556</v>
      </c>
      <c r="G81" s="1709">
        <f t="shared" si="10"/>
        <v>18539</v>
      </c>
      <c r="H81" s="1709">
        <f t="shared" si="10"/>
        <v>0</v>
      </c>
      <c r="I81" s="1709">
        <f t="shared" si="10"/>
        <v>208145</v>
      </c>
      <c r="J81" s="1709">
        <f t="shared" si="10"/>
        <v>1384</v>
      </c>
      <c r="K81" s="1709">
        <f t="shared" si="10"/>
        <v>422</v>
      </c>
      <c r="L81" s="347"/>
    </row>
    <row r="82" spans="1:12" ht="0.75" customHeight="1" thickTop="1" thickBot="1" x14ac:dyDescent="0.25">
      <c r="A82" s="536" t="s">
        <v>361</v>
      </c>
      <c r="B82" s="537"/>
      <c r="C82" s="538">
        <f>(C81-C79)</f>
        <v>137646</v>
      </c>
      <c r="D82" s="538">
        <f t="shared" ref="D82:K82" si="11">(D81-D79)</f>
        <v>18110</v>
      </c>
      <c r="E82" s="538">
        <f t="shared" si="11"/>
        <v>-16368</v>
      </c>
      <c r="F82" s="538">
        <f t="shared" si="11"/>
        <v>16217</v>
      </c>
      <c r="G82" s="538">
        <f t="shared" si="11"/>
        <v>4701</v>
      </c>
      <c r="H82" s="538">
        <f t="shared" si="11"/>
        <v>0</v>
      </c>
      <c r="I82" s="538">
        <f t="shared" si="11"/>
        <v>987</v>
      </c>
      <c r="J82" s="538">
        <f t="shared" si="11"/>
        <v>95</v>
      </c>
      <c r="K82" s="538">
        <f t="shared" si="11"/>
        <v>2</v>
      </c>
    </row>
    <row r="83" spans="1:12" ht="14.25" hidden="1" thickTop="1" thickBot="1" x14ac:dyDescent="0.25">
      <c r="A83" s="539" t="s">
        <v>362</v>
      </c>
      <c r="B83" s="464"/>
      <c r="C83" s="540">
        <f>C82/C81</f>
        <v>0.35028705796127774</v>
      </c>
      <c r="D83" s="540">
        <f t="shared" ref="D83:K83" si="12">D82/D81</f>
        <v>0.24837820416112352</v>
      </c>
      <c r="E83" s="540">
        <f t="shared" si="12"/>
        <v>-0.16784077275663703</v>
      </c>
      <c r="F83" s="540">
        <f t="shared" si="12"/>
        <v>0.58851066918275508</v>
      </c>
      <c r="G83" s="540">
        <f t="shared" si="12"/>
        <v>0.25357354765629214</v>
      </c>
      <c r="H83" s="540" t="e">
        <f t="shared" si="12"/>
        <v>#DIV/0!</v>
      </c>
      <c r="I83" s="540">
        <f t="shared" si="12"/>
        <v>4.7418866655456532E-3</v>
      </c>
      <c r="J83" s="540">
        <f t="shared" si="12"/>
        <v>6.8641618497109827E-2</v>
      </c>
      <c r="K83" s="540">
        <f t="shared" si="12"/>
        <v>4.7393364928909956E-3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0.68" bottom="0.32" header="0.19"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I38" sqref="I38:S38"/>
      <selection pane="bottomLeft" activeCell="K5" sqref="K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1905</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191222</v>
      </c>
      <c r="D5" s="481">
        <v>27923</v>
      </c>
      <c r="E5" s="466">
        <v>73932</v>
      </c>
      <c r="F5" s="548">
        <v>18371</v>
      </c>
      <c r="G5" s="466">
        <v>37878</v>
      </c>
      <c r="H5" s="466"/>
      <c r="I5" s="466"/>
      <c r="J5" s="467">
        <v>11613</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v>22698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191222</v>
      </c>
      <c r="D12" s="1728">
        <f t="shared" si="0"/>
        <v>27923</v>
      </c>
      <c r="E12" s="1728">
        <f t="shared" si="0"/>
        <v>73932</v>
      </c>
      <c r="F12" s="1728">
        <f t="shared" si="0"/>
        <v>18371</v>
      </c>
      <c r="G12" s="1728">
        <f t="shared" si="0"/>
        <v>60576</v>
      </c>
      <c r="H12" s="1728">
        <f t="shared" si="0"/>
        <v>0</v>
      </c>
      <c r="I12" s="1728">
        <f t="shared" si="0"/>
        <v>0</v>
      </c>
      <c r="J12" s="1728">
        <f t="shared" si="0"/>
        <v>11613</v>
      </c>
      <c r="K12" s="1709">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2376</v>
      </c>
      <c r="D14" s="466">
        <v>347</v>
      </c>
      <c r="E14" s="466">
        <v>919</v>
      </c>
      <c r="F14" s="466">
        <v>228</v>
      </c>
      <c r="G14" s="466">
        <v>753</v>
      </c>
      <c r="H14" s="466"/>
      <c r="I14" s="466"/>
      <c r="J14" s="467">
        <v>144</v>
      </c>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25471</v>
      </c>
      <c r="D16" s="466"/>
      <c r="E16" s="466"/>
      <c r="F16" s="466"/>
      <c r="G16" s="466">
        <v>15000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27847</v>
      </c>
      <c r="D18" s="1731">
        <f t="shared" ref="D18:K18" si="1">SUM(D14:D17)</f>
        <v>347</v>
      </c>
      <c r="E18" s="1731">
        <f t="shared" si="1"/>
        <v>919</v>
      </c>
      <c r="F18" s="1731">
        <f t="shared" si="1"/>
        <v>228</v>
      </c>
      <c r="G18" s="1731">
        <f t="shared" si="1"/>
        <v>15753</v>
      </c>
      <c r="H18" s="1731">
        <f t="shared" si="1"/>
        <v>0</v>
      </c>
      <c r="I18" s="1731">
        <f t="shared" si="1"/>
        <v>0</v>
      </c>
      <c r="J18" s="1731">
        <f t="shared" si="1"/>
        <v>144</v>
      </c>
      <c r="K18" s="1732">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1393</v>
      </c>
      <c r="D65" s="466">
        <v>326</v>
      </c>
      <c r="E65" s="466">
        <v>532</v>
      </c>
      <c r="F65" s="467">
        <v>145</v>
      </c>
      <c r="G65" s="466">
        <v>134</v>
      </c>
      <c r="H65" s="466"/>
      <c r="I65" s="466">
        <v>987</v>
      </c>
      <c r="J65" s="467">
        <v>17</v>
      </c>
      <c r="K65" s="466">
        <v>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1393</v>
      </c>
      <c r="D67" s="1709">
        <f t="shared" ref="D67:K67" si="2">SUM(D65:D66)</f>
        <v>326</v>
      </c>
      <c r="E67" s="1709">
        <f t="shared" si="2"/>
        <v>532</v>
      </c>
      <c r="F67" s="1709">
        <f t="shared" si="2"/>
        <v>145</v>
      </c>
      <c r="G67" s="1709">
        <f t="shared" si="2"/>
        <v>134</v>
      </c>
      <c r="H67" s="1709">
        <f t="shared" si="2"/>
        <v>0</v>
      </c>
      <c r="I67" s="1709">
        <f t="shared" si="2"/>
        <v>987</v>
      </c>
      <c r="J67" s="1709">
        <f t="shared" si="2"/>
        <v>17</v>
      </c>
      <c r="K67" s="1709">
        <f t="shared" si="2"/>
        <v>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1180</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2113</v>
      </c>
      <c r="D73" s="468"/>
      <c r="E73" s="468"/>
      <c r="F73" s="468"/>
      <c r="G73" s="468"/>
      <c r="H73" s="468"/>
      <c r="I73" s="468"/>
      <c r="J73" s="468"/>
      <c r="K73" s="468"/>
    </row>
    <row r="74" spans="1:11" ht="12.75" customHeight="1" x14ac:dyDescent="0.2">
      <c r="A74" s="463" t="s">
        <v>25</v>
      </c>
      <c r="B74" s="470">
        <v>1690</v>
      </c>
      <c r="C74" s="551">
        <v>35064</v>
      </c>
      <c r="D74" s="468"/>
      <c r="E74" s="468"/>
      <c r="F74" s="468"/>
      <c r="G74" s="468"/>
      <c r="H74" s="468"/>
      <c r="I74" s="468"/>
      <c r="J74" s="468"/>
      <c r="K74" s="468"/>
    </row>
    <row r="75" spans="1:11" ht="12.75" customHeight="1" thickBot="1" x14ac:dyDescent="0.25">
      <c r="A75" s="1729" t="s">
        <v>569</v>
      </c>
      <c r="B75" s="1730"/>
      <c r="C75" s="1709">
        <f>SUM(C69:C74)</f>
        <v>38357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0</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2695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2695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1821</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11602</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23578</v>
      </c>
      <c r="D107" s="466"/>
      <c r="E107" s="466"/>
      <c r="F107" s="466">
        <v>1470</v>
      </c>
      <c r="G107" s="466"/>
      <c r="H107" s="466"/>
      <c r="I107" s="466"/>
      <c r="J107" s="467"/>
      <c r="K107" s="466"/>
    </row>
    <row r="108" spans="1:12" ht="12.75" customHeight="1" thickBot="1" x14ac:dyDescent="0.25">
      <c r="A108" s="1729" t="s">
        <v>508</v>
      </c>
      <c r="B108" s="1733"/>
      <c r="C108" s="1728">
        <f>SUM(C95:C107)</f>
        <v>37001</v>
      </c>
      <c r="D108" s="1728">
        <f t="shared" ref="D108:K108" si="3">SUM(D95:D107)</f>
        <v>0</v>
      </c>
      <c r="E108" s="1728">
        <f t="shared" si="3"/>
        <v>0</v>
      </c>
      <c r="F108" s="1728">
        <f t="shared" si="3"/>
        <v>1470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298515</v>
      </c>
      <c r="D109" s="1736">
        <f t="shared" si="4"/>
        <v>28596</v>
      </c>
      <c r="E109" s="1736">
        <f t="shared" si="4"/>
        <v>75383</v>
      </c>
      <c r="F109" s="1736">
        <f t="shared" si="4"/>
        <v>20214</v>
      </c>
      <c r="G109" s="1736">
        <f t="shared" si="4"/>
        <v>76463</v>
      </c>
      <c r="H109" s="1736">
        <f t="shared" si="4"/>
        <v>0</v>
      </c>
      <c r="I109" s="1736">
        <f t="shared" si="4"/>
        <v>987</v>
      </c>
      <c r="J109" s="1736">
        <f t="shared" si="4"/>
        <v>11774</v>
      </c>
      <c r="K109" s="1723">
        <f t="shared" si="4"/>
        <v>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1594148</v>
      </c>
      <c r="D117" s="481"/>
      <c r="E117" s="466"/>
      <c r="F117" s="481">
        <v>25000</v>
      </c>
      <c r="G117" s="481">
        <v>11236</v>
      </c>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1594148</v>
      </c>
      <c r="D121" s="1728">
        <f t="shared" si="5"/>
        <v>0</v>
      </c>
      <c r="E121" s="1728">
        <f t="shared" si="5"/>
        <v>0</v>
      </c>
      <c r="F121" s="1728">
        <f t="shared" si="5"/>
        <v>25000</v>
      </c>
      <c r="G121" s="1728">
        <f t="shared" si="5"/>
        <v>11236</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19971</v>
      </c>
      <c r="D125" s="561"/>
      <c r="E125" s="468"/>
      <c r="F125" s="466"/>
      <c r="G125" s="468"/>
      <c r="H125" s="468"/>
      <c r="I125" s="468"/>
      <c r="J125" s="468"/>
      <c r="K125" s="468"/>
    </row>
    <row r="126" spans="1:11" ht="12.75" customHeight="1" x14ac:dyDescent="0.2">
      <c r="A126" s="463" t="s">
        <v>922</v>
      </c>
      <c r="B126" s="562">
        <v>3110</v>
      </c>
      <c r="C126" s="551">
        <v>13461</v>
      </c>
      <c r="D126" s="466"/>
      <c r="E126" s="468"/>
      <c r="F126" s="466"/>
      <c r="G126" s="468"/>
      <c r="H126" s="468"/>
      <c r="I126" s="468"/>
      <c r="J126" s="468"/>
      <c r="K126" s="468"/>
    </row>
    <row r="127" spans="1:11" ht="12.75" customHeight="1" x14ac:dyDescent="0.2">
      <c r="A127" s="463" t="s">
        <v>107</v>
      </c>
      <c r="B127" s="562">
        <v>3120</v>
      </c>
      <c r="C127" s="466">
        <v>39906</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73338</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3566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17812</v>
      </c>
      <c r="G151" s="467"/>
      <c r="H151" s="468"/>
      <c r="I151" s="468"/>
      <c r="J151" s="468"/>
      <c r="K151" s="468"/>
    </row>
    <row r="152" spans="1:11" ht="12.75" customHeight="1" x14ac:dyDescent="0.2">
      <c r="A152" s="463" t="s">
        <v>1117</v>
      </c>
      <c r="B152" s="562">
        <v>3510</v>
      </c>
      <c r="C152" s="551"/>
      <c r="D152" s="466"/>
      <c r="E152" s="561"/>
      <c r="F152" s="466">
        <v>13662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31474</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4" t="s">
        <v>418</v>
      </c>
      <c r="B172" s="2165"/>
      <c r="C172" s="1743">
        <f t="shared" ref="C172:K172" si="6">SUM(C131,C140,C144,C145:C149,C154,C155:C170,C171)</f>
        <v>76904</v>
      </c>
      <c r="D172" s="1743">
        <f t="shared" si="6"/>
        <v>0</v>
      </c>
      <c r="E172" s="1743">
        <f t="shared" si="6"/>
        <v>0</v>
      </c>
      <c r="F172" s="1743">
        <f t="shared" si="6"/>
        <v>31474</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1671052</v>
      </c>
      <c r="D173" s="1736">
        <f>SUM(D121,D172)</f>
        <v>0</v>
      </c>
      <c r="E173" s="1736">
        <f>SUM(E121,E172)</f>
        <v>0</v>
      </c>
      <c r="F173" s="1736">
        <f t="shared" ref="F173:K173" si="7">SUM(F121,F172)</f>
        <v>56474</v>
      </c>
      <c r="G173" s="1736">
        <f t="shared" si="7"/>
        <v>11236</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0" t="s">
        <v>1764</v>
      </c>
      <c r="B178" s="2171"/>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7224</v>
      </c>
      <c r="D183" s="466"/>
      <c r="E183" s="468"/>
      <c r="F183" s="466"/>
      <c r="G183" s="466"/>
      <c r="H183" s="466"/>
      <c r="I183" s="468"/>
      <c r="J183" s="468"/>
      <c r="K183" s="466"/>
    </row>
    <row r="184" spans="1:11" ht="13.5" thickBot="1" x14ac:dyDescent="0.25">
      <c r="A184" s="2172" t="s">
        <v>818</v>
      </c>
      <c r="B184" s="2173"/>
      <c r="C184" s="1728">
        <f>SUM(C180:C183)</f>
        <v>7224</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8" t="s">
        <v>1906</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150357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64439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v>15090</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229886</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75039</v>
      </c>
      <c r="D203" s="466"/>
      <c r="E203" s="468"/>
      <c r="F203" s="466"/>
      <c r="G203" s="466">
        <v>3764</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75039</v>
      </c>
      <c r="D211" s="1728">
        <f>SUM(D203:D210)</f>
        <v>0</v>
      </c>
      <c r="E211" s="468"/>
      <c r="F211" s="1728">
        <f>SUM(F203:F210)</f>
        <v>0</v>
      </c>
      <c r="G211" s="1728">
        <f>SUM(G203:G210)</f>
        <v>3764</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3278</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9737</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13015</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16815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5233</v>
      </c>
      <c r="D270" s="576"/>
      <c r="E270" s="468"/>
      <c r="F270" s="576"/>
      <c r="G270" s="576"/>
      <c r="H270" s="468"/>
      <c r="I270" s="468"/>
      <c r="J270" s="468"/>
      <c r="K270" s="468"/>
    </row>
    <row r="271" spans="1:11" ht="12.75" customHeight="1" thickTop="1" thickBot="1" x14ac:dyDescent="0.25">
      <c r="A271" s="463" t="s">
        <v>395</v>
      </c>
      <c r="B271" s="470">
        <v>4992</v>
      </c>
      <c r="C271" s="575">
        <v>14280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354268</v>
      </c>
      <c r="D273" s="1736">
        <f t="shared" si="10"/>
        <v>0</v>
      </c>
      <c r="E273" s="1736">
        <f t="shared" si="10"/>
        <v>0</v>
      </c>
      <c r="F273" s="1736">
        <f t="shared" si="10"/>
        <v>0</v>
      </c>
      <c r="G273" s="1736">
        <f t="shared" si="10"/>
        <v>3764</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361492</v>
      </c>
      <c r="D274" s="1736">
        <f>SUM(D178,D184,D273)</f>
        <v>0</v>
      </c>
      <c r="E274" s="1736">
        <f>SUM(E178,E273)</f>
        <v>0</v>
      </c>
      <c r="F274" s="1736">
        <f t="shared" ref="F274:K274" si="11">SUM(F178,F184,F273)</f>
        <v>0</v>
      </c>
      <c r="G274" s="1736">
        <f t="shared" si="11"/>
        <v>3764</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2331059</v>
      </c>
      <c r="D275" s="1736">
        <f t="shared" si="12"/>
        <v>28596</v>
      </c>
      <c r="E275" s="1736">
        <f t="shared" si="12"/>
        <v>75383</v>
      </c>
      <c r="F275" s="1736">
        <f t="shared" si="12"/>
        <v>76688</v>
      </c>
      <c r="G275" s="1736">
        <f t="shared" si="12"/>
        <v>91463</v>
      </c>
      <c r="H275" s="1736">
        <f t="shared" si="12"/>
        <v>0</v>
      </c>
      <c r="I275" s="1736">
        <f t="shared" si="12"/>
        <v>987</v>
      </c>
      <c r="J275" s="1736">
        <f t="shared" si="12"/>
        <v>11774</v>
      </c>
      <c r="K275" s="1723">
        <f t="shared" si="12"/>
        <v>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36" right="0.15" top="0.74" bottom="0.39"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
See accompanying notes.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62" activePane="bottomLeft" state="frozen"/>
      <selection activeCell="I38" sqref="I38:S38"/>
      <selection pane="bottomLeft" activeCell="L180" sqref="L18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743724</v>
      </c>
      <c r="D5" s="466">
        <v>200825</v>
      </c>
      <c r="E5" s="466">
        <v>4605</v>
      </c>
      <c r="F5" s="466">
        <v>21164</v>
      </c>
      <c r="G5" s="466">
        <v>18992</v>
      </c>
      <c r="H5" s="466">
        <v>10482</v>
      </c>
      <c r="I5" s="467"/>
      <c r="J5" s="467"/>
      <c r="K5" s="1692">
        <f>SUM(C5:J5)</f>
        <v>999792</v>
      </c>
      <c r="L5" s="466">
        <v>998450</v>
      </c>
    </row>
    <row r="6" spans="1:14" x14ac:dyDescent="0.2">
      <c r="A6" s="1526" t="s">
        <v>1508</v>
      </c>
      <c r="B6" s="615" t="s">
        <v>1506</v>
      </c>
      <c r="C6" s="477"/>
      <c r="D6" s="477"/>
      <c r="E6" s="466"/>
      <c r="F6" s="477"/>
      <c r="G6" s="477"/>
      <c r="H6" s="477"/>
      <c r="I6" s="477"/>
      <c r="J6" s="477"/>
      <c r="K6" s="1692">
        <f>SUM(C6,E6)</f>
        <v>0</v>
      </c>
      <c r="L6" s="466"/>
    </row>
    <row r="7" spans="1:14" x14ac:dyDescent="0.2">
      <c r="A7" s="1526" t="s">
        <v>165</v>
      </c>
      <c r="B7" s="615" t="s">
        <v>1024</v>
      </c>
      <c r="C7" s="467"/>
      <c r="D7" s="467"/>
      <c r="E7" s="467"/>
      <c r="F7" s="467"/>
      <c r="G7" s="467"/>
      <c r="H7" s="467"/>
      <c r="I7" s="467"/>
      <c r="J7" s="467"/>
      <c r="K7" s="1692">
        <f t="shared" ref="K7:K32" si="0">SUM(C7:J7)</f>
        <v>0</v>
      </c>
      <c r="L7" s="466"/>
    </row>
    <row r="8" spans="1:14" x14ac:dyDescent="0.2">
      <c r="A8" s="1526" t="s">
        <v>166</v>
      </c>
      <c r="B8" s="615">
        <v>1200</v>
      </c>
      <c r="C8" s="466">
        <v>154460</v>
      </c>
      <c r="D8" s="466">
        <v>68437</v>
      </c>
      <c r="E8" s="466"/>
      <c r="F8" s="466">
        <v>1023</v>
      </c>
      <c r="G8" s="466"/>
      <c r="H8" s="466"/>
      <c r="I8" s="467"/>
      <c r="J8" s="467"/>
      <c r="K8" s="1692">
        <f t="shared" si="0"/>
        <v>223920</v>
      </c>
      <c r="L8" s="466">
        <v>223919</v>
      </c>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6">
        <v>16715</v>
      </c>
      <c r="D10" s="466">
        <v>8477</v>
      </c>
      <c r="E10" s="466">
        <v>3805</v>
      </c>
      <c r="F10" s="466">
        <v>51294</v>
      </c>
      <c r="G10" s="466">
        <v>2004</v>
      </c>
      <c r="H10" s="466"/>
      <c r="I10" s="467"/>
      <c r="J10" s="467"/>
      <c r="K10" s="1692">
        <f t="shared" si="0"/>
        <v>82295</v>
      </c>
      <c r="L10" s="466">
        <v>78669</v>
      </c>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c r="D13" s="466"/>
      <c r="E13" s="466"/>
      <c r="F13" s="466"/>
      <c r="G13" s="466"/>
      <c r="H13" s="466"/>
      <c r="I13" s="467"/>
      <c r="J13" s="467"/>
      <c r="K13" s="1692">
        <f t="shared" si="0"/>
        <v>0</v>
      </c>
      <c r="L13" s="466"/>
    </row>
    <row r="14" spans="1:14" x14ac:dyDescent="0.2">
      <c r="A14" s="1526" t="s">
        <v>1020</v>
      </c>
      <c r="B14" s="615">
        <v>1500</v>
      </c>
      <c r="C14" s="466">
        <v>10903</v>
      </c>
      <c r="D14" s="466">
        <v>832</v>
      </c>
      <c r="E14" s="466"/>
      <c r="F14" s="466">
        <v>88</v>
      </c>
      <c r="G14" s="466"/>
      <c r="H14" s="466"/>
      <c r="I14" s="467"/>
      <c r="J14" s="467"/>
      <c r="K14" s="1692">
        <f t="shared" si="0"/>
        <v>11823</v>
      </c>
      <c r="L14" s="466">
        <v>11950</v>
      </c>
    </row>
    <row r="15" spans="1:14" x14ac:dyDescent="0.2">
      <c r="A15" s="1526" t="s">
        <v>1021</v>
      </c>
      <c r="B15" s="615">
        <v>1600</v>
      </c>
      <c r="C15" s="466"/>
      <c r="D15" s="466"/>
      <c r="E15" s="466"/>
      <c r="F15" s="466"/>
      <c r="G15" s="466"/>
      <c r="H15" s="466"/>
      <c r="I15" s="467"/>
      <c r="J15" s="467"/>
      <c r="K15" s="1692">
        <f t="shared" si="0"/>
        <v>0</v>
      </c>
      <c r="L15" s="466"/>
    </row>
    <row r="16" spans="1:14" x14ac:dyDescent="0.2">
      <c r="A16" s="1526" t="s">
        <v>1044</v>
      </c>
      <c r="B16" s="615" t="s">
        <v>444</v>
      </c>
      <c r="C16" s="466"/>
      <c r="D16" s="466"/>
      <c r="E16" s="466"/>
      <c r="F16" s="466"/>
      <c r="G16" s="466"/>
      <c r="H16" s="466"/>
      <c r="I16" s="467"/>
      <c r="J16" s="467"/>
      <c r="K16" s="1692">
        <f t="shared" si="0"/>
        <v>0</v>
      </c>
      <c r="L16" s="466"/>
    </row>
    <row r="17" spans="1:12" x14ac:dyDescent="0.2">
      <c r="A17" s="1526" t="s">
        <v>748</v>
      </c>
      <c r="B17" s="615" t="s">
        <v>164</v>
      </c>
      <c r="C17" s="467"/>
      <c r="D17" s="467"/>
      <c r="E17" s="467"/>
      <c r="F17" s="467"/>
      <c r="G17" s="467"/>
      <c r="H17" s="467"/>
      <c r="I17" s="467"/>
      <c r="J17" s="467"/>
      <c r="K17" s="1692">
        <f t="shared" si="0"/>
        <v>0</v>
      </c>
      <c r="L17" s="466"/>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925802</v>
      </c>
      <c r="D33" s="1691">
        <f t="shared" ref="D33:L33" si="1">SUM(D5:D32)</f>
        <v>278571</v>
      </c>
      <c r="E33" s="1691">
        <f t="shared" si="1"/>
        <v>8410</v>
      </c>
      <c r="F33" s="1691">
        <f t="shared" si="1"/>
        <v>73569</v>
      </c>
      <c r="G33" s="1691">
        <f t="shared" si="1"/>
        <v>20996</v>
      </c>
      <c r="H33" s="1691">
        <f t="shared" si="1"/>
        <v>10482</v>
      </c>
      <c r="I33" s="1691">
        <f t="shared" si="1"/>
        <v>0</v>
      </c>
      <c r="J33" s="1691">
        <f t="shared" si="1"/>
        <v>0</v>
      </c>
      <c r="K33" s="1691">
        <f t="shared" si="1"/>
        <v>1317830</v>
      </c>
      <c r="L33" s="1691">
        <f t="shared" si="1"/>
        <v>1312988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28274</v>
      </c>
      <c r="D36" s="481">
        <v>8982</v>
      </c>
      <c r="E36" s="481"/>
      <c r="F36" s="481"/>
      <c r="G36" s="481"/>
      <c r="H36" s="481">
        <v>45</v>
      </c>
      <c r="I36" s="467"/>
      <c r="J36" s="467"/>
      <c r="K36" s="1692">
        <f t="shared" ref="K36:K41" si="2">SUM(C36:J36)</f>
        <v>37301</v>
      </c>
      <c r="L36" s="466">
        <v>37906</v>
      </c>
    </row>
    <row r="37" spans="1:14" x14ac:dyDescent="0.2">
      <c r="A37" s="1526" t="s">
        <v>1151</v>
      </c>
      <c r="B37" s="615">
        <v>2120</v>
      </c>
      <c r="C37" s="466"/>
      <c r="D37" s="466"/>
      <c r="E37" s="466"/>
      <c r="F37" s="466"/>
      <c r="G37" s="466"/>
      <c r="H37" s="466"/>
      <c r="I37" s="467"/>
      <c r="J37" s="467"/>
      <c r="K37" s="1692">
        <f t="shared" si="2"/>
        <v>0</v>
      </c>
      <c r="L37" s="466"/>
    </row>
    <row r="38" spans="1:14" x14ac:dyDescent="0.2">
      <c r="A38" s="1526" t="s">
        <v>207</v>
      </c>
      <c r="B38" s="615">
        <v>2130</v>
      </c>
      <c r="C38" s="466">
        <v>26043</v>
      </c>
      <c r="D38" s="466">
        <v>441</v>
      </c>
      <c r="E38" s="466">
        <v>64</v>
      </c>
      <c r="F38" s="466">
        <v>1050</v>
      </c>
      <c r="G38" s="466"/>
      <c r="H38" s="466">
        <v>129</v>
      </c>
      <c r="I38" s="467"/>
      <c r="J38" s="467"/>
      <c r="K38" s="1692">
        <f t="shared" si="2"/>
        <v>27727</v>
      </c>
      <c r="L38" s="466">
        <v>27885</v>
      </c>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c r="F40" s="466"/>
      <c r="G40" s="466"/>
      <c r="H40" s="466"/>
      <c r="I40" s="467"/>
      <c r="J40" s="467"/>
      <c r="K40" s="1692">
        <f t="shared" si="2"/>
        <v>0</v>
      </c>
      <c r="L40" s="466"/>
    </row>
    <row r="41" spans="1:14" x14ac:dyDescent="0.2">
      <c r="A41" s="1526"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54317</v>
      </c>
      <c r="D42" s="1691">
        <f t="shared" ref="D42:L42" si="3">SUM(D36:D41)</f>
        <v>9423</v>
      </c>
      <c r="E42" s="1691">
        <f t="shared" si="3"/>
        <v>64</v>
      </c>
      <c r="F42" s="1691">
        <f t="shared" si="3"/>
        <v>1050</v>
      </c>
      <c r="G42" s="1691">
        <f t="shared" si="3"/>
        <v>0</v>
      </c>
      <c r="H42" s="1691">
        <f t="shared" si="3"/>
        <v>174</v>
      </c>
      <c r="I42" s="1691">
        <f t="shared" si="3"/>
        <v>0</v>
      </c>
      <c r="J42" s="1691">
        <f t="shared" si="3"/>
        <v>0</v>
      </c>
      <c r="K42" s="1691">
        <f t="shared" si="3"/>
        <v>65028</v>
      </c>
      <c r="L42" s="1691">
        <f t="shared" si="3"/>
        <v>65791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3764</v>
      </c>
      <c r="F44" s="481"/>
      <c r="G44" s="481"/>
      <c r="H44" s="481"/>
      <c r="I44" s="467"/>
      <c r="J44" s="467"/>
      <c r="K44" s="1693">
        <f>SUM(C44:J44)</f>
        <v>3764</v>
      </c>
      <c r="L44" s="481">
        <v>5000</v>
      </c>
    </row>
    <row r="45" spans="1:14" x14ac:dyDescent="0.2">
      <c r="A45" s="1526" t="s">
        <v>869</v>
      </c>
      <c r="B45" s="615">
        <v>2220</v>
      </c>
      <c r="C45" s="466">
        <v>7544</v>
      </c>
      <c r="D45" s="466"/>
      <c r="E45" s="466"/>
      <c r="F45" s="466">
        <v>4383</v>
      </c>
      <c r="G45" s="466">
        <v>3985</v>
      </c>
      <c r="H45" s="466"/>
      <c r="I45" s="467"/>
      <c r="J45" s="467"/>
      <c r="K45" s="1693">
        <f>SUM(C45:J45)</f>
        <v>15912</v>
      </c>
      <c r="L45" s="466">
        <v>17328</v>
      </c>
    </row>
    <row r="46" spans="1:14" x14ac:dyDescent="0.2">
      <c r="A46" s="1526"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7544</v>
      </c>
      <c r="D47" s="1691">
        <f t="shared" ref="D47:K47" si="4">SUM(D44:D46)</f>
        <v>0</v>
      </c>
      <c r="E47" s="1691">
        <f t="shared" si="4"/>
        <v>3764</v>
      </c>
      <c r="F47" s="1691">
        <f t="shared" si="4"/>
        <v>4383</v>
      </c>
      <c r="G47" s="1691">
        <f t="shared" si="4"/>
        <v>3985</v>
      </c>
      <c r="H47" s="1691">
        <f t="shared" si="4"/>
        <v>0</v>
      </c>
      <c r="I47" s="1691">
        <f t="shared" si="4"/>
        <v>0</v>
      </c>
      <c r="J47" s="1691">
        <f t="shared" si="4"/>
        <v>0</v>
      </c>
      <c r="K47" s="1691">
        <f t="shared" si="4"/>
        <v>19676</v>
      </c>
      <c r="L47" s="1691">
        <f>SUM(L44:L46)</f>
        <v>22328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4007</v>
      </c>
      <c r="D49" s="481"/>
      <c r="E49" s="481">
        <v>30825</v>
      </c>
      <c r="F49" s="481">
        <v>839</v>
      </c>
      <c r="G49" s="481"/>
      <c r="H49" s="481">
        <v>12596</v>
      </c>
      <c r="I49" s="467"/>
      <c r="J49" s="467"/>
      <c r="K49" s="1693">
        <f>SUM(C49:J49)</f>
        <v>48267</v>
      </c>
      <c r="L49" s="481">
        <v>48550</v>
      </c>
    </row>
    <row r="50" spans="1:14" x14ac:dyDescent="0.2">
      <c r="A50" s="1526" t="s">
        <v>872</v>
      </c>
      <c r="B50" s="615">
        <v>2320</v>
      </c>
      <c r="C50" s="466">
        <v>109160</v>
      </c>
      <c r="D50" s="466">
        <v>12738</v>
      </c>
      <c r="E50" s="466">
        <v>1943</v>
      </c>
      <c r="F50" s="466">
        <v>863</v>
      </c>
      <c r="G50" s="466"/>
      <c r="H50" s="466">
        <v>1630</v>
      </c>
      <c r="I50" s="467"/>
      <c r="J50" s="467"/>
      <c r="K50" s="1693">
        <f>SUM(C50:J50)</f>
        <v>126334</v>
      </c>
      <c r="L50" s="466">
        <v>127250</v>
      </c>
    </row>
    <row r="51" spans="1:14" x14ac:dyDescent="0.2">
      <c r="A51" s="1526" t="s">
        <v>44</v>
      </c>
      <c r="B51" s="615">
        <v>2330</v>
      </c>
      <c r="C51" s="466">
        <v>3129</v>
      </c>
      <c r="D51" s="466">
        <v>729</v>
      </c>
      <c r="E51" s="466"/>
      <c r="F51" s="466"/>
      <c r="G51" s="466"/>
      <c r="H51" s="466"/>
      <c r="I51" s="467"/>
      <c r="J51" s="467"/>
      <c r="K51" s="1693">
        <f>SUM(C51:J51)</f>
        <v>3858</v>
      </c>
      <c r="L51" s="466">
        <v>3958</v>
      </c>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116296</v>
      </c>
      <c r="D53" s="1691">
        <f t="shared" ref="D53:L53" si="5">SUM(D49:D52)</f>
        <v>13467</v>
      </c>
      <c r="E53" s="1691">
        <f t="shared" si="5"/>
        <v>32768</v>
      </c>
      <c r="F53" s="1691">
        <f t="shared" si="5"/>
        <v>1702</v>
      </c>
      <c r="G53" s="1691">
        <f t="shared" si="5"/>
        <v>0</v>
      </c>
      <c r="H53" s="1691">
        <f t="shared" si="5"/>
        <v>14226</v>
      </c>
      <c r="I53" s="1691">
        <f t="shared" si="5"/>
        <v>0</v>
      </c>
      <c r="J53" s="1691">
        <f t="shared" si="5"/>
        <v>0</v>
      </c>
      <c r="K53" s="1691">
        <f t="shared" si="5"/>
        <v>178459</v>
      </c>
      <c r="L53" s="1691">
        <f t="shared" si="5"/>
        <v>179758</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3">
        <f>SUM(C55:J55)</f>
        <v>0</v>
      </c>
      <c r="L55" s="481"/>
    </row>
    <row r="56" spans="1:14" ht="12.75" customHeight="1" x14ac:dyDescent="0.2">
      <c r="A56" s="1530"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0</v>
      </c>
      <c r="D57" s="1695">
        <f t="shared" ref="D57:K57" si="6">SUM(D55:D56)</f>
        <v>0</v>
      </c>
      <c r="E57" s="1695">
        <f t="shared" si="6"/>
        <v>0</v>
      </c>
      <c r="F57" s="1695">
        <f t="shared" si="6"/>
        <v>0</v>
      </c>
      <c r="G57" s="1695">
        <f t="shared" si="6"/>
        <v>0</v>
      </c>
      <c r="H57" s="1695">
        <f t="shared" si="6"/>
        <v>0</v>
      </c>
      <c r="I57" s="1695">
        <f t="shared" si="6"/>
        <v>0</v>
      </c>
      <c r="J57" s="1695">
        <f t="shared" si="6"/>
        <v>0</v>
      </c>
      <c r="K57" s="1695">
        <f t="shared" si="6"/>
        <v>0</v>
      </c>
      <c r="L57" s="1691">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6" t="s">
        <v>483</v>
      </c>
      <c r="B60" s="615">
        <v>2520</v>
      </c>
      <c r="C60" s="466">
        <v>49118</v>
      </c>
      <c r="D60" s="466"/>
      <c r="E60" s="466">
        <v>75</v>
      </c>
      <c r="F60" s="466"/>
      <c r="G60" s="466"/>
      <c r="H60" s="466"/>
      <c r="I60" s="467"/>
      <c r="J60" s="467"/>
      <c r="K60" s="1693">
        <f t="shared" si="7"/>
        <v>49193</v>
      </c>
      <c r="L60" s="466">
        <v>49575</v>
      </c>
      <c r="M60" s="610"/>
      <c r="N60" s="610"/>
    </row>
    <row r="61" spans="1:14" s="343" customFormat="1" x14ac:dyDescent="0.2">
      <c r="A61" s="1526" t="s">
        <v>206</v>
      </c>
      <c r="B61" s="615">
        <v>2540</v>
      </c>
      <c r="C61" s="466">
        <v>94310</v>
      </c>
      <c r="D61" s="466">
        <v>18133</v>
      </c>
      <c r="E61" s="466">
        <v>88067</v>
      </c>
      <c r="F61" s="466">
        <v>14878</v>
      </c>
      <c r="G61" s="466"/>
      <c r="H61" s="466"/>
      <c r="I61" s="467"/>
      <c r="J61" s="467"/>
      <c r="K61" s="1693">
        <f t="shared" si="7"/>
        <v>215388</v>
      </c>
      <c r="L61" s="466">
        <v>216600</v>
      </c>
      <c r="M61" s="610"/>
      <c r="N61" s="610"/>
    </row>
    <row r="62" spans="1:14" s="343" customFormat="1" x14ac:dyDescent="0.2">
      <c r="A62" s="1526" t="s">
        <v>1010</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v>40102</v>
      </c>
      <c r="D63" s="466">
        <v>9044</v>
      </c>
      <c r="E63" s="466">
        <v>5413</v>
      </c>
      <c r="F63" s="466">
        <v>117577</v>
      </c>
      <c r="G63" s="466">
        <v>8724</v>
      </c>
      <c r="H63" s="466"/>
      <c r="I63" s="467"/>
      <c r="J63" s="467"/>
      <c r="K63" s="1693">
        <f t="shared" si="7"/>
        <v>180860</v>
      </c>
      <c r="L63" s="466">
        <v>182609</v>
      </c>
    </row>
    <row r="64" spans="1:14" s="610" customFormat="1" x14ac:dyDescent="0.2">
      <c r="A64" s="1531"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183530</v>
      </c>
      <c r="D65" s="1691">
        <f t="shared" ref="D65:L65" si="8">SUM(D59:D64)</f>
        <v>27177</v>
      </c>
      <c r="E65" s="1691">
        <f t="shared" si="8"/>
        <v>93555</v>
      </c>
      <c r="F65" s="1691">
        <f t="shared" si="8"/>
        <v>132455</v>
      </c>
      <c r="G65" s="1691">
        <f t="shared" si="8"/>
        <v>8724</v>
      </c>
      <c r="H65" s="1691">
        <f t="shared" si="8"/>
        <v>0</v>
      </c>
      <c r="I65" s="1691">
        <f t="shared" si="8"/>
        <v>0</v>
      </c>
      <c r="J65" s="1691">
        <f t="shared" si="8"/>
        <v>0</v>
      </c>
      <c r="K65" s="1691">
        <f t="shared" si="8"/>
        <v>445441</v>
      </c>
      <c r="L65" s="1691">
        <f t="shared" si="8"/>
        <v>448784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c r="F68" s="466"/>
      <c r="G68" s="466"/>
      <c r="H68" s="466"/>
      <c r="I68" s="467"/>
      <c r="J68" s="467"/>
      <c r="K68" s="1693">
        <f>SUM(C68:J68)</f>
        <v>0</v>
      </c>
      <c r="L68" s="466"/>
      <c r="M68" s="610"/>
      <c r="N68" s="610"/>
    </row>
    <row r="69" spans="1:14" s="343" customFormat="1" x14ac:dyDescent="0.2">
      <c r="A69" s="1526" t="s">
        <v>1121</v>
      </c>
      <c r="B69" s="615">
        <v>2630</v>
      </c>
      <c r="C69" s="466"/>
      <c r="D69" s="466"/>
      <c r="E69" s="466"/>
      <c r="F69" s="466"/>
      <c r="G69" s="466"/>
      <c r="H69" s="466"/>
      <c r="I69" s="467"/>
      <c r="J69" s="467"/>
      <c r="K69" s="1693">
        <f>SUM(C69:J69)</f>
        <v>0</v>
      </c>
      <c r="L69" s="466"/>
      <c r="M69" s="610"/>
      <c r="N69" s="610"/>
    </row>
    <row r="70" spans="1:14" s="343" customFormat="1" x14ac:dyDescent="0.2">
      <c r="A70" s="1526" t="s">
        <v>423</v>
      </c>
      <c r="B70" s="615">
        <v>2640</v>
      </c>
      <c r="C70" s="466"/>
      <c r="D70" s="466"/>
      <c r="E70" s="466"/>
      <c r="F70" s="466"/>
      <c r="G70" s="466"/>
      <c r="H70" s="466"/>
      <c r="I70" s="467"/>
      <c r="J70" s="467"/>
      <c r="K70" s="1693">
        <f>SUM(C70:J70)</f>
        <v>0</v>
      </c>
      <c r="L70" s="466"/>
      <c r="M70" s="610"/>
      <c r="N70" s="610"/>
    </row>
    <row r="71" spans="1:14" s="343" customFormat="1" x14ac:dyDescent="0.2">
      <c r="A71" s="1526"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2" t="s">
        <v>1037</v>
      </c>
      <c r="B73" s="633" t="s">
        <v>595</v>
      </c>
      <c r="C73" s="573">
        <v>4436</v>
      </c>
      <c r="D73" s="573"/>
      <c r="E73" s="573"/>
      <c r="F73" s="573">
        <v>257</v>
      </c>
      <c r="G73" s="573"/>
      <c r="H73" s="573"/>
      <c r="I73" s="531"/>
      <c r="J73" s="531"/>
      <c r="K73" s="1691">
        <f>SUM(C73:J73)</f>
        <v>4693</v>
      </c>
      <c r="L73" s="576">
        <v>4700</v>
      </c>
      <c r="M73" s="610"/>
      <c r="N73" s="610"/>
    </row>
    <row r="74" spans="1:14" ht="12.75" customHeight="1" thickTop="1" thickBot="1" x14ac:dyDescent="0.25">
      <c r="A74" s="1689" t="s">
        <v>865</v>
      </c>
      <c r="B74" s="1697">
        <v>2000</v>
      </c>
      <c r="C74" s="1698">
        <f>SUM(C42,C47,C53,C57,C65,C72,C73)</f>
        <v>366123</v>
      </c>
      <c r="D74" s="1698">
        <f t="shared" ref="D74:K74" si="10">SUM(D42,D47,D53,D57,D65,D72,D73)</f>
        <v>50067</v>
      </c>
      <c r="E74" s="1698">
        <f t="shared" si="10"/>
        <v>130151</v>
      </c>
      <c r="F74" s="1698">
        <f t="shared" si="10"/>
        <v>139847</v>
      </c>
      <c r="G74" s="1698">
        <f t="shared" si="10"/>
        <v>12709</v>
      </c>
      <c r="H74" s="1698">
        <f t="shared" si="10"/>
        <v>14400</v>
      </c>
      <c r="I74" s="1698">
        <f t="shared" si="10"/>
        <v>0</v>
      </c>
      <c r="J74" s="1698">
        <f t="shared" si="10"/>
        <v>0</v>
      </c>
      <c r="K74" s="1698">
        <f t="shared" si="10"/>
        <v>713297</v>
      </c>
      <c r="L74" s="1698">
        <f>SUM(L42,L47,L53,L57,L65,L72,L73)</f>
        <v>721361</v>
      </c>
    </row>
    <row r="75" spans="1:14" s="259" customFormat="1" ht="15.75" customHeight="1" thickTop="1" thickBot="1" x14ac:dyDescent="0.25">
      <c r="A75" s="1632" t="s">
        <v>49</v>
      </c>
      <c r="B75" s="1633" t="s">
        <v>596</v>
      </c>
      <c r="C75" s="573"/>
      <c r="D75" s="573"/>
      <c r="E75" s="573">
        <v>2150</v>
      </c>
      <c r="F75" s="573">
        <v>1494</v>
      </c>
      <c r="G75" s="573"/>
      <c r="H75" s="573"/>
      <c r="I75" s="531"/>
      <c r="J75" s="531"/>
      <c r="K75" s="1691">
        <f>SUM(C75:J75)</f>
        <v>3644</v>
      </c>
      <c r="L75" s="576">
        <v>5200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1500</v>
      </c>
      <c r="F78" s="617"/>
      <c r="G78" s="617"/>
      <c r="H78" s="635"/>
      <c r="I78" s="477"/>
      <c r="J78" s="477"/>
      <c r="K78" s="1692">
        <f t="shared" ref="K78:K83" si="11">SUM(C78:J78)</f>
        <v>1500</v>
      </c>
      <c r="L78" s="481">
        <v>1500</v>
      </c>
    </row>
    <row r="79" spans="1:14" x14ac:dyDescent="0.2">
      <c r="A79" s="1526" t="s">
        <v>322</v>
      </c>
      <c r="B79" s="615">
        <v>4120</v>
      </c>
      <c r="C79" s="617"/>
      <c r="D79" s="617"/>
      <c r="E79" s="466">
        <v>10112</v>
      </c>
      <c r="F79" s="617"/>
      <c r="G79" s="617"/>
      <c r="H79" s="466"/>
      <c r="I79" s="477"/>
      <c r="J79" s="477"/>
      <c r="K79" s="1692">
        <f t="shared" si="11"/>
        <v>10112</v>
      </c>
      <c r="L79" s="466">
        <v>11000</v>
      </c>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11612</v>
      </c>
      <c r="F84" s="617"/>
      <c r="G84" s="617"/>
      <c r="H84" s="1691">
        <f>SUM(H78:H83)</f>
        <v>0</v>
      </c>
      <c r="I84" s="477"/>
      <c r="J84" s="477"/>
      <c r="K84" s="1691">
        <f>SUM(K78:K83)</f>
        <v>11612</v>
      </c>
      <c r="L84" s="1691">
        <f>SUM(L78:L83)</f>
        <v>12500</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723</v>
      </c>
      <c r="B86" s="638">
        <v>4220</v>
      </c>
      <c r="C86" s="617"/>
      <c r="D86" s="617"/>
      <c r="E86" s="639"/>
      <c r="F86" s="617"/>
      <c r="G86" s="617"/>
      <c r="H86" s="467">
        <v>146280</v>
      </c>
      <c r="I86" s="477"/>
      <c r="J86" s="477"/>
      <c r="K86" s="1698">
        <f t="shared" ref="K86:K98" si="12">H86</f>
        <v>146280</v>
      </c>
      <c r="L86" s="530">
        <v>146500</v>
      </c>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146280</v>
      </c>
      <c r="I92" s="477"/>
      <c r="J92" s="477"/>
      <c r="K92" s="1698">
        <f t="shared" si="12"/>
        <v>146280</v>
      </c>
      <c r="L92" s="1691">
        <f>SUM(L85:L91)</f>
        <v>146500</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1568</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c r="I96" s="477"/>
      <c r="J96" s="477"/>
      <c r="K96" s="1698">
        <f t="shared" si="12"/>
        <v>0</v>
      </c>
      <c r="L96" s="530"/>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v>750</v>
      </c>
      <c r="I99" s="477"/>
      <c r="J99" s="477"/>
      <c r="K99" s="1698">
        <f>SUM(E99,H99)</f>
        <v>750</v>
      </c>
      <c r="L99" s="530"/>
    </row>
    <row r="100" spans="1:14" ht="14.25" thickTop="1" thickBot="1" x14ac:dyDescent="0.25">
      <c r="A100" s="1701" t="s">
        <v>1566</v>
      </c>
      <c r="B100" s="1702">
        <v>4300</v>
      </c>
      <c r="C100" s="617"/>
      <c r="D100" s="617"/>
      <c r="E100" s="1698">
        <f>SUM(E93:E99)</f>
        <v>0</v>
      </c>
      <c r="F100" s="617"/>
      <c r="G100" s="617"/>
      <c r="H100" s="1698">
        <f>SUM(H93:H99)</f>
        <v>750</v>
      </c>
      <c r="I100" s="477"/>
      <c r="J100" s="477"/>
      <c r="K100" s="1698">
        <f>SUM(K93:K99)</f>
        <v>750</v>
      </c>
      <c r="L100" s="1698">
        <f>SUM(L93:L99)</f>
        <v>0</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11612</v>
      </c>
      <c r="F102" s="617"/>
      <c r="G102" s="617"/>
      <c r="H102" s="1698">
        <f>SUM(H84,H92,H100,H101)</f>
        <v>147030</v>
      </c>
      <c r="I102" s="477"/>
      <c r="J102" s="477"/>
      <c r="K102" s="1698">
        <f>SUM(K84,K92,K100,K101)</f>
        <v>158642</v>
      </c>
      <c r="L102" s="1698">
        <f>SUM(L84,L92,L100,L101)</f>
        <v>159000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1291925</v>
      </c>
      <c r="D114" s="1691">
        <f t="shared" ref="D114:K114" si="13">SUM(D33,D74,D75,D102,D112,D113)</f>
        <v>328638</v>
      </c>
      <c r="E114" s="1691">
        <f t="shared" si="13"/>
        <v>152323</v>
      </c>
      <c r="F114" s="1691">
        <f t="shared" si="13"/>
        <v>214910</v>
      </c>
      <c r="G114" s="1691">
        <f t="shared" si="13"/>
        <v>33705</v>
      </c>
      <c r="H114" s="1691">
        <f>SUM(H33,H74,H75,H102,H112,H113)</f>
        <v>171912</v>
      </c>
      <c r="I114" s="1691">
        <f t="shared" si="13"/>
        <v>0</v>
      </c>
      <c r="J114" s="1691">
        <f t="shared" si="13"/>
        <v>0</v>
      </c>
      <c r="K114" s="1691">
        <f t="shared" si="13"/>
        <v>2193413</v>
      </c>
      <c r="L114" s="1691">
        <f>SUM(L33,L74,L75,L102,L112,L113)</f>
        <v>2198549</v>
      </c>
    </row>
    <row r="115" spans="1:14" ht="13.5" thickTop="1" x14ac:dyDescent="0.2">
      <c r="A115" s="2201" t="s">
        <v>1053</v>
      </c>
      <c r="B115" s="2202"/>
      <c r="C115" s="619"/>
      <c r="D115" s="619"/>
      <c r="E115" s="619"/>
      <c r="F115" s="619"/>
      <c r="G115" s="619"/>
      <c r="H115" s="619"/>
      <c r="I115" s="619"/>
      <c r="J115" s="619"/>
      <c r="K115" s="1705">
        <f>'Revenues 9-14'!C275-'Expenditures 15-22'!K114</f>
        <v>137646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c r="F123" s="466"/>
      <c r="G123" s="466"/>
      <c r="H123" s="466"/>
      <c r="I123" s="467"/>
      <c r="J123" s="467"/>
      <c r="K123" s="1691">
        <f>SUM(C123:J123)</f>
        <v>0</v>
      </c>
      <c r="L123" s="466"/>
    </row>
    <row r="124" spans="1:14" ht="14.25" thickTop="1" thickBot="1" x14ac:dyDescent="0.25">
      <c r="A124" s="1526" t="s">
        <v>206</v>
      </c>
      <c r="B124" s="615">
        <v>2540</v>
      </c>
      <c r="C124" s="466"/>
      <c r="D124" s="466"/>
      <c r="E124" s="466">
        <v>9944</v>
      </c>
      <c r="F124" s="466">
        <v>542</v>
      </c>
      <c r="G124" s="466"/>
      <c r="H124" s="466"/>
      <c r="I124" s="467"/>
      <c r="J124" s="467"/>
      <c r="K124" s="1691">
        <f>SUM(C124:J124)</f>
        <v>10486</v>
      </c>
      <c r="L124" s="466">
        <v>11000</v>
      </c>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0</v>
      </c>
      <c r="D127" s="1691">
        <f t="shared" ref="D127:L127" si="14">SUM(D122:D126)</f>
        <v>0</v>
      </c>
      <c r="E127" s="1691">
        <f t="shared" si="14"/>
        <v>9944</v>
      </c>
      <c r="F127" s="1691">
        <f t="shared" si="14"/>
        <v>542</v>
      </c>
      <c r="G127" s="1691">
        <f t="shared" si="14"/>
        <v>0</v>
      </c>
      <c r="H127" s="1691">
        <f t="shared" si="14"/>
        <v>0</v>
      </c>
      <c r="I127" s="1691">
        <f t="shared" si="14"/>
        <v>0</v>
      </c>
      <c r="J127" s="1691">
        <f t="shared" si="14"/>
        <v>0</v>
      </c>
      <c r="K127" s="1691">
        <f t="shared" si="14"/>
        <v>10486</v>
      </c>
      <c r="L127" s="1691">
        <f t="shared" si="14"/>
        <v>11000</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0</v>
      </c>
      <c r="D129" s="1698">
        <f t="shared" ref="D129:L129" si="15">SUM(D120,D127,D128)</f>
        <v>0</v>
      </c>
      <c r="E129" s="1698">
        <f t="shared" si="15"/>
        <v>9944</v>
      </c>
      <c r="F129" s="1698">
        <f t="shared" si="15"/>
        <v>542</v>
      </c>
      <c r="G129" s="1698">
        <f t="shared" si="15"/>
        <v>0</v>
      </c>
      <c r="H129" s="1698">
        <f t="shared" si="15"/>
        <v>0</v>
      </c>
      <c r="I129" s="1698">
        <f t="shared" si="15"/>
        <v>0</v>
      </c>
      <c r="J129" s="1698">
        <f t="shared" si="15"/>
        <v>0</v>
      </c>
      <c r="K129" s="1698">
        <f t="shared" si="15"/>
        <v>10486</v>
      </c>
      <c r="L129" s="1698">
        <f t="shared" si="15"/>
        <v>11000</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1957</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3"/>
      <c r="C151" s="1691">
        <f>SUM(C129,C130,C139,C149,C150)</f>
        <v>0</v>
      </c>
      <c r="D151" s="1691">
        <f t="shared" ref="D151:K151" si="16">SUM(D129,D130,D139,D149,D150)</f>
        <v>0</v>
      </c>
      <c r="E151" s="1691">
        <f t="shared" si="16"/>
        <v>9944</v>
      </c>
      <c r="F151" s="1691">
        <f t="shared" si="16"/>
        <v>542</v>
      </c>
      <c r="G151" s="1691">
        <f t="shared" si="16"/>
        <v>0</v>
      </c>
      <c r="H151" s="1691">
        <f t="shared" si="16"/>
        <v>0</v>
      </c>
      <c r="I151" s="1691">
        <f t="shared" si="16"/>
        <v>0</v>
      </c>
      <c r="J151" s="1691">
        <f t="shared" si="16"/>
        <v>0</v>
      </c>
      <c r="K151" s="1691">
        <f t="shared" si="16"/>
        <v>10486</v>
      </c>
      <c r="L151" s="1691">
        <f>SUM(L129,L130,L139,L149,L150)</f>
        <v>11000</v>
      </c>
    </row>
    <row r="152" spans="1:14" ht="12.75" customHeight="1" thickTop="1" x14ac:dyDescent="0.2">
      <c r="A152" s="2194" t="s">
        <v>1240</v>
      </c>
      <c r="B152" s="2195"/>
      <c r="C152" s="619"/>
      <c r="D152" s="619"/>
      <c r="E152" s="619"/>
      <c r="F152" s="619"/>
      <c r="G152" s="619"/>
      <c r="H152" s="619"/>
      <c r="I152" s="619"/>
      <c r="J152" s="617"/>
      <c r="K152" s="1705">
        <f>'Revenues 9-14'!D275-'Expenditures 15-22'!K151</f>
        <v>18110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7"/>
      <c r="L155" s="1863"/>
      <c r="M155" s="620"/>
      <c r="N155" s="620"/>
    </row>
    <row r="156" spans="1:14" s="621" customFormat="1" ht="15.75" customHeight="1" thickTop="1" x14ac:dyDescent="0.2">
      <c r="A156" s="1844" t="s">
        <v>1958</v>
      </c>
      <c r="B156" s="1845"/>
      <c r="C156" s="617"/>
      <c r="D156" s="617"/>
      <c r="E156" s="617"/>
      <c r="F156" s="617"/>
      <c r="G156" s="617"/>
      <c r="H156" s="1864"/>
      <c r="I156" s="617"/>
      <c r="J156" s="617"/>
      <c r="K156" s="1846"/>
      <c r="L156" s="1864"/>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row>
    <row r="167" spans="1:14" ht="12.75" customHeight="1" x14ac:dyDescent="0.2">
      <c r="A167" s="1526"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22751</v>
      </c>
      <c r="I169" s="617"/>
      <c r="J169" s="617"/>
      <c r="K169" s="1692">
        <f>SUM(C169:H169)</f>
        <v>22751</v>
      </c>
      <c r="L169" s="657">
        <v>22751</v>
      </c>
    </row>
    <row r="170" spans="1:14" ht="33.75" customHeight="1" x14ac:dyDescent="0.2">
      <c r="A170" s="670" t="s">
        <v>1769</v>
      </c>
      <c r="B170" s="672" t="s">
        <v>31</v>
      </c>
      <c r="C170" s="617"/>
      <c r="D170" s="617"/>
      <c r="E170" s="617"/>
      <c r="F170" s="617"/>
      <c r="G170" s="617"/>
      <c r="H170" s="569">
        <v>68000</v>
      </c>
      <c r="I170" s="617"/>
      <c r="J170" s="617"/>
      <c r="K170" s="1692">
        <f>SUM(C170:J170)</f>
        <v>68000</v>
      </c>
      <c r="L170" s="569">
        <v>68000</v>
      </c>
    </row>
    <row r="171" spans="1:14" ht="15.75" customHeight="1" x14ac:dyDescent="0.2">
      <c r="A171" s="622" t="s">
        <v>790</v>
      </c>
      <c r="B171" s="673" t="s">
        <v>86</v>
      </c>
      <c r="C171" s="617"/>
      <c r="D171" s="617"/>
      <c r="E171" s="466"/>
      <c r="F171" s="617"/>
      <c r="G171" s="617"/>
      <c r="H171" s="569">
        <v>1000</v>
      </c>
      <c r="I171" s="477"/>
      <c r="J171" s="617"/>
      <c r="K171" s="1692">
        <f>SUM(C171:J171)</f>
        <v>1000</v>
      </c>
      <c r="L171" s="569">
        <v>1000</v>
      </c>
    </row>
    <row r="172" spans="1:14" ht="12.75" customHeight="1" thickBot="1" x14ac:dyDescent="0.25">
      <c r="A172" s="1689" t="s">
        <v>659</v>
      </c>
      <c r="B172" s="1690" t="s">
        <v>513</v>
      </c>
      <c r="C172" s="617"/>
      <c r="D172" s="617"/>
      <c r="E172" s="1698">
        <f>SUM(E168,E169,E170,E171)</f>
        <v>0</v>
      </c>
      <c r="F172" s="617"/>
      <c r="G172" s="617"/>
      <c r="H172" s="1698">
        <f>SUM(H168,H169,H170,H171)</f>
        <v>91751</v>
      </c>
      <c r="I172" s="639"/>
      <c r="J172" s="617"/>
      <c r="K172" s="1698">
        <f>SUM(K168,K169,K170,K171)</f>
        <v>91751</v>
      </c>
      <c r="L172" s="1698">
        <f>SUM(L168,L169,L170,L171)</f>
        <v>91751</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91751</v>
      </c>
      <c r="I174" s="639"/>
      <c r="J174" s="617"/>
      <c r="K174" s="1698">
        <f>SUM(K160,K172,K173)</f>
        <v>91751</v>
      </c>
      <c r="L174" s="1698">
        <f>SUM(L160,L172,L173)</f>
        <v>91751</v>
      </c>
    </row>
    <row r="175" spans="1:14" ht="13.5" thickTop="1" x14ac:dyDescent="0.2">
      <c r="A175" s="2201" t="s">
        <v>1053</v>
      </c>
      <c r="B175" s="2202"/>
      <c r="C175" s="617"/>
      <c r="D175" s="617"/>
      <c r="E175" s="617"/>
      <c r="F175" s="617"/>
      <c r="G175" s="617"/>
      <c r="H175" s="619"/>
      <c r="I175" s="617"/>
      <c r="J175" s="617"/>
      <c r="K175" s="1705">
        <f>'Revenues 9-14'!E275-'Expenditures 15-22'!K174</f>
        <v>-16368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34259</v>
      </c>
      <c r="D182" s="466">
        <v>10103</v>
      </c>
      <c r="E182" s="466">
        <v>10320</v>
      </c>
      <c r="F182" s="466">
        <v>5365</v>
      </c>
      <c r="G182" s="466"/>
      <c r="H182" s="466">
        <v>424</v>
      </c>
      <c r="I182" s="467"/>
      <c r="J182" s="467"/>
      <c r="K182" s="1692">
        <f>SUM(C182:J182)</f>
        <v>60471</v>
      </c>
      <c r="L182" s="466">
        <v>61184</v>
      </c>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34259</v>
      </c>
      <c r="D184" s="1698">
        <f t="shared" ref="D184:J184" si="17">SUM(D180,D182,D183)</f>
        <v>10103</v>
      </c>
      <c r="E184" s="1698">
        <f t="shared" si="17"/>
        <v>10320</v>
      </c>
      <c r="F184" s="1698">
        <f t="shared" si="17"/>
        <v>5365</v>
      </c>
      <c r="G184" s="1698">
        <f t="shared" si="17"/>
        <v>0</v>
      </c>
      <c r="H184" s="1698">
        <f t="shared" si="17"/>
        <v>424</v>
      </c>
      <c r="I184" s="1698">
        <f t="shared" si="17"/>
        <v>0</v>
      </c>
      <c r="J184" s="1698">
        <f t="shared" si="17"/>
        <v>0</v>
      </c>
      <c r="K184" s="1698">
        <f>SUM(K180,K182,K183)</f>
        <v>60471</v>
      </c>
      <c r="L184" s="1698">
        <f>SUM(L180, L182:L183)</f>
        <v>61184</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c r="F189" s="617"/>
      <c r="G189" s="617"/>
      <c r="H189" s="466"/>
      <c r="I189" s="477"/>
      <c r="J189" s="617"/>
      <c r="K189" s="1692">
        <f t="shared" si="18"/>
        <v>0</v>
      </c>
      <c r="L189" s="466"/>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34259</v>
      </c>
      <c r="D210" s="1691">
        <f>SUM(D184,D185)</f>
        <v>10103</v>
      </c>
      <c r="E210" s="1691">
        <f>SUM(E184,E185,E196)</f>
        <v>10320</v>
      </c>
      <c r="F210" s="1691">
        <f>SUM(F184,F185)</f>
        <v>5365</v>
      </c>
      <c r="G210" s="1691">
        <f>SUM(G184,G185)</f>
        <v>0</v>
      </c>
      <c r="H210" s="1691">
        <f>SUM(H184,H185,H196,H208,H209)</f>
        <v>424</v>
      </c>
      <c r="I210" s="1691">
        <f>SUM(I184,I185)</f>
        <v>0</v>
      </c>
      <c r="J210" s="1691">
        <f>SUM(J184,J185)</f>
        <v>0</v>
      </c>
      <c r="K210" s="1692">
        <f>SUM(K184,K185,K196,K208,K209)</f>
        <v>60471</v>
      </c>
      <c r="L210" s="1691">
        <f>SUM(L184,L185,L196,L208,L209)</f>
        <v>61184</v>
      </c>
    </row>
    <row r="211" spans="1:14" ht="13.5" thickTop="1" x14ac:dyDescent="0.2">
      <c r="A211" s="2201" t="s">
        <v>1053</v>
      </c>
      <c r="B211" s="2202"/>
      <c r="C211" s="619"/>
      <c r="D211" s="619"/>
      <c r="E211" s="619"/>
      <c r="F211" s="619"/>
      <c r="G211" s="619"/>
      <c r="H211" s="619"/>
      <c r="I211" s="617"/>
      <c r="J211" s="617"/>
      <c r="K211" s="1705">
        <f>'Revenues 9-14'!F275-'Expenditures 15-22'!K210</f>
        <v>16217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17558</v>
      </c>
      <c r="E215" s="617"/>
      <c r="F215" s="617"/>
      <c r="G215" s="617"/>
      <c r="H215" s="617"/>
      <c r="I215" s="617"/>
      <c r="J215" s="617"/>
      <c r="K215" s="1692">
        <f>D215</f>
        <v>17558</v>
      </c>
      <c r="L215" s="466">
        <v>18000</v>
      </c>
    </row>
    <row r="216" spans="1:14" x14ac:dyDescent="0.2">
      <c r="A216" s="1526" t="s">
        <v>165</v>
      </c>
      <c r="B216" s="615" t="s">
        <v>1024</v>
      </c>
      <c r="C216" s="617"/>
      <c r="D216" s="467"/>
      <c r="E216" s="617"/>
      <c r="F216" s="617"/>
      <c r="G216" s="617"/>
      <c r="H216" s="617"/>
      <c r="I216" s="617"/>
      <c r="J216" s="617"/>
      <c r="K216" s="1692">
        <f t="shared" ref="K216:K228" si="19">D216</f>
        <v>0</v>
      </c>
      <c r="L216" s="466"/>
    </row>
    <row r="217" spans="1:14" x14ac:dyDescent="0.2">
      <c r="A217" s="1526" t="s">
        <v>166</v>
      </c>
      <c r="B217" s="615">
        <v>1200</v>
      </c>
      <c r="C217" s="617"/>
      <c r="D217" s="466">
        <v>11865</v>
      </c>
      <c r="E217" s="617"/>
      <c r="F217" s="617"/>
      <c r="G217" s="617"/>
      <c r="H217" s="617"/>
      <c r="I217" s="617"/>
      <c r="J217" s="617"/>
      <c r="K217" s="1692">
        <f t="shared" si="19"/>
        <v>11865</v>
      </c>
      <c r="L217" s="466">
        <v>12000</v>
      </c>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v>2913</v>
      </c>
      <c r="E219" s="617"/>
      <c r="F219" s="617"/>
      <c r="G219" s="617"/>
      <c r="H219" s="617"/>
      <c r="I219" s="617"/>
      <c r="J219" s="617"/>
      <c r="K219" s="1692">
        <f t="shared" si="19"/>
        <v>2913</v>
      </c>
      <c r="L219" s="466">
        <v>3000</v>
      </c>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c r="E222" s="617"/>
      <c r="F222" s="617"/>
      <c r="G222" s="617"/>
      <c r="H222" s="617"/>
      <c r="I222" s="617"/>
      <c r="J222" s="617"/>
      <c r="K222" s="1692">
        <f t="shared" si="19"/>
        <v>0</v>
      </c>
      <c r="L222" s="466"/>
    </row>
    <row r="223" spans="1:14" x14ac:dyDescent="0.2">
      <c r="A223" s="1526" t="s">
        <v>1020</v>
      </c>
      <c r="B223" s="615">
        <v>1500</v>
      </c>
      <c r="C223" s="617"/>
      <c r="D223" s="466">
        <v>463</v>
      </c>
      <c r="E223" s="617"/>
      <c r="F223" s="617"/>
      <c r="G223" s="617"/>
      <c r="H223" s="617"/>
      <c r="I223" s="617"/>
      <c r="J223" s="617"/>
      <c r="K223" s="1692">
        <f t="shared" si="19"/>
        <v>463</v>
      </c>
      <c r="L223" s="466">
        <v>475</v>
      </c>
    </row>
    <row r="224" spans="1:14" x14ac:dyDescent="0.2">
      <c r="A224" s="1526" t="s">
        <v>1021</v>
      </c>
      <c r="B224" s="615">
        <v>1600</v>
      </c>
      <c r="C224" s="617"/>
      <c r="D224" s="466"/>
      <c r="E224" s="617"/>
      <c r="F224" s="617"/>
      <c r="G224" s="617"/>
      <c r="H224" s="617"/>
      <c r="I224" s="617"/>
      <c r="J224" s="617"/>
      <c r="K224" s="1692">
        <f t="shared" si="19"/>
        <v>0</v>
      </c>
      <c r="L224" s="466"/>
    </row>
    <row r="225" spans="1:12" x14ac:dyDescent="0.2">
      <c r="A225" s="1526" t="s">
        <v>1044</v>
      </c>
      <c r="B225" s="615">
        <v>1650</v>
      </c>
      <c r="C225" s="617"/>
      <c r="D225" s="466"/>
      <c r="E225" s="617"/>
      <c r="F225" s="617"/>
      <c r="G225" s="617"/>
      <c r="H225" s="617"/>
      <c r="I225" s="617"/>
      <c r="J225" s="617"/>
      <c r="K225" s="1692">
        <f t="shared" si="19"/>
        <v>0</v>
      </c>
      <c r="L225" s="466"/>
    </row>
    <row r="226" spans="1:12" x14ac:dyDescent="0.2">
      <c r="A226" s="1526" t="s">
        <v>748</v>
      </c>
      <c r="B226" s="615" t="s">
        <v>164</v>
      </c>
      <c r="C226" s="617"/>
      <c r="D226" s="467"/>
      <c r="E226" s="617"/>
      <c r="F226" s="617"/>
      <c r="G226" s="617"/>
      <c r="H226" s="617"/>
      <c r="I226" s="617"/>
      <c r="J226" s="617"/>
      <c r="K226" s="1692">
        <f t="shared" si="19"/>
        <v>0</v>
      </c>
      <c r="L226" s="466"/>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32799</v>
      </c>
      <c r="E229" s="617"/>
      <c r="F229" s="617"/>
      <c r="G229" s="617"/>
      <c r="H229" s="617"/>
      <c r="I229" s="617"/>
      <c r="J229" s="617"/>
      <c r="K229" s="1691">
        <f>SUM(K215:K228)</f>
        <v>32799</v>
      </c>
      <c r="L229" s="1691">
        <f>SUM(L215:L228)</f>
        <v>33475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5721</v>
      </c>
      <c r="E232" s="617"/>
      <c r="F232" s="617"/>
      <c r="G232" s="617"/>
      <c r="H232" s="617"/>
      <c r="I232" s="617"/>
      <c r="J232" s="617"/>
      <c r="K232" s="1692">
        <f t="shared" ref="K232:K237" si="20">D232</f>
        <v>5721</v>
      </c>
      <c r="L232" s="466">
        <v>6000</v>
      </c>
    </row>
    <row r="233" spans="1:12" x14ac:dyDescent="0.2">
      <c r="A233" s="1526" t="s">
        <v>1151</v>
      </c>
      <c r="B233" s="615">
        <v>2120</v>
      </c>
      <c r="C233" s="617"/>
      <c r="D233" s="466"/>
      <c r="E233" s="617"/>
      <c r="F233" s="617"/>
      <c r="G233" s="617"/>
      <c r="H233" s="617"/>
      <c r="I233" s="617"/>
      <c r="J233" s="617"/>
      <c r="K233" s="1692">
        <f t="shared" si="20"/>
        <v>0</v>
      </c>
      <c r="L233" s="466"/>
    </row>
    <row r="234" spans="1:12" x14ac:dyDescent="0.2">
      <c r="A234" s="1526" t="s">
        <v>207</v>
      </c>
      <c r="B234" s="615">
        <v>2130</v>
      </c>
      <c r="C234" s="617"/>
      <c r="D234" s="466">
        <v>5241</v>
      </c>
      <c r="E234" s="617"/>
      <c r="F234" s="617"/>
      <c r="G234" s="617"/>
      <c r="H234" s="617"/>
      <c r="I234" s="617"/>
      <c r="J234" s="617"/>
      <c r="K234" s="1692">
        <f t="shared" si="20"/>
        <v>5241</v>
      </c>
      <c r="L234" s="466">
        <v>5500</v>
      </c>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10962</v>
      </c>
      <c r="E238" s="617"/>
      <c r="F238" s="617"/>
      <c r="G238" s="617"/>
      <c r="H238" s="617"/>
      <c r="I238" s="617"/>
      <c r="J238" s="617"/>
      <c r="K238" s="1691">
        <f>SUM(K232:K237)</f>
        <v>10962</v>
      </c>
      <c r="L238" s="1691">
        <f>SUM(L232:L237)</f>
        <v>11500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3">
        <f>D240</f>
        <v>0</v>
      </c>
      <c r="L240" s="481"/>
    </row>
    <row r="241" spans="1:12" x14ac:dyDescent="0.2">
      <c r="A241" s="1526" t="s">
        <v>869</v>
      </c>
      <c r="B241" s="615">
        <v>2220</v>
      </c>
      <c r="C241" s="617"/>
      <c r="D241" s="466">
        <v>577</v>
      </c>
      <c r="E241" s="617"/>
      <c r="F241" s="617"/>
      <c r="G241" s="617"/>
      <c r="H241" s="617"/>
      <c r="I241" s="617"/>
      <c r="J241" s="617"/>
      <c r="K241" s="1693">
        <f>D241</f>
        <v>577</v>
      </c>
      <c r="L241" s="466">
        <v>600</v>
      </c>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577</v>
      </c>
      <c r="E243" s="617"/>
      <c r="F243" s="617"/>
      <c r="G243" s="617"/>
      <c r="H243" s="617"/>
      <c r="I243" s="617"/>
      <c r="J243" s="617"/>
      <c r="K243" s="1691">
        <f>SUM(K240:K242)</f>
        <v>577</v>
      </c>
      <c r="L243" s="1691">
        <f>SUM(L240:L242)</f>
        <v>600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339</v>
      </c>
      <c r="E245" s="617"/>
      <c r="F245" s="617"/>
      <c r="G245" s="617"/>
      <c r="H245" s="617"/>
      <c r="I245" s="617"/>
      <c r="J245" s="617"/>
      <c r="K245" s="1693">
        <f>D245</f>
        <v>339</v>
      </c>
      <c r="L245" s="481">
        <v>350</v>
      </c>
    </row>
    <row r="246" spans="1:12" x14ac:dyDescent="0.2">
      <c r="A246" s="1526" t="s">
        <v>872</v>
      </c>
      <c r="B246" s="615">
        <v>2320</v>
      </c>
      <c r="C246" s="617"/>
      <c r="D246" s="466">
        <v>1602</v>
      </c>
      <c r="E246" s="617"/>
      <c r="F246" s="617"/>
      <c r="G246" s="617"/>
      <c r="H246" s="617"/>
      <c r="I246" s="617"/>
      <c r="J246" s="617"/>
      <c r="K246" s="1693">
        <f t="shared" ref="K246:K256" si="21">D246</f>
        <v>1602</v>
      </c>
      <c r="L246" s="466">
        <v>1675</v>
      </c>
    </row>
    <row r="247" spans="1:12" x14ac:dyDescent="0.2">
      <c r="A247" s="1526" t="s">
        <v>873</v>
      </c>
      <c r="B247" s="615">
        <v>2330</v>
      </c>
      <c r="C247" s="617"/>
      <c r="D247" s="466">
        <v>45</v>
      </c>
      <c r="E247" s="617"/>
      <c r="F247" s="617"/>
      <c r="G247" s="617"/>
      <c r="H247" s="617"/>
      <c r="I247" s="617"/>
      <c r="J247" s="617"/>
      <c r="K247" s="1693">
        <f t="shared" si="21"/>
        <v>45</v>
      </c>
      <c r="L247" s="466">
        <v>50</v>
      </c>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1908</v>
      </c>
      <c r="B249" s="684" t="s">
        <v>300</v>
      </c>
      <c r="C249" s="617"/>
      <c r="D249" s="474"/>
      <c r="E249" s="617"/>
      <c r="F249" s="617"/>
      <c r="G249" s="617"/>
      <c r="H249" s="617"/>
      <c r="I249" s="617"/>
      <c r="J249" s="617"/>
      <c r="K249" s="1693">
        <f t="shared" si="21"/>
        <v>0</v>
      </c>
      <c r="L249" s="466"/>
    </row>
    <row r="250" spans="1:12" x14ac:dyDescent="0.2">
      <c r="A250" s="1527" t="s">
        <v>1909</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c r="E252" s="617"/>
      <c r="F252" s="617"/>
      <c r="G252" s="617"/>
      <c r="H252" s="617"/>
      <c r="I252" s="617"/>
      <c r="J252" s="617"/>
      <c r="K252" s="1693">
        <f t="shared" si="21"/>
        <v>0</v>
      </c>
      <c r="L252" s="466"/>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c r="E254" s="617"/>
      <c r="F254" s="617"/>
      <c r="G254" s="617"/>
      <c r="H254" s="617"/>
      <c r="I254" s="617"/>
      <c r="J254" s="617"/>
      <c r="K254" s="1693">
        <f t="shared" si="21"/>
        <v>0</v>
      </c>
      <c r="L254" s="466"/>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1986</v>
      </c>
      <c r="E257" s="617"/>
      <c r="F257" s="617"/>
      <c r="G257" s="617"/>
      <c r="H257" s="617"/>
      <c r="I257" s="617"/>
      <c r="J257" s="617"/>
      <c r="K257" s="1691">
        <f>SUM(K245:K256)</f>
        <v>1986</v>
      </c>
      <c r="L257" s="1691">
        <f>SUM(L245:L256)</f>
        <v>2075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3">
        <f>D259</f>
        <v>0</v>
      </c>
      <c r="L259" s="481"/>
    </row>
    <row r="260" spans="1:14" s="598" customFormat="1" x14ac:dyDescent="0.2">
      <c r="A260" s="1544"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0</v>
      </c>
      <c r="E261" s="617"/>
      <c r="F261" s="617"/>
      <c r="G261" s="617"/>
      <c r="H261" s="617"/>
      <c r="I261" s="617"/>
      <c r="J261" s="617"/>
      <c r="K261" s="1691">
        <f>SUM(K259:K260)</f>
        <v>0</v>
      </c>
      <c r="L261" s="1691">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3">
        <f>D263</f>
        <v>0</v>
      </c>
      <c r="L263" s="481"/>
    </row>
    <row r="264" spans="1:14" x14ac:dyDescent="0.2">
      <c r="A264" s="1526" t="s">
        <v>483</v>
      </c>
      <c r="B264" s="686">
        <v>2520</v>
      </c>
      <c r="C264" s="617"/>
      <c r="D264" s="466">
        <v>10016</v>
      </c>
      <c r="E264" s="617"/>
      <c r="F264" s="617"/>
      <c r="G264" s="617"/>
      <c r="H264" s="617"/>
      <c r="I264" s="617"/>
      <c r="J264" s="617"/>
      <c r="K264" s="1693">
        <f t="shared" ref="K264:K269" si="22">D264</f>
        <v>10016</v>
      </c>
      <c r="L264" s="466">
        <v>10000</v>
      </c>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17182</v>
      </c>
      <c r="E266" s="617"/>
      <c r="F266" s="617"/>
      <c r="G266" s="617"/>
      <c r="H266" s="617"/>
      <c r="I266" s="617"/>
      <c r="J266" s="617"/>
      <c r="K266" s="1693">
        <f t="shared" si="22"/>
        <v>17182</v>
      </c>
      <c r="L266" s="466">
        <v>18000</v>
      </c>
    </row>
    <row r="267" spans="1:14" x14ac:dyDescent="0.2">
      <c r="A267" s="1526" t="s">
        <v>1010</v>
      </c>
      <c r="B267" s="615">
        <v>2550</v>
      </c>
      <c r="C267" s="617"/>
      <c r="D267" s="466">
        <v>6214</v>
      </c>
      <c r="E267" s="617"/>
      <c r="F267" s="617"/>
      <c r="G267" s="617"/>
      <c r="H267" s="617"/>
      <c r="I267" s="617"/>
      <c r="J267" s="617"/>
      <c r="K267" s="1693">
        <f t="shared" si="22"/>
        <v>6214</v>
      </c>
      <c r="L267" s="466">
        <v>6500</v>
      </c>
    </row>
    <row r="268" spans="1:14" x14ac:dyDescent="0.2">
      <c r="A268" s="1526" t="s">
        <v>102</v>
      </c>
      <c r="B268" s="615">
        <v>2560</v>
      </c>
      <c r="C268" s="617"/>
      <c r="D268" s="466">
        <v>6687</v>
      </c>
      <c r="E268" s="617"/>
      <c r="F268" s="617"/>
      <c r="G268" s="617"/>
      <c r="H268" s="617"/>
      <c r="I268" s="617"/>
      <c r="J268" s="617"/>
      <c r="K268" s="1693">
        <f t="shared" si="22"/>
        <v>6687</v>
      </c>
      <c r="L268" s="466">
        <v>6700</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40099</v>
      </c>
      <c r="E270" s="617"/>
      <c r="F270" s="617"/>
      <c r="G270" s="617"/>
      <c r="H270" s="617"/>
      <c r="I270" s="617"/>
      <c r="J270" s="617"/>
      <c r="K270" s="1691">
        <f>SUM(K263:K269)</f>
        <v>40099</v>
      </c>
      <c r="L270" s="1691">
        <f>SUM(L263:L269)</f>
        <v>41200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c r="E274" s="617"/>
      <c r="F274" s="617"/>
      <c r="G274" s="617"/>
      <c r="H274" s="617"/>
      <c r="I274" s="617"/>
      <c r="J274" s="617"/>
      <c r="K274" s="1693">
        <f>D274</f>
        <v>0</v>
      </c>
      <c r="L274" s="466"/>
    </row>
    <row r="275" spans="1:12" x14ac:dyDescent="0.2">
      <c r="A275" s="1526" t="s">
        <v>423</v>
      </c>
      <c r="B275" s="615">
        <v>2640</v>
      </c>
      <c r="C275" s="617"/>
      <c r="D275" s="466"/>
      <c r="E275" s="617"/>
      <c r="F275" s="617"/>
      <c r="G275" s="617"/>
      <c r="H275" s="617"/>
      <c r="I275" s="617"/>
      <c r="J275" s="617"/>
      <c r="K275" s="1693">
        <f>D275</f>
        <v>0</v>
      </c>
      <c r="L275" s="466"/>
    </row>
    <row r="276" spans="1:12" x14ac:dyDescent="0.2">
      <c r="A276" s="1526"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2" t="s">
        <v>1037</v>
      </c>
      <c r="B278" s="656" t="s">
        <v>595</v>
      </c>
      <c r="C278" s="617"/>
      <c r="D278" s="657">
        <v>339</v>
      </c>
      <c r="E278" s="617"/>
      <c r="F278" s="617"/>
      <c r="G278" s="617"/>
      <c r="H278" s="617"/>
      <c r="I278" s="617"/>
      <c r="J278" s="617"/>
      <c r="K278" s="1706">
        <f>D278</f>
        <v>339</v>
      </c>
      <c r="L278" s="657">
        <v>375</v>
      </c>
    </row>
    <row r="279" spans="1:12" ht="12.75" customHeight="1" thickBot="1" x14ac:dyDescent="0.25">
      <c r="A279" s="1719" t="s">
        <v>865</v>
      </c>
      <c r="B279" s="1702">
        <v>2000</v>
      </c>
      <c r="C279" s="617"/>
      <c r="D279" s="1698">
        <f>SUM(D238,D243,D257,D261,D270,D277,D278)</f>
        <v>53963</v>
      </c>
      <c r="E279" s="617"/>
      <c r="F279" s="617"/>
      <c r="G279" s="617"/>
      <c r="H279" s="617"/>
      <c r="I279" s="617"/>
      <c r="J279" s="617"/>
      <c r="K279" s="1698">
        <f>SUM(K238,K243,K257,K261,K270,K277,K278)</f>
        <v>53963</v>
      </c>
      <c r="L279" s="1698">
        <f>SUM(L238,L243,L257,L261,L270,L277,L278)</f>
        <v>55750</v>
      </c>
    </row>
    <row r="280" spans="1:12" ht="15.75" customHeight="1" thickTop="1" thickBot="1" x14ac:dyDescent="0.25">
      <c r="A280" s="1646" t="s">
        <v>930</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1">
        <f>SUM(D229,D279,D280,D285)</f>
        <v>86762</v>
      </c>
      <c r="E295" s="617"/>
      <c r="F295" s="617"/>
      <c r="G295" s="617"/>
      <c r="H295" s="1691">
        <f>H293</f>
        <v>0</v>
      </c>
      <c r="I295" s="617"/>
      <c r="J295" s="617"/>
      <c r="K295" s="1691">
        <f>SUM(K229,K279,K280,K285,K293,K294)</f>
        <v>86762</v>
      </c>
      <c r="L295" s="1691">
        <f>SUM(L229,L279,L280,L285,L293,L294)</f>
        <v>89225</v>
      </c>
    </row>
    <row r="296" spans="1:14" ht="13.5" thickTop="1" x14ac:dyDescent="0.2">
      <c r="A296" s="2201" t="s">
        <v>1053</v>
      </c>
      <c r="B296" s="2202"/>
      <c r="C296" s="617"/>
      <c r="D296" s="619"/>
      <c r="E296" s="617"/>
      <c r="F296" s="617"/>
      <c r="G296" s="617"/>
      <c r="H296" s="688"/>
      <c r="I296" s="617"/>
      <c r="J296" s="617"/>
      <c r="K296" s="1705">
        <f>'Revenues 9-14'!G275-'Expenditures 15-22'!K295</f>
        <v>4701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2">
        <f>SUM(C301:J301)</f>
        <v>0</v>
      </c>
      <c r="L301" s="467"/>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5" t="s">
        <v>1053</v>
      </c>
      <c r="B313" s="2186"/>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1908</v>
      </c>
      <c r="B320" s="699" t="s">
        <v>300</v>
      </c>
      <c r="C320" s="467"/>
      <c r="D320" s="467"/>
      <c r="E320" s="467">
        <v>11679</v>
      </c>
      <c r="F320" s="467"/>
      <c r="G320" s="467"/>
      <c r="H320" s="467"/>
      <c r="I320" s="467"/>
      <c r="J320" s="467"/>
      <c r="K320" s="1692">
        <f t="shared" ref="K320:K327" si="24">SUM(C320:J320)</f>
        <v>11679</v>
      </c>
      <c r="L320" s="467">
        <v>11700</v>
      </c>
      <c r="M320" s="666"/>
      <c r="N320" s="666"/>
    </row>
    <row r="321" spans="1:14" s="675" customFormat="1" x14ac:dyDescent="0.2">
      <c r="A321" s="1541"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2">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2">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2">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11679</v>
      </c>
      <c r="F330" s="1691">
        <f t="shared" si="25"/>
        <v>0</v>
      </c>
      <c r="G330" s="1691">
        <f t="shared" si="25"/>
        <v>0</v>
      </c>
      <c r="H330" s="1691">
        <f t="shared" si="25"/>
        <v>0</v>
      </c>
      <c r="I330" s="1691">
        <f t="shared" si="25"/>
        <v>0</v>
      </c>
      <c r="J330" s="1691">
        <f t="shared" si="25"/>
        <v>0</v>
      </c>
      <c r="K330" s="1691">
        <f>SUM(K319:K329)</f>
        <v>11679</v>
      </c>
      <c r="L330" s="1691">
        <f>SUM(L319:L329)</f>
        <v>11700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0</v>
      </c>
      <c r="D342" s="1691">
        <f>SUM(D330)</f>
        <v>0</v>
      </c>
      <c r="E342" s="1691">
        <f>SUM(E330)</f>
        <v>11679</v>
      </c>
      <c r="F342" s="1691">
        <f>SUM(F330)</f>
        <v>0</v>
      </c>
      <c r="G342" s="1691">
        <f>SUM(G330)</f>
        <v>0</v>
      </c>
      <c r="H342" s="1691">
        <f>SUM(H330,H334,H340)</f>
        <v>0</v>
      </c>
      <c r="I342" s="1691">
        <f>SUM(I330)</f>
        <v>0</v>
      </c>
      <c r="J342" s="1691">
        <f>SUM(J330)</f>
        <v>0</v>
      </c>
      <c r="K342" s="1691">
        <f>SUM(K330,K334,K340)</f>
        <v>11679</v>
      </c>
      <c r="L342" s="1698">
        <f>SUM(L330,L340,L341)</f>
        <v>11700</v>
      </c>
    </row>
    <row r="343" spans="1:14" ht="12.75" customHeight="1" thickTop="1" x14ac:dyDescent="0.2">
      <c r="A343" s="2187" t="s">
        <v>1053</v>
      </c>
      <c r="B343" s="2188"/>
      <c r="C343" s="617"/>
      <c r="D343" s="617"/>
      <c r="E343" s="617"/>
      <c r="F343" s="617"/>
      <c r="G343" s="617"/>
      <c r="H343" s="617"/>
      <c r="I343" s="617"/>
      <c r="J343" s="617"/>
      <c r="K343" s="1705">
        <f>'Revenues 9-14'!J275-'Expenditures 15-22'!K342</f>
        <v>95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2">
        <f>SUM(C348:J348)</f>
        <v>0</v>
      </c>
      <c r="L348" s="466"/>
    </row>
    <row r="349" spans="1:14" x14ac:dyDescent="0.2">
      <c r="A349" s="1526"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5"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201" t="s">
        <v>1053</v>
      </c>
      <c r="B368" s="2202"/>
      <c r="C368" s="655"/>
      <c r="D368" s="655"/>
      <c r="E368" s="627"/>
      <c r="F368" s="627"/>
      <c r="G368" s="627"/>
      <c r="H368" s="627"/>
      <c r="I368" s="627"/>
      <c r="J368" s="624"/>
      <c r="K368" s="1692">
        <f>'Revenues 9-14'!K275-'Expenditures 15-22'!K367</f>
        <v>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6" right="0.2" top="0.61" bottom="0.32"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
See accompanying notes.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I38" sqref="I38:S3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3" t="s">
        <v>1905</v>
      </c>
      <c r="B2" s="1550" t="s">
        <v>2037</v>
      </c>
      <c r="C2" s="715" t="s">
        <v>1910</v>
      </c>
      <c r="D2" s="715" t="s">
        <v>1911</v>
      </c>
      <c r="E2" s="715" t="s">
        <v>1912</v>
      </c>
      <c r="F2" s="715" t="s">
        <v>1913</v>
      </c>
    </row>
    <row r="3" spans="1:6" ht="12" customHeight="1" x14ac:dyDescent="0.2">
      <c r="A3" s="2204"/>
      <c r="B3" s="1547"/>
      <c r="C3" s="1548"/>
      <c r="D3" s="1549" t="s">
        <v>274</v>
      </c>
      <c r="E3" s="1548"/>
      <c r="F3" s="1549" t="s">
        <v>275</v>
      </c>
    </row>
    <row r="4" spans="1:6" ht="13.7" customHeight="1" x14ac:dyDescent="0.2">
      <c r="A4" s="716" t="s">
        <v>1217</v>
      </c>
      <c r="B4" s="1770">
        <f>'Revenues 9-14'!C5</f>
        <v>191222</v>
      </c>
      <c r="C4" s="1546"/>
      <c r="D4" s="1773">
        <f>B4-C4</f>
        <v>191222</v>
      </c>
      <c r="E4" s="1546">
        <v>200867</v>
      </c>
      <c r="F4" s="1773">
        <f>E4-C4</f>
        <v>200867</v>
      </c>
    </row>
    <row r="5" spans="1:6" ht="13.7" customHeight="1" x14ac:dyDescent="0.2">
      <c r="A5" s="716" t="s">
        <v>925</v>
      </c>
      <c r="B5" s="1771">
        <f>'Revenues 9-14'!D5</f>
        <v>27923</v>
      </c>
      <c r="C5" s="585"/>
      <c r="D5" s="1774">
        <f t="shared" ref="D5:D18" si="0">B5-C5</f>
        <v>27923</v>
      </c>
      <c r="E5" s="585">
        <v>29332</v>
      </c>
      <c r="F5" s="1774">
        <f>E5-C5</f>
        <v>29332</v>
      </c>
    </row>
    <row r="6" spans="1:6" ht="13.7" customHeight="1" x14ac:dyDescent="0.2">
      <c r="A6" s="716" t="s">
        <v>431</v>
      </c>
      <c r="B6" s="1771">
        <f>'Revenues 9-14'!E5</f>
        <v>73932</v>
      </c>
      <c r="C6" s="585"/>
      <c r="D6" s="1774">
        <f t="shared" si="0"/>
        <v>73932</v>
      </c>
      <c r="E6" s="585">
        <v>75042</v>
      </c>
      <c r="F6" s="1774">
        <f t="shared" ref="F6:F18" si="1">E6-C6</f>
        <v>75042</v>
      </c>
    </row>
    <row r="7" spans="1:6" ht="13.7" customHeight="1" x14ac:dyDescent="0.2">
      <c r="A7" s="716" t="s">
        <v>157</v>
      </c>
      <c r="B7" s="1771">
        <f>'Revenues 9-14'!F5</f>
        <v>18371</v>
      </c>
      <c r="C7" s="585"/>
      <c r="D7" s="1774">
        <f t="shared" si="0"/>
        <v>18371</v>
      </c>
      <c r="E7" s="585">
        <v>19297</v>
      </c>
      <c r="F7" s="1774">
        <f t="shared" si="1"/>
        <v>19297</v>
      </c>
    </row>
    <row r="8" spans="1:6" ht="13.7" customHeight="1" x14ac:dyDescent="0.2">
      <c r="A8" s="716" t="s">
        <v>1241</v>
      </c>
      <c r="B8" s="1771">
        <f>'Revenues 9-14'!G5</f>
        <v>37878</v>
      </c>
      <c r="C8" s="585"/>
      <c r="D8" s="1774">
        <f t="shared" si="0"/>
        <v>37878</v>
      </c>
      <c r="E8" s="585">
        <v>39791</v>
      </c>
      <c r="F8" s="1774">
        <f t="shared" si="1"/>
        <v>39791</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0</v>
      </c>
      <c r="C10" s="585"/>
      <c r="D10" s="1774">
        <f t="shared" si="0"/>
        <v>0</v>
      </c>
      <c r="E10" s="585"/>
      <c r="F10" s="1774">
        <f t="shared" si="1"/>
        <v>0</v>
      </c>
    </row>
    <row r="11" spans="1:6" x14ac:dyDescent="0.2">
      <c r="A11" s="716" t="s">
        <v>429</v>
      </c>
      <c r="B11" s="1771">
        <f>'Revenues 9-14'!J5</f>
        <v>11613</v>
      </c>
      <c r="C11" s="585"/>
      <c r="D11" s="1774">
        <f t="shared" si="0"/>
        <v>11613</v>
      </c>
      <c r="E11" s="585">
        <v>12199</v>
      </c>
      <c r="F11" s="1774">
        <f t="shared" si="1"/>
        <v>12199</v>
      </c>
    </row>
    <row r="12" spans="1:6" ht="13.7" customHeight="1" x14ac:dyDescent="0.2">
      <c r="A12" s="716" t="s">
        <v>159</v>
      </c>
      <c r="B12" s="1771">
        <f>'Revenues 9-14'!K5</f>
        <v>0</v>
      </c>
      <c r="C12" s="585"/>
      <c r="D12" s="1774">
        <f t="shared" si="0"/>
        <v>0</v>
      </c>
      <c r="E12" s="585"/>
      <c r="F12" s="1774">
        <f t="shared" si="1"/>
        <v>0</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0</v>
      </c>
      <c r="C14" s="585"/>
      <c r="D14" s="1774">
        <f t="shared" si="0"/>
        <v>0</v>
      </c>
      <c r="E14" s="585"/>
      <c r="F14" s="1774">
        <f t="shared" si="1"/>
        <v>0</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22698</v>
      </c>
      <c r="C16" s="585"/>
      <c r="D16" s="1774">
        <f t="shared" si="0"/>
        <v>22698</v>
      </c>
      <c r="E16" s="585">
        <v>23843</v>
      </c>
      <c r="F16" s="1774">
        <f t="shared" si="1"/>
        <v>23843</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383637</v>
      </c>
      <c r="C19" s="1772">
        <f>SUM(C4:C18)</f>
        <v>0</v>
      </c>
      <c r="D19" s="1772">
        <f>SUM(D4:D18)</f>
        <v>383637</v>
      </c>
      <c r="E19" s="1772">
        <f>SUM(E4:E18)</f>
        <v>400371</v>
      </c>
      <c r="F19" s="1772">
        <f>SUM(F4:F18)</f>
        <v>400371</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6" colorId="8" zoomScale="110" zoomScaleNormal="110" workbookViewId="0">
      <selection activeCell="I38" sqref="I38:S3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650</v>
      </c>
      <c r="B1" s="2210"/>
      <c r="C1" s="722"/>
    </row>
    <row r="2" spans="1:7" ht="33.75" x14ac:dyDescent="0.2">
      <c r="A2" s="2218" t="s">
        <v>1905</v>
      </c>
      <c r="B2" s="2219"/>
      <c r="C2" s="1907" t="s">
        <v>2038</v>
      </c>
      <c r="D2" s="724" t="s">
        <v>2045</v>
      </c>
      <c r="E2" s="724" t="s">
        <v>2046</v>
      </c>
      <c r="F2" s="1907" t="s">
        <v>2039</v>
      </c>
    </row>
    <row r="3" spans="1:7" ht="15.75" customHeight="1" x14ac:dyDescent="0.2">
      <c r="A3" s="2222" t="s">
        <v>1176</v>
      </c>
      <c r="B3" s="2223"/>
      <c r="C3" s="2211"/>
      <c r="D3" s="2212"/>
      <c r="E3" s="2212"/>
      <c r="F3" s="2213"/>
    </row>
    <row r="4" spans="1:7" ht="12.75" customHeight="1" thickBot="1" x14ac:dyDescent="0.25">
      <c r="A4" s="2220" t="s">
        <v>651</v>
      </c>
      <c r="B4" s="2221"/>
      <c r="C4" s="581"/>
      <c r="D4" s="581"/>
      <c r="E4" s="581"/>
      <c r="F4" s="1776">
        <f>SUM(C4+D4)-E4</f>
        <v>0</v>
      </c>
    </row>
    <row r="5" spans="1:7" ht="15.75" customHeight="1" thickTop="1" x14ac:dyDescent="0.2">
      <c r="A5" s="2205" t="s">
        <v>1172</v>
      </c>
      <c r="B5" s="2206"/>
      <c r="C5" s="2214"/>
      <c r="D5" s="2215"/>
      <c r="E5" s="2215"/>
      <c r="F5" s="2216"/>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07" t="s">
        <v>652</v>
      </c>
      <c r="B15" s="2208"/>
      <c r="C15" s="1776">
        <f>SUM(C6:C14)</f>
        <v>0</v>
      </c>
      <c r="D15" s="1776">
        <f>SUM(D6:D14)</f>
        <v>0</v>
      </c>
      <c r="E15" s="1776">
        <f>SUM(E6:E14)</f>
        <v>0</v>
      </c>
      <c r="F15" s="1776">
        <f>SUM(F6:F14)</f>
        <v>0</v>
      </c>
      <c r="G15" s="552"/>
    </row>
    <row r="16" spans="1:7" s="202" customFormat="1" ht="15.75" customHeight="1" thickTop="1" x14ac:dyDescent="0.2">
      <c r="A16" s="2217" t="s">
        <v>1173</v>
      </c>
      <c r="B16" s="2206"/>
      <c r="C16" s="2214"/>
      <c r="D16" s="2215"/>
      <c r="E16" s="2215"/>
      <c r="F16" s="2216"/>
    </row>
    <row r="17" spans="1:11" ht="12.75" customHeight="1" thickBot="1" x14ac:dyDescent="0.25">
      <c r="A17" s="2230" t="s">
        <v>66</v>
      </c>
      <c r="B17" s="2231"/>
      <c r="C17" s="727"/>
      <c r="D17" s="585"/>
      <c r="E17" s="727"/>
      <c r="F17" s="1776">
        <f>SUM(C17+D17)-E17</f>
        <v>0</v>
      </c>
    </row>
    <row r="18" spans="1:11" ht="12.75" customHeight="1" thickTop="1" thickBot="1" x14ac:dyDescent="0.25">
      <c r="A18" s="2230" t="s">
        <v>6</v>
      </c>
      <c r="B18" s="2231"/>
      <c r="C18" s="727"/>
      <c r="D18" s="585"/>
      <c r="E18" s="727"/>
      <c r="F18" s="1776">
        <f>SUM(C18+D18)-E18</f>
        <v>0</v>
      </c>
    </row>
    <row r="19" spans="1:11" ht="12.75" customHeight="1" thickTop="1" thickBot="1" x14ac:dyDescent="0.25">
      <c r="A19" s="2230" t="s">
        <v>406</v>
      </c>
      <c r="B19" s="2231"/>
      <c r="C19" s="727"/>
      <c r="D19" s="585"/>
      <c r="E19" s="727"/>
      <c r="F19" s="1776">
        <f>SUM(C19+D19)-E19</f>
        <v>0</v>
      </c>
    </row>
    <row r="20" spans="1:11" ht="12.75" customHeight="1" thickTop="1" thickBot="1" x14ac:dyDescent="0.25">
      <c r="A20" s="2230" t="s">
        <v>468</v>
      </c>
      <c r="B20" s="2231"/>
      <c r="C20" s="727"/>
      <c r="D20" s="585"/>
      <c r="E20" s="727"/>
      <c r="F20" s="1776">
        <f>SUM(C20+D20)-E20</f>
        <v>0</v>
      </c>
    </row>
    <row r="21" spans="1:11" ht="14.25" thickTop="1" thickBot="1" x14ac:dyDescent="0.25">
      <c r="A21" s="2207" t="s">
        <v>653</v>
      </c>
      <c r="B21" s="2208"/>
      <c r="C21" s="1776">
        <f>SUM(C17:C20)</f>
        <v>0</v>
      </c>
      <c r="D21" s="1776">
        <f>SUM(D17:D20)</f>
        <v>0</v>
      </c>
      <c r="E21" s="1776">
        <f>SUM(E17:E20)</f>
        <v>0</v>
      </c>
      <c r="F21" s="1776">
        <f>SUM(F17:F20)</f>
        <v>0</v>
      </c>
      <c r="G21" s="552"/>
    </row>
    <row r="22" spans="1:11" ht="15.75" customHeight="1" thickTop="1" x14ac:dyDescent="0.2">
      <c r="A22" s="2232" t="s">
        <v>1174</v>
      </c>
      <c r="B22" s="2206"/>
      <c r="C22" s="2214"/>
      <c r="D22" s="2215"/>
      <c r="E22" s="2215"/>
      <c r="F22" s="2216"/>
    </row>
    <row r="23" spans="1:11" ht="13.5" thickBot="1" x14ac:dyDescent="0.25">
      <c r="A23" s="2220" t="s">
        <v>654</v>
      </c>
      <c r="B23" s="2221"/>
      <c r="C23" s="581"/>
      <c r="D23" s="581"/>
      <c r="E23" s="581"/>
      <c r="F23" s="1776">
        <f>SUM(C23+D23)-E23</f>
        <v>0</v>
      </c>
      <c r="G23" s="552"/>
    </row>
    <row r="24" spans="1:11" ht="15.75" customHeight="1" thickTop="1" x14ac:dyDescent="0.2">
      <c r="A24" s="2232" t="s">
        <v>1175</v>
      </c>
      <c r="B24" s="2206"/>
      <c r="C24" s="2214"/>
      <c r="D24" s="2215"/>
      <c r="E24" s="2215"/>
      <c r="F24" s="2216"/>
    </row>
    <row r="25" spans="1:11" ht="13.5" thickBot="1" x14ac:dyDescent="0.25">
      <c r="A25" s="2220" t="s">
        <v>655</v>
      </c>
      <c r="B25" s="2221"/>
      <c r="C25" s="581"/>
      <c r="D25" s="581"/>
      <c r="E25" s="581"/>
      <c r="F25" s="1776">
        <f>SUM(C25+D25)-E25</f>
        <v>0</v>
      </c>
      <c r="G25" s="552"/>
    </row>
    <row r="26" spans="1:11" ht="15.75" customHeight="1" thickTop="1" x14ac:dyDescent="0.2">
      <c r="A26" s="2205" t="s">
        <v>678</v>
      </c>
      <c r="B26" s="2206"/>
      <c r="C26" s="728"/>
      <c r="D26" s="728"/>
      <c r="E26" s="728"/>
      <c r="F26" s="729"/>
    </row>
    <row r="27" spans="1:11" ht="13.5" thickBot="1" x14ac:dyDescent="0.25">
      <c r="A27" s="2207" t="s">
        <v>1130</v>
      </c>
      <c r="B27" s="2208"/>
      <c r="C27" s="585"/>
      <c r="D27" s="585"/>
      <c r="E27" s="585"/>
      <c r="F27" s="1776">
        <f>SUM(C27+D27)-E27</f>
        <v>0</v>
      </c>
      <c r="G27" s="552"/>
    </row>
    <row r="28" spans="1:11" ht="7.5" customHeight="1" thickTop="1" x14ac:dyDescent="0.2">
      <c r="A28" s="594"/>
    </row>
    <row r="29" spans="1:11" ht="23.25" customHeight="1" x14ac:dyDescent="0.2">
      <c r="A29" s="2233" t="s">
        <v>603</v>
      </c>
      <c r="B29" s="2210"/>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t="s">
        <v>2104</v>
      </c>
      <c r="B32" s="734">
        <v>41334</v>
      </c>
      <c r="C32" s="735">
        <v>155000</v>
      </c>
      <c r="D32" s="736">
        <v>4</v>
      </c>
      <c r="E32" s="735">
        <v>155000</v>
      </c>
      <c r="F32" s="735"/>
      <c r="G32" s="735"/>
      <c r="H32" s="735">
        <v>68000</v>
      </c>
      <c r="I32" s="1777">
        <f>((E32+F32)-H32)+G32</f>
        <v>87000</v>
      </c>
      <c r="J32" s="735">
        <v>65077</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t="s">
        <v>2105</v>
      </c>
      <c r="B34" s="734">
        <v>42129</v>
      </c>
      <c r="C34" s="735">
        <v>300000</v>
      </c>
      <c r="D34" s="736">
        <v>1</v>
      </c>
      <c r="E34" s="735">
        <v>300000</v>
      </c>
      <c r="F34" s="735"/>
      <c r="G34" s="735"/>
      <c r="H34" s="735"/>
      <c r="I34" s="1777">
        <f t="shared" si="1"/>
        <v>300000</v>
      </c>
      <c r="J34" s="735">
        <v>224402</v>
      </c>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455000</v>
      </c>
      <c r="D49" s="746"/>
      <c r="E49" s="1777">
        <f t="shared" ref="E49:J49" si="2">SUM(E31:E48)</f>
        <v>455000</v>
      </c>
      <c r="F49" s="1777">
        <f t="shared" si="2"/>
        <v>0</v>
      </c>
      <c r="G49" s="1777">
        <f t="shared" si="2"/>
        <v>0</v>
      </c>
      <c r="H49" s="1777">
        <f t="shared" si="2"/>
        <v>68000</v>
      </c>
      <c r="I49" s="1777">
        <f t="shared" si="2"/>
        <v>387000</v>
      </c>
      <c r="J49" s="1777">
        <f t="shared" si="2"/>
        <v>289479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4" t="s">
        <v>605</v>
      </c>
      <c r="C52" s="2225"/>
      <c r="D52" s="2225"/>
      <c r="E52" s="750" t="s">
        <v>900</v>
      </c>
      <c r="F52" s="2226"/>
      <c r="G52" s="2227"/>
      <c r="H52" s="737"/>
      <c r="I52" s="737"/>
      <c r="J52" s="747"/>
    </row>
    <row r="53" spans="1:11" ht="11.25" customHeight="1" x14ac:dyDescent="0.2">
      <c r="A53" s="751" t="s">
        <v>969</v>
      </c>
      <c r="B53" s="752" t="s">
        <v>1008</v>
      </c>
      <c r="C53" s="747"/>
      <c r="D53" s="738"/>
      <c r="E53" s="750" t="s">
        <v>518</v>
      </c>
      <c r="F53" s="2228"/>
      <c r="G53" s="2229"/>
      <c r="H53" s="737"/>
      <c r="I53" s="737"/>
      <c r="J53" s="747"/>
    </row>
    <row r="54" spans="1:11" ht="11.25" customHeight="1" x14ac:dyDescent="0.2">
      <c r="A54" s="753" t="s">
        <v>970</v>
      </c>
      <c r="B54" s="748" t="s">
        <v>1009</v>
      </c>
      <c r="C54" s="747"/>
      <c r="D54" s="738"/>
      <c r="E54" s="750" t="s">
        <v>519</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44" right="0.28000000000000003" top="0.35" bottom="0.32" header="0.17"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I38" sqref="I38:S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911</v>
      </c>
      <c r="B1" s="2259"/>
      <c r="C1" s="2259"/>
      <c r="D1" s="2259"/>
      <c r="E1" s="2259"/>
      <c r="F1" s="2259"/>
      <c r="G1" s="2260"/>
      <c r="H1" s="1552"/>
      <c r="I1" s="761"/>
      <c r="J1" s="433"/>
    </row>
    <row r="2" spans="1:11" ht="26.25" x14ac:dyDescent="0.2">
      <c r="A2" s="2237" t="s">
        <v>1776</v>
      </c>
      <c r="B2" s="2238"/>
      <c r="C2" s="2238"/>
      <c r="D2" s="2238"/>
      <c r="E2" s="2239"/>
      <c r="F2" s="762" t="s">
        <v>960</v>
      </c>
      <c r="G2" s="763" t="s">
        <v>1773</v>
      </c>
      <c r="H2" s="763" t="s">
        <v>430</v>
      </c>
      <c r="I2" s="763" t="s">
        <v>1220</v>
      </c>
      <c r="J2" s="763" t="s">
        <v>1919</v>
      </c>
      <c r="K2" s="763" t="s">
        <v>140</v>
      </c>
    </row>
    <row r="3" spans="1:11" x14ac:dyDescent="0.2">
      <c r="A3" s="2240" t="s">
        <v>1698</v>
      </c>
      <c r="B3" s="2241"/>
      <c r="C3" s="2241"/>
      <c r="D3" s="2241"/>
      <c r="E3" s="2242"/>
      <c r="F3" s="764"/>
      <c r="G3" s="765"/>
      <c r="H3" s="765">
        <v>0</v>
      </c>
      <c r="I3" s="765">
        <v>0</v>
      </c>
      <c r="J3" s="766">
        <v>0</v>
      </c>
      <c r="K3" s="766">
        <v>0</v>
      </c>
    </row>
    <row r="4" spans="1:11" x14ac:dyDescent="0.2">
      <c r="A4" s="2243" t="s">
        <v>387</v>
      </c>
      <c r="B4" s="2244"/>
      <c r="C4" s="2244"/>
      <c r="D4" s="2244"/>
      <c r="E4" s="2225"/>
      <c r="F4" s="767"/>
      <c r="G4" s="768"/>
      <c r="H4" s="769"/>
      <c r="I4" s="768"/>
      <c r="J4" s="770"/>
      <c r="K4" s="770"/>
    </row>
    <row r="5" spans="1:11" x14ac:dyDescent="0.2">
      <c r="A5" s="2261" t="s">
        <v>1129</v>
      </c>
      <c r="B5" s="2234"/>
      <c r="C5" s="2234"/>
      <c r="D5" s="2234"/>
      <c r="E5" s="2262"/>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1" t="s">
        <v>1920</v>
      </c>
      <c r="B10" s="2234"/>
      <c r="C10" s="2234"/>
      <c r="D10" s="2234"/>
      <c r="E10" s="2263"/>
      <c r="F10" s="784" t="s">
        <v>917</v>
      </c>
      <c r="G10" s="783"/>
      <c r="H10" s="785"/>
      <c r="I10" s="765"/>
      <c r="J10" s="766"/>
      <c r="K10" s="766"/>
    </row>
    <row r="11" spans="1:11" x14ac:dyDescent="0.2">
      <c r="A11" s="2261" t="s">
        <v>162</v>
      </c>
      <c r="B11" s="2234"/>
      <c r="C11" s="2234"/>
      <c r="D11" s="2234"/>
      <c r="E11" s="2262"/>
      <c r="F11" s="771" t="s">
        <v>907</v>
      </c>
      <c r="G11" s="772"/>
      <c r="H11" s="765"/>
      <c r="I11" s="765"/>
      <c r="J11" s="766"/>
      <c r="K11" s="774"/>
    </row>
    <row r="12" spans="1:11" ht="13.5" thickBot="1" x14ac:dyDescent="0.25">
      <c r="A12" s="2251" t="s">
        <v>961</v>
      </c>
      <c r="B12" s="2252"/>
      <c r="C12" s="2252"/>
      <c r="D12" s="2252"/>
      <c r="E12" s="2253"/>
      <c r="F12" s="1778"/>
      <c r="G12" s="1779">
        <f>SUM(G5:G11)</f>
        <v>0</v>
      </c>
      <c r="H12" s="1779">
        <f>SUM(H5:H11)</f>
        <v>0</v>
      </c>
      <c r="I12" s="1779">
        <f>SUM(I5:I11)</f>
        <v>0</v>
      </c>
      <c r="J12" s="1779">
        <f>SUM(J5:J11)</f>
        <v>0</v>
      </c>
      <c r="K12" s="1779">
        <f>SUM(K5:K11)</f>
        <v>0</v>
      </c>
    </row>
    <row r="13" spans="1:11" ht="13.5" thickTop="1" x14ac:dyDescent="0.2">
      <c r="A13" s="2245" t="s">
        <v>388</v>
      </c>
      <c r="B13" s="2246"/>
      <c r="C13" s="2246"/>
      <c r="D13" s="2246"/>
      <c r="E13" s="2247"/>
      <c r="F13" s="786"/>
      <c r="G13" s="787"/>
      <c r="H13" s="788"/>
      <c r="I13" s="789"/>
      <c r="J13" s="789"/>
      <c r="K13" s="789"/>
    </row>
    <row r="14" spans="1:11" x14ac:dyDescent="0.2">
      <c r="A14" s="2267" t="s">
        <v>476</v>
      </c>
      <c r="B14" s="2267"/>
      <c r="C14" s="2267"/>
      <c r="D14" s="2267"/>
      <c r="E14" s="2268"/>
      <c r="F14" s="790" t="s">
        <v>909</v>
      </c>
      <c r="G14" s="783"/>
      <c r="H14" s="765"/>
      <c r="I14" s="772"/>
      <c r="J14" s="774"/>
      <c r="K14" s="766"/>
    </row>
    <row r="15" spans="1:11" x14ac:dyDescent="0.2">
      <c r="A15" s="2234" t="s">
        <v>4</v>
      </c>
      <c r="B15" s="2234"/>
      <c r="C15" s="2234"/>
      <c r="D15" s="2234"/>
      <c r="E15" s="2262"/>
      <c r="F15" s="790" t="s">
        <v>910</v>
      </c>
      <c r="G15" s="772"/>
      <c r="H15" s="765"/>
      <c r="I15" s="765"/>
      <c r="J15" s="766"/>
      <c r="K15" s="766"/>
    </row>
    <row r="16" spans="1:11" x14ac:dyDescent="0.2">
      <c r="A16" s="2234" t="s">
        <v>316</v>
      </c>
      <c r="B16" s="2234"/>
      <c r="C16" s="2234"/>
      <c r="D16" s="2234"/>
      <c r="E16" s="2262"/>
      <c r="F16" s="790" t="s">
        <v>980</v>
      </c>
      <c r="G16" s="773"/>
      <c r="H16" s="768"/>
      <c r="I16" s="768"/>
      <c r="J16" s="770"/>
      <c r="K16" s="770"/>
    </row>
    <row r="17" spans="1:11" x14ac:dyDescent="0.2">
      <c r="A17" s="2256" t="s">
        <v>992</v>
      </c>
      <c r="B17" s="2256"/>
      <c r="C17" s="2256"/>
      <c r="D17" s="2256"/>
      <c r="E17" s="2257"/>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69" t="s">
        <v>1916</v>
      </c>
      <c r="B19" s="2269"/>
      <c r="C19" s="2269"/>
      <c r="D19" s="2269"/>
      <c r="E19" s="2270"/>
      <c r="F19" s="790" t="s">
        <v>990</v>
      </c>
      <c r="G19" s="783"/>
      <c r="H19" s="783"/>
      <c r="I19" s="783"/>
      <c r="J19" s="766"/>
      <c r="K19" s="796"/>
    </row>
    <row r="20" spans="1:11" x14ac:dyDescent="0.2">
      <c r="A20" s="2248" t="s">
        <v>1921</v>
      </c>
      <c r="B20" s="2249"/>
      <c r="C20" s="2249"/>
      <c r="D20" s="2249"/>
      <c r="E20" s="2250"/>
      <c r="F20" s="790" t="s">
        <v>991</v>
      </c>
      <c r="G20" s="783"/>
      <c r="H20" s="783"/>
      <c r="I20" s="783"/>
      <c r="J20" s="766"/>
      <c r="K20" s="796"/>
    </row>
    <row r="21" spans="1:11" ht="13.5" thickBot="1" x14ac:dyDescent="0.25">
      <c r="A21" s="2254" t="s">
        <v>659</v>
      </c>
      <c r="B21" s="2254"/>
      <c r="C21" s="2254"/>
      <c r="D21" s="2254"/>
      <c r="E21" s="2254"/>
      <c r="F21" s="1780"/>
      <c r="G21" s="793"/>
      <c r="H21" s="797"/>
      <c r="I21" s="797"/>
      <c r="J21" s="1781">
        <f>SUM(J18:J20)</f>
        <v>0</v>
      </c>
      <c r="K21" s="794"/>
    </row>
    <row r="22" spans="1:11" ht="13.5" thickTop="1" x14ac:dyDescent="0.2">
      <c r="A22" s="2234" t="s">
        <v>1922</v>
      </c>
      <c r="B22" s="2234"/>
      <c r="C22" s="2234"/>
      <c r="D22" s="2234"/>
      <c r="E22" s="2262"/>
      <c r="F22" s="790" t="s">
        <v>917</v>
      </c>
      <c r="G22" s="783"/>
      <c r="H22" s="765"/>
      <c r="I22" s="765"/>
      <c r="J22" s="798"/>
      <c r="K22" s="766"/>
    </row>
    <row r="23" spans="1:11" ht="13.5" thickBot="1" x14ac:dyDescent="0.25">
      <c r="A23" s="2255" t="s">
        <v>962</v>
      </c>
      <c r="B23" s="2254"/>
      <c r="C23" s="2254"/>
      <c r="D23" s="2254"/>
      <c r="E23" s="2254"/>
      <c r="F23" s="1782"/>
      <c r="G23" s="1779">
        <f>SUM(G14:G16,G21,G22)</f>
        <v>0</v>
      </c>
      <c r="H23" s="1779">
        <f>SUM(H14:H16,H21,H22)</f>
        <v>0</v>
      </c>
      <c r="I23" s="1779">
        <f>SUM(I14:I16,I21,I22)</f>
        <v>0</v>
      </c>
      <c r="J23" s="1779">
        <f>SUM(J14:J16,J21,J22)</f>
        <v>0</v>
      </c>
      <c r="K23" s="1779">
        <f>SUM(K14:K16,K21,K22)</f>
        <v>0</v>
      </c>
    </row>
    <row r="24" spans="1:11" ht="14.25" thickTop="1" thickBot="1" x14ac:dyDescent="0.25">
      <c r="A24" s="2255" t="s">
        <v>2026</v>
      </c>
      <c r="B24" s="2254"/>
      <c r="C24" s="2254"/>
      <c r="D24" s="2254"/>
      <c r="E24" s="2254"/>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4"/>
      <c r="I31" s="2265"/>
      <c r="J31" s="2265"/>
      <c r="K31" s="2265"/>
    </row>
    <row r="32" spans="1:11" x14ac:dyDescent="0.2">
      <c r="A32" s="810"/>
      <c r="B32" s="237"/>
      <c r="C32" s="237"/>
      <c r="D32" s="237"/>
      <c r="E32" s="806"/>
      <c r="F32" s="812" t="s">
        <v>561</v>
      </c>
      <c r="G32" s="765"/>
      <c r="H32" s="2266"/>
      <c r="I32" s="2265"/>
      <c r="J32" s="2265"/>
      <c r="K32" s="2265"/>
    </row>
    <row r="33" spans="1:11" ht="1.5" customHeight="1" x14ac:dyDescent="0.2">
      <c r="A33" s="813" t="s">
        <v>1231</v>
      </c>
      <c r="B33" s="364"/>
      <c r="C33" s="364"/>
      <c r="D33" s="364"/>
      <c r="E33" s="364"/>
      <c r="F33" s="364"/>
      <c r="G33" s="814"/>
      <c r="H33" s="2266"/>
      <c r="I33" s="2265"/>
      <c r="J33" s="2265"/>
      <c r="K33" s="226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35"/>
      <c r="C41" s="2235"/>
      <c r="D41" s="2235"/>
      <c r="E41" s="2235"/>
      <c r="F41" s="223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42" right="0.2" top="0.66" bottom="0.35" header="0.21"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38" sqref="I38:S3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2035</v>
      </c>
      <c r="B1" s="2274"/>
      <c r="C1" s="2275"/>
      <c r="D1" s="827"/>
      <c r="E1" s="828"/>
      <c r="F1" s="828"/>
      <c r="G1" s="829"/>
      <c r="H1" s="830"/>
      <c r="I1" s="831"/>
      <c r="J1" s="2271"/>
      <c r="K1" s="2272"/>
      <c r="L1" s="2272"/>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13324</v>
      </c>
      <c r="D5" s="842"/>
      <c r="E5" s="842"/>
      <c r="F5" s="1781">
        <f>(C5+D5)-E5</f>
        <v>13324</v>
      </c>
      <c r="G5" s="838"/>
      <c r="H5" s="843"/>
      <c r="I5" s="843"/>
      <c r="J5" s="843"/>
      <c r="K5" s="794"/>
      <c r="L5" s="1790">
        <f>F5-K5</f>
        <v>13324</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4827081</v>
      </c>
      <c r="D8" s="845"/>
      <c r="E8" s="845"/>
      <c r="F8" s="1781">
        <f>(C8+D8)-E8</f>
        <v>4827081</v>
      </c>
      <c r="G8" s="844">
        <v>50</v>
      </c>
      <c r="H8" s="766">
        <v>2286402</v>
      </c>
      <c r="I8" s="766">
        <v>101173</v>
      </c>
      <c r="J8" s="766"/>
      <c r="K8" s="1790">
        <f>(H8+I8)-J8</f>
        <v>2387575</v>
      </c>
      <c r="L8" s="1790">
        <f>F8-K8</f>
        <v>2439506</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121626</v>
      </c>
      <c r="D10" s="847"/>
      <c r="E10" s="847"/>
      <c r="F10" s="1785">
        <f>(C10+D10)-E10</f>
        <v>121626</v>
      </c>
      <c r="G10" s="844">
        <v>20</v>
      </c>
      <c r="H10" s="848">
        <v>77508</v>
      </c>
      <c r="I10" s="848">
        <v>4718</v>
      </c>
      <c r="J10" s="848"/>
      <c r="K10" s="1790">
        <f>(H10+I10)-J10</f>
        <v>82226</v>
      </c>
      <c r="L10" s="1790">
        <f>F10-K10</f>
        <v>39400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614669</v>
      </c>
      <c r="D12" s="845">
        <v>33705</v>
      </c>
      <c r="E12" s="845">
        <v>23403</v>
      </c>
      <c r="F12" s="1781">
        <f>(C12+D12)-E12</f>
        <v>624971</v>
      </c>
      <c r="G12" s="844">
        <v>10</v>
      </c>
      <c r="H12" s="766">
        <v>520202</v>
      </c>
      <c r="I12" s="766">
        <v>20401</v>
      </c>
      <c r="J12" s="766">
        <v>23403</v>
      </c>
      <c r="K12" s="1790">
        <f>(H12+I12)-J12</f>
        <v>517200</v>
      </c>
      <c r="L12" s="1790">
        <f>F12-K12</f>
        <v>107771</v>
      </c>
    </row>
    <row r="13" spans="1:14" ht="14.25" thickTop="1" thickBot="1" x14ac:dyDescent="0.25">
      <c r="A13" s="849" t="s">
        <v>1184</v>
      </c>
      <c r="B13" s="841">
        <v>252</v>
      </c>
      <c r="C13" s="845">
        <v>91840</v>
      </c>
      <c r="D13" s="845"/>
      <c r="E13" s="845"/>
      <c r="F13" s="1781">
        <f>(C13+D13)-E13</f>
        <v>91840</v>
      </c>
      <c r="G13" s="844">
        <v>5</v>
      </c>
      <c r="H13" s="766">
        <v>91840</v>
      </c>
      <c r="I13" s="766"/>
      <c r="J13" s="766"/>
      <c r="K13" s="1790">
        <f>(H13+I13)-J13</f>
        <v>91840</v>
      </c>
      <c r="L13" s="1790">
        <f>F13-K13</f>
        <v>0</v>
      </c>
    </row>
    <row r="14" spans="1:14" ht="14.25" thickTop="1" thickBot="1" x14ac:dyDescent="0.25">
      <c r="A14" s="849" t="s">
        <v>1185</v>
      </c>
      <c r="B14" s="841">
        <v>253</v>
      </c>
      <c r="C14" s="766">
        <v>3147</v>
      </c>
      <c r="D14" s="766"/>
      <c r="E14" s="766"/>
      <c r="F14" s="1781">
        <f>(C14+D14)-E14</f>
        <v>3147</v>
      </c>
      <c r="G14" s="844">
        <v>3</v>
      </c>
      <c r="H14" s="766">
        <v>3147</v>
      </c>
      <c r="I14" s="766"/>
      <c r="J14" s="766"/>
      <c r="K14" s="1790">
        <f>(H14+I14)-J14</f>
        <v>3147</v>
      </c>
      <c r="L14" s="1790">
        <f>F14-K14</f>
        <v>0</v>
      </c>
    </row>
    <row r="15" spans="1:14" ht="15" customHeight="1" thickTop="1" thickBot="1" x14ac:dyDescent="0.25">
      <c r="A15" s="1653" t="s">
        <v>549</v>
      </c>
      <c r="B15" s="1652">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5671687</v>
      </c>
      <c r="D16" s="1781">
        <f>SUM(D3,D5:D6,D8:D10,D12:D15)</f>
        <v>33705</v>
      </c>
      <c r="E16" s="1781">
        <f>SUM(E3,E5:E6,E8:E10,E12:E15)</f>
        <v>23403</v>
      </c>
      <c r="F16" s="1781">
        <f>SUM(F3,F5:F6,F8:F10,F12:F15)</f>
        <v>5681989</v>
      </c>
      <c r="G16" s="844"/>
      <c r="H16" s="1781">
        <f>SUM(H3,H6,H8:H10,H12:H14,)</f>
        <v>2979099</v>
      </c>
      <c r="I16" s="1781">
        <f>SUM(I3,I6,I8:I10,I12:I14,)</f>
        <v>126292</v>
      </c>
      <c r="J16" s="1781">
        <f>SUM(J3,J6,J8:J10,J12:J14,)</f>
        <v>23403</v>
      </c>
      <c r="K16" s="1781">
        <f>(H16+I16)-J16</f>
        <v>3081988</v>
      </c>
      <c r="L16" s="1781">
        <f>F16-K16</f>
        <v>2600001</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126292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36" right="0.17" top="1.1000000000000001" bottom="0.52" header="0.19"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I38" sqref="I38:S38"/>
      <selection pane="bottomLeft" activeCell="I38" sqref="I38:S3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2193413</v>
      </c>
      <c r="G8" s="866"/>
    </row>
    <row r="9" spans="1:7" x14ac:dyDescent="0.2">
      <c r="A9" s="870" t="s">
        <v>480</v>
      </c>
      <c r="B9" s="871" t="s">
        <v>1989</v>
      </c>
      <c r="C9" s="872"/>
      <c r="D9" s="870" t="s">
        <v>522</v>
      </c>
      <c r="E9" s="869"/>
      <c r="F9" s="1933">
        <f>'Expenditures 15-22'!K151</f>
        <v>10486</v>
      </c>
      <c r="G9" s="873"/>
    </row>
    <row r="10" spans="1:7" x14ac:dyDescent="0.2">
      <c r="A10" s="870" t="s">
        <v>520</v>
      </c>
      <c r="B10" s="871" t="s">
        <v>1990</v>
      </c>
      <c r="C10" s="872"/>
      <c r="D10" s="870" t="s">
        <v>522</v>
      </c>
      <c r="E10" s="869"/>
      <c r="F10" s="1933">
        <f>'Expenditures 15-22'!K174</f>
        <v>91751</v>
      </c>
      <c r="G10" s="873"/>
    </row>
    <row r="11" spans="1:7" x14ac:dyDescent="0.2">
      <c r="A11" s="870" t="s">
        <v>481</v>
      </c>
      <c r="B11" s="871" t="s">
        <v>1991</v>
      </c>
      <c r="C11" s="872"/>
      <c r="D11" s="870" t="s">
        <v>522</v>
      </c>
      <c r="E11" s="869"/>
      <c r="F11" s="1933">
        <f>'Expenditures 15-22'!K210</f>
        <v>60471</v>
      </c>
      <c r="G11" s="873"/>
    </row>
    <row r="12" spans="1:7" x14ac:dyDescent="0.2">
      <c r="A12" s="870" t="s">
        <v>482</v>
      </c>
      <c r="B12" s="871" t="s">
        <v>1992</v>
      </c>
      <c r="C12" s="872"/>
      <c r="D12" s="870" t="s">
        <v>522</v>
      </c>
      <c r="E12" s="869"/>
      <c r="F12" s="1933">
        <f>'Expenditures 15-22'!K295</f>
        <v>86762</v>
      </c>
      <c r="G12" s="873"/>
    </row>
    <row r="13" spans="1:7" x14ac:dyDescent="0.2">
      <c r="A13" s="870" t="s">
        <v>108</v>
      </c>
      <c r="B13" s="871" t="s">
        <v>1993</v>
      </c>
      <c r="C13" s="872"/>
      <c r="D13" s="870" t="s">
        <v>522</v>
      </c>
      <c r="E13" s="869"/>
      <c r="F13" s="1933">
        <f>'Expenditures 15-22'!K342</f>
        <v>11679</v>
      </c>
      <c r="G13" s="874"/>
    </row>
    <row r="14" spans="1:7" ht="12" customHeight="1" thickBot="1" x14ac:dyDescent="0.25">
      <c r="A14" s="1791"/>
      <c r="B14" s="1792"/>
      <c r="C14" s="1793"/>
      <c r="D14" s="1794" t="s">
        <v>522</v>
      </c>
      <c r="E14" s="1795" t="s">
        <v>1015</v>
      </c>
      <c r="F14" s="1796">
        <f>SUM(F8:F13)</f>
        <v>2454562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3644</v>
      </c>
      <c r="G52" s="866"/>
    </row>
    <row r="53" spans="1:7" x14ac:dyDescent="0.2">
      <c r="A53" s="870" t="s">
        <v>479</v>
      </c>
      <c r="B53" s="870" t="s">
        <v>1551</v>
      </c>
      <c r="C53" s="890">
        <f>'Expenditures 15-22'!B102</f>
        <v>4000</v>
      </c>
      <c r="D53" s="889" t="str">
        <f>'Expenditures 15-22'!A102</f>
        <v>Total Payments to Other Govt Units</v>
      </c>
      <c r="E53" s="869"/>
      <c r="F53" s="1937">
        <f>'Expenditures 15-22'!K102</f>
        <v>158642</v>
      </c>
      <c r="G53" s="866"/>
    </row>
    <row r="54" spans="1:7" x14ac:dyDescent="0.2">
      <c r="A54" s="870" t="s">
        <v>479</v>
      </c>
      <c r="B54" s="870" t="s">
        <v>1552</v>
      </c>
      <c r="C54" s="890" t="s">
        <v>1039</v>
      </c>
      <c r="D54" s="886" t="s">
        <v>1157</v>
      </c>
      <c r="E54" s="869"/>
      <c r="F54" s="1937">
        <f>'Expenditures 15-22'!G114</f>
        <v>33705</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0</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68000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0</v>
      </c>
      <c r="G64" s="866"/>
    </row>
    <row r="65" spans="1:8" x14ac:dyDescent="0.2">
      <c r="A65" s="870" t="s">
        <v>481</v>
      </c>
      <c r="B65" s="870" t="s">
        <v>2002</v>
      </c>
      <c r="C65" s="887" t="s">
        <v>1039</v>
      </c>
      <c r="D65" s="886" t="s">
        <v>1157</v>
      </c>
      <c r="E65" s="869"/>
      <c r="F65" s="1937">
        <f>'Expenditures 15-22'!G210</f>
        <v>0</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263991</v>
      </c>
      <c r="G76" s="866"/>
    </row>
    <row r="77" spans="1:8" s="894" customFormat="1" ht="12" customHeight="1" thickTop="1" thickBot="1" x14ac:dyDescent="0.25">
      <c r="A77" s="1800"/>
      <c r="B77" s="1797"/>
      <c r="C77" s="1793"/>
      <c r="D77" s="1798" t="s">
        <v>2012</v>
      </c>
      <c r="E77" s="1795"/>
      <c r="F77" s="1801">
        <f>(F14-F76)</f>
        <v>2190571</v>
      </c>
      <c r="G77" s="870"/>
    </row>
    <row r="78" spans="1:8" s="894" customFormat="1" ht="12" customHeight="1" thickTop="1" x14ac:dyDescent="0.2">
      <c r="A78" s="1802"/>
      <c r="B78" s="1797"/>
      <c r="C78" s="1793"/>
      <c r="D78" s="1798" t="s">
        <v>2059</v>
      </c>
      <c r="E78" s="1795"/>
      <c r="F78" s="899">
        <v>308.12</v>
      </c>
      <c r="G78" s="900"/>
      <c r="H78" s="870"/>
    </row>
    <row r="79" spans="1:8" s="894" customFormat="1" ht="12" customHeight="1" thickBot="1" x14ac:dyDescent="0.25">
      <c r="A79" s="1803"/>
      <c r="B79" s="1797"/>
      <c r="C79" s="1793"/>
      <c r="D79" s="1798" t="s">
        <v>2013</v>
      </c>
      <c r="E79" s="1795" t="s">
        <v>1015</v>
      </c>
      <c r="F79" s="1804">
        <f>IF(F78&gt;0,F77/F78," Complete Line 78")</f>
        <v>7109.4735817214068</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38357</v>
      </c>
      <c r="G94" s="913"/>
    </row>
    <row r="95" spans="1:7" x14ac:dyDescent="0.2">
      <c r="A95" s="909" t="s">
        <v>142</v>
      </c>
      <c r="B95" s="909" t="s">
        <v>177</v>
      </c>
      <c r="C95" s="911">
        <v>1700</v>
      </c>
      <c r="D95" s="919" t="str">
        <f>'Revenues 9-14'!A82</f>
        <v>Total District/School Activity Income</v>
      </c>
      <c r="E95" s="907"/>
      <c r="F95" s="1810">
        <f>SUM('Revenues 9-14'!C82,'Revenues 9-14'!D82)</f>
        <v>0</v>
      </c>
      <c r="G95" s="913"/>
    </row>
    <row r="96" spans="1:7" x14ac:dyDescent="0.2">
      <c r="A96" s="909" t="s">
        <v>479</v>
      </c>
      <c r="B96" s="909" t="s">
        <v>178</v>
      </c>
      <c r="C96" s="911">
        <f>'Revenues 9-14'!B84</f>
        <v>1811</v>
      </c>
      <c r="D96" s="912" t="str">
        <f>'Revenues 9-14'!A84</f>
        <v>Rentals - Regular Textbooks</v>
      </c>
      <c r="E96" s="907"/>
      <c r="F96" s="1810">
        <f>'Revenues 9-14'!C84</f>
        <v>2695</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73338</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3566</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31474</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7224</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229886</v>
      </c>
      <c r="G129" s="931"/>
    </row>
    <row r="130" spans="1:7" x14ac:dyDescent="0.2">
      <c r="A130" s="928" t="s">
        <v>689</v>
      </c>
      <c r="B130" s="928" t="s">
        <v>804</v>
      </c>
      <c r="C130" s="933">
        <v>4300</v>
      </c>
      <c r="D130" s="934" t="str">
        <f>'Revenues 9-14'!A211</f>
        <v>Total Title I</v>
      </c>
      <c r="E130" s="907"/>
      <c r="F130" s="1810">
        <f>SUM('Revenues 9-14'!C211,'Revenues 9-14'!D211,'Revenues 9-14'!F211,'Revenues 9-14'!G211)</f>
        <v>78803</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9737</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16815</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5233</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14280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511408</v>
      </c>
    </row>
    <row r="179" spans="1:7" ht="12" customHeight="1" x14ac:dyDescent="0.2">
      <c r="A179" s="1791"/>
      <c r="B179" s="1805"/>
      <c r="C179" s="1806"/>
      <c r="D179" s="1807" t="s">
        <v>2015</v>
      </c>
      <c r="E179" s="1808"/>
      <c r="F179" s="1810">
        <f>'PCTC-OEPP 27-28'!F77-F178</f>
        <v>1679163</v>
      </c>
    </row>
    <row r="180" spans="1:7" ht="12" customHeight="1" x14ac:dyDescent="0.2">
      <c r="A180" s="1791"/>
      <c r="B180" s="1805"/>
      <c r="C180" s="1806"/>
      <c r="D180" s="1807" t="s">
        <v>1924</v>
      </c>
      <c r="E180" s="1808"/>
      <c r="F180" s="1810">
        <f>'Cap Outlay Deprec 26'!I18</f>
        <v>126292</v>
      </c>
    </row>
    <row r="181" spans="1:7" ht="12" customHeight="1" x14ac:dyDescent="0.2">
      <c r="A181" s="1791"/>
      <c r="B181" s="1805"/>
      <c r="C181" s="1806"/>
      <c r="D181" s="1807" t="s">
        <v>2016</v>
      </c>
      <c r="E181" s="1808"/>
      <c r="F181" s="1810">
        <f>F179+F180</f>
        <v>1805455</v>
      </c>
    </row>
    <row r="182" spans="1:7" ht="12" customHeight="1" x14ac:dyDescent="0.2">
      <c r="A182" s="1791"/>
      <c r="B182" s="1811"/>
      <c r="C182" s="1806"/>
      <c r="D182" s="1807" t="str">
        <f>D78</f>
        <v>9 Month ADA from District Average Daily Attendance/Prior General State Aid Inquiry 2017-2018</v>
      </c>
      <c r="E182" s="1808"/>
      <c r="F182" s="1812">
        <f>'PCTC-OEPP 27-28'!F78</f>
        <v>308.12</v>
      </c>
      <c r="G182" s="931"/>
    </row>
    <row r="183" spans="1:7" ht="12" customHeight="1" thickBot="1" x14ac:dyDescent="0.25">
      <c r="A183" s="1791"/>
      <c r="B183" s="1811"/>
      <c r="C183" s="1806"/>
      <c r="D183" s="1807" t="s">
        <v>2017</v>
      </c>
      <c r="E183" s="1808" t="s">
        <v>1626</v>
      </c>
      <c r="F183" s="1813">
        <f>F181/F182</f>
        <v>5859.5839283396081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pane ySplit="16" topLeftCell="A17" activePane="bottomLeft" state="frozen"/>
      <selection activeCell="I38" sqref="I38:S38"/>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6" t="s">
        <v>1926</v>
      </c>
      <c r="B6" s="1557"/>
      <c r="C6" s="1557"/>
      <c r="D6" s="1557"/>
      <c r="E6" s="1557"/>
      <c r="F6" s="1557"/>
      <c r="G6" s="1558"/>
    </row>
    <row r="7" spans="1:7" ht="30.75" customHeight="1" x14ac:dyDescent="0.25">
      <c r="A7" s="2296" t="s">
        <v>2075</v>
      </c>
      <c r="B7" s="2297"/>
      <c r="C7" s="2297"/>
      <c r="D7" s="2297"/>
      <c r="E7" s="2297"/>
      <c r="F7" s="2297"/>
      <c r="G7" s="2298"/>
    </row>
    <row r="8" spans="1:7" ht="15.75" customHeight="1" x14ac:dyDescent="0.25">
      <c r="A8" s="2299" t="s">
        <v>2024</v>
      </c>
      <c r="B8" s="2300"/>
      <c r="C8" s="2300"/>
      <c r="D8" s="2300"/>
      <c r="E8" s="2300"/>
      <c r="F8" s="2300"/>
      <c r="G8" s="2301"/>
    </row>
    <row r="9" spans="1:7" ht="35.25" customHeight="1" x14ac:dyDescent="0.25">
      <c r="A9" s="2296" t="s">
        <v>2023</v>
      </c>
      <c r="B9" s="2297"/>
      <c r="C9" s="2297"/>
      <c r="D9" s="2297"/>
      <c r="E9" s="2297"/>
      <c r="F9" s="2297"/>
      <c r="G9" s="2298"/>
    </row>
    <row r="10" spans="1:7" ht="15" customHeight="1" x14ac:dyDescent="0.25">
      <c r="A10" s="1559" t="s">
        <v>1927</v>
      </c>
      <c r="B10" s="1560"/>
      <c r="C10" s="1560"/>
      <c r="D10" s="1560"/>
      <c r="E10" s="1560"/>
      <c r="F10" s="1560"/>
      <c r="G10" s="1561"/>
    </row>
    <row r="11" spans="1:7" ht="17.25" customHeight="1" x14ac:dyDescent="0.25">
      <c r="A11" s="2296" t="s">
        <v>1941</v>
      </c>
      <c r="B11" s="2297"/>
      <c r="C11" s="2297"/>
      <c r="D11" s="2297"/>
      <c r="E11" s="2297"/>
      <c r="F11" s="2297"/>
      <c r="G11" s="2298"/>
    </row>
    <row r="12" spans="1:7" ht="15" customHeight="1" x14ac:dyDescent="0.25">
      <c r="A12" s="1559" t="s">
        <v>1932</v>
      </c>
      <c r="B12" s="1560"/>
      <c r="C12" s="1560"/>
      <c r="D12" s="1560"/>
      <c r="E12" s="1560"/>
      <c r="F12" s="1560"/>
      <c r="G12" s="1561"/>
    </row>
    <row r="13" spans="1:7" ht="32.25" customHeight="1" x14ac:dyDescent="0.25">
      <c r="A13" s="2287" t="s">
        <v>1933</v>
      </c>
      <c r="B13" s="2288"/>
      <c r="C13" s="2288"/>
      <c r="D13" s="2288"/>
      <c r="E13" s="2288"/>
      <c r="F13" s="2288"/>
      <c r="G13" s="2289"/>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2106</v>
      </c>
      <c r="B17" s="1959" t="s">
        <v>2107</v>
      </c>
      <c r="C17" s="1960" t="s">
        <v>2108</v>
      </c>
      <c r="D17" s="1865">
        <v>4199</v>
      </c>
      <c r="E17" s="1562">
        <f t="shared" ref="E17:E30" si="1">IF(D17&lt;=25000,D17,IF(D17&gt;25000,25000,0))</f>
        <v>4199</v>
      </c>
      <c r="F17" s="1814">
        <f t="shared" si="0"/>
        <v>4199</v>
      </c>
      <c r="G17" s="1815">
        <f>IF(F17=0,0,D17-F17)</f>
        <v>0</v>
      </c>
      <c r="H17" s="1669"/>
    </row>
    <row r="18" spans="1:8" x14ac:dyDescent="0.25">
      <c r="A18" s="1958" t="s">
        <v>2106</v>
      </c>
      <c r="B18" s="1959" t="s">
        <v>2107</v>
      </c>
      <c r="C18" s="1960" t="s">
        <v>2109</v>
      </c>
      <c r="D18" s="1865">
        <v>2729</v>
      </c>
      <c r="E18" s="1562">
        <f t="shared" ref="E18:E29" si="2">IF(D18&lt;=25000,D18,IF(D18&gt;25000,25000,0))</f>
        <v>2729</v>
      </c>
      <c r="F18" s="1814">
        <f t="shared" ref="F18:F2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2729</v>
      </c>
      <c r="G18" s="1815">
        <f t="shared" ref="G18:G29" si="4">IF(F18=0,0,D18-F18)</f>
        <v>0</v>
      </c>
    </row>
    <row r="19" spans="1:8" x14ac:dyDescent="0.25">
      <c r="A19" s="1955"/>
      <c r="B19" s="1956"/>
      <c r="C19" s="1957"/>
      <c r="D19" s="1865"/>
      <c r="E19" s="1562">
        <f t="shared" si="2"/>
        <v>0</v>
      </c>
      <c r="F19" s="1814">
        <f t="shared" si="3"/>
        <v>0</v>
      </c>
      <c r="G19" s="1815">
        <f t="shared" si="4"/>
        <v>0</v>
      </c>
    </row>
    <row r="20" spans="1:8" x14ac:dyDescent="0.25">
      <c r="A20" s="1675"/>
      <c r="B20" s="1866"/>
      <c r="C20" s="1677"/>
      <c r="D20" s="1865"/>
      <c r="E20" s="1562">
        <f t="shared" si="2"/>
        <v>0</v>
      </c>
      <c r="F20" s="1814">
        <f t="shared" si="3"/>
        <v>0</v>
      </c>
      <c r="G20" s="1815">
        <f t="shared" si="4"/>
        <v>0</v>
      </c>
    </row>
    <row r="21" spans="1:8" x14ac:dyDescent="0.25">
      <c r="A21" s="1675"/>
      <c r="B21" s="1866"/>
      <c r="C21" s="1677"/>
      <c r="D21" s="1865"/>
      <c r="E21" s="1562">
        <f t="shared" si="2"/>
        <v>0</v>
      </c>
      <c r="F21" s="1814">
        <f t="shared" si="3"/>
        <v>0</v>
      </c>
      <c r="G21" s="1815">
        <f t="shared" si="4"/>
        <v>0</v>
      </c>
    </row>
    <row r="22" spans="1:8" x14ac:dyDescent="0.25">
      <c r="A22" s="1675"/>
      <c r="B22" s="1866"/>
      <c r="C22" s="1677"/>
      <c r="D22" s="1865"/>
      <c r="E22" s="1562">
        <f t="shared" si="2"/>
        <v>0</v>
      </c>
      <c r="F22" s="1814">
        <f t="shared" si="3"/>
        <v>0</v>
      </c>
      <c r="G22" s="1815">
        <f t="shared" si="4"/>
        <v>0</v>
      </c>
    </row>
    <row r="23" spans="1:8" x14ac:dyDescent="0.25">
      <c r="A23" s="1675"/>
      <c r="B23" s="1866"/>
      <c r="C23" s="1677"/>
      <c r="D23" s="1865"/>
      <c r="E23" s="1562">
        <f t="shared" si="2"/>
        <v>0</v>
      </c>
      <c r="F23" s="1814">
        <f t="shared" si="3"/>
        <v>0</v>
      </c>
      <c r="G23" s="1815">
        <f t="shared" si="4"/>
        <v>0</v>
      </c>
    </row>
    <row r="24" spans="1:8" x14ac:dyDescent="0.25">
      <c r="A24" s="1675"/>
      <c r="B24" s="1867"/>
      <c r="C24" s="1677"/>
      <c r="D24" s="1865"/>
      <c r="E24" s="1562">
        <f t="shared" si="2"/>
        <v>0</v>
      </c>
      <c r="F24" s="1814">
        <f t="shared" si="3"/>
        <v>0</v>
      </c>
      <c r="G24" s="1815">
        <f t="shared" si="4"/>
        <v>0</v>
      </c>
    </row>
    <row r="25" spans="1:8" x14ac:dyDescent="0.25">
      <c r="A25" s="1675"/>
      <c r="B25" s="1866"/>
      <c r="C25" s="1677"/>
      <c r="D25" s="1865"/>
      <c r="E25" s="1562">
        <f t="shared" si="2"/>
        <v>0</v>
      </c>
      <c r="F25" s="1814">
        <f t="shared" si="3"/>
        <v>0</v>
      </c>
      <c r="G25" s="1815">
        <f t="shared" si="4"/>
        <v>0</v>
      </c>
    </row>
    <row r="26" spans="1:8" x14ac:dyDescent="0.25">
      <c r="A26" s="1675"/>
      <c r="B26" s="1867"/>
      <c r="C26" s="1676"/>
      <c r="D26" s="1865"/>
      <c r="E26" s="1562">
        <f t="shared" si="2"/>
        <v>0</v>
      </c>
      <c r="F26" s="1814">
        <f t="shared" si="3"/>
        <v>0</v>
      </c>
      <c r="G26" s="1815">
        <f t="shared" si="4"/>
        <v>0</v>
      </c>
    </row>
    <row r="27" spans="1:8" x14ac:dyDescent="0.25">
      <c r="A27" s="1675"/>
      <c r="B27" s="1688"/>
      <c r="C27" s="1676"/>
      <c r="D27" s="1865"/>
      <c r="E27" s="1562">
        <f t="shared" ref="E27:E28" si="5">IF(D27&lt;=25000,D27,IF(D27&gt;25000,25000,0))</f>
        <v>0</v>
      </c>
      <c r="F27" s="1814">
        <f t="shared" ref="F27:F28" si="6">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815">
        <f t="shared" ref="G27:G28" si="7">IF(F27=0,0,D27-F27)</f>
        <v>0</v>
      </c>
    </row>
    <row r="28" spans="1:8" x14ac:dyDescent="0.25">
      <c r="A28" s="1675"/>
      <c r="B28" s="1688"/>
      <c r="C28" s="1676"/>
      <c r="D28" s="1865"/>
      <c r="E28" s="1562">
        <f t="shared" si="5"/>
        <v>0</v>
      </c>
      <c r="F28" s="1814">
        <f t="shared" si="6"/>
        <v>0</v>
      </c>
      <c r="G28" s="1815">
        <f t="shared" si="7"/>
        <v>0</v>
      </c>
    </row>
    <row r="29" spans="1:8" x14ac:dyDescent="0.25">
      <c r="A29" s="1675"/>
      <c r="B29" s="1687"/>
      <c r="C29" s="1676"/>
      <c r="D29" s="1865"/>
      <c r="E29" s="1562">
        <f t="shared" si="2"/>
        <v>0</v>
      </c>
      <c r="F29" s="1814">
        <f t="shared" si="3"/>
        <v>0</v>
      </c>
      <c r="G29" s="1815">
        <f t="shared" si="4"/>
        <v>0</v>
      </c>
    </row>
    <row r="30" spans="1:8" x14ac:dyDescent="0.25">
      <c r="A30" s="1818" t="s">
        <v>158</v>
      </c>
      <c r="B30" s="1819"/>
      <c r="C30" s="1820"/>
      <c r="D30" s="1816">
        <f>SUM(D17:D29)</f>
        <v>6928</v>
      </c>
      <c r="E30" s="1563">
        <f t="shared" si="1"/>
        <v>6928</v>
      </c>
      <c r="F30" s="1816">
        <f>SUM(F17:F29)</f>
        <v>6928</v>
      </c>
      <c r="G30" s="1817">
        <f>SUM(G17:G29)</f>
        <v>0</v>
      </c>
    </row>
  </sheetData>
  <sheetProtection selectLockedCells="1"/>
  <mergeCells count="6">
    <mergeCell ref="A13:G13"/>
    <mergeCell ref="A4:G5"/>
    <mergeCell ref="A11:G11"/>
    <mergeCell ref="A7:G7"/>
    <mergeCell ref="A8:G8"/>
    <mergeCell ref="A9:G9"/>
  </mergeCells>
  <pageMargins left="0.52" right="0.2" top="0.5" bottom="0.25" header="0.3" footer="0.3"/>
  <pageSetup scale="70" firstPageNumber="29" fitToHeight="0" orientation="landscape" useFirstPageNumber="1"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2076</v>
      </c>
      <c r="B10" s="972"/>
      <c r="C10" s="977"/>
      <c r="D10" s="973"/>
      <c r="E10" s="974">
        <v>106895</v>
      </c>
      <c r="F10" s="975"/>
      <c r="G10" s="976"/>
      <c r="H10" s="162"/>
      <c r="I10" s="162"/>
    </row>
    <row r="11" spans="1:9" s="669" customFormat="1" ht="22.5" customHeight="1" x14ac:dyDescent="0.2">
      <c r="A11" s="2307" t="s">
        <v>1945</v>
      </c>
      <c r="B11" s="2308"/>
      <c r="C11" s="2308"/>
      <c r="D11" s="2309"/>
      <c r="E11" s="978">
        <v>13315</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1329633</v>
      </c>
      <c r="F19" s="1821"/>
      <c r="G19" s="1823">
        <f>'Expenditures 15-22'!K33-SUM('Expenditures 15-22'!G33,'Expenditures 15-22'!I33)+'Expenditures 15-22'!D229</f>
        <v>1329633</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75990</v>
      </c>
      <c r="F21" s="1824"/>
      <c r="G21" s="1827">
        <f>'Expenditures 15-22'!K42-SUM('Expenditures 15-22'!G42,'Expenditures 15-22'!I42)+'Expenditures 15-22'!K120-SUM('Expenditures 15-22'!G120,'Expenditures 15-22'!I120)+'Expenditures 15-22'!K180-SUM('Expenditures 15-22'!G180,'Expenditures 15-22'!I180)+'Expenditures 15-22'!D238</f>
        <v>75990</v>
      </c>
      <c r="H21" s="988"/>
      <c r="I21" s="162"/>
    </row>
    <row r="22" spans="1:9" s="669" customFormat="1" ht="12" customHeight="1" x14ac:dyDescent="0.2">
      <c r="A22" s="995" t="s">
        <v>585</v>
      </c>
      <c r="B22" s="996"/>
      <c r="C22" s="994">
        <v>2200</v>
      </c>
      <c r="D22" s="1824"/>
      <c r="E22" s="1826">
        <f>'Expenditures 15-22'!K47-SUM('Expenditures 15-22'!G47,'Expenditures 15-22'!I47)+'Expenditures 15-22'!D243</f>
        <v>16268</v>
      </c>
      <c r="F22" s="1824"/>
      <c r="G22" s="1827">
        <f>'Expenditures 15-22'!K47-SUM('Expenditures 15-22'!G47,'Expenditures 15-22'!I47)+'Expenditures 15-22'!D243</f>
        <v>16268</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192124</v>
      </c>
      <c r="F23" s="1824"/>
      <c r="G23" s="1826">
        <f>'Expenditures 15-22'!K53-SUM('Expenditures 15-22'!G53,'Expenditures 15-22'!I53)+'Expenditures 15-22'!D257+'Expenditures 15-22'!K330-SUM('Expenditures 15-22'!G330,'Expenditures 15-22'!I330)</f>
        <v>192124</v>
      </c>
      <c r="H23" s="988"/>
      <c r="I23" s="162"/>
    </row>
    <row r="24" spans="1:9" s="669" customFormat="1" ht="12" customHeight="1" x14ac:dyDescent="0.2">
      <c r="A24" s="995" t="s">
        <v>587</v>
      </c>
      <c r="B24" s="996"/>
      <c r="C24" s="994">
        <v>2400</v>
      </c>
      <c r="D24" s="1824"/>
      <c r="E24" s="1826">
        <f>'Expenditures 15-22'!K57-SUM('Expenditures 15-22'!G57,'Expenditures 15-22'!I57)+'Expenditures 15-22'!D261</f>
        <v>0</v>
      </c>
      <c r="F24" s="1824"/>
      <c r="G24" s="1827">
        <f>'Expenditures 15-22'!K57-SUM('Expenditures 15-22'!G57,'Expenditures 15-22'!I57)+'Expenditures 15-22'!D261</f>
        <v>0</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59209</v>
      </c>
      <c r="E27" s="1826">
        <f>E8</f>
        <v>0</v>
      </c>
      <c r="F27" s="1826">
        <f>'Expenditures 15-22'!K60-SUM('Expenditures 15-22'!G60,'Expenditures 15-22'!I60)+'Expenditures 15-22'!D264-E8</f>
        <v>59209</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243056</v>
      </c>
      <c r="F28" s="1828">
        <f>'Expenditures 15-22'!K61-SUM('Expenditures 15-22'!G61,'Expenditures 15-22'!I61)+'Expenditures 15-22'!K124-SUM('Expenditures 15-22'!G124,'Expenditures 15-22'!I124)+'Expenditures 15-22'!D266-E9</f>
        <v>243056</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66685</v>
      </c>
      <c r="F29" s="1824"/>
      <c r="G29" s="1827">
        <f>'Expenditures 15-22'!K62-SUM('Expenditures 15-22'!G62,'Expenditures 15-22'!I62)+'Expenditures 15-22'!K125-SUM('Expenditures 15-22'!G125,'Expenditures 15-22'!I125)+'Expenditures 15-22'!K182-SUM('Expenditures 15-22'!G182,'Expenditures 15-22'!I182)+'Expenditures 15-22'!D267</f>
        <v>66685</v>
      </c>
      <c r="H29" s="986"/>
    </row>
    <row r="30" spans="1:9" ht="12" customHeight="1" x14ac:dyDescent="0.2">
      <c r="A30" s="995" t="s">
        <v>102</v>
      </c>
      <c r="B30" s="998"/>
      <c r="C30" s="994">
        <v>2560</v>
      </c>
      <c r="D30" s="1824"/>
      <c r="E30" s="1826">
        <f>'Expenditures 15-22'!K63-SUM('Expenditures 15-22'!G63,'Expenditures 15-22'!I63)+'Expenditures 15-22'!D268-E10</f>
        <v>71928</v>
      </c>
      <c r="F30" s="1824"/>
      <c r="G30" s="1826">
        <f>'Expenditures 15-22'!K63-SUM('Expenditures 15-22'!G63,'Expenditures 15-22'!I63)+'Expenditures 15-22'!D268-E10</f>
        <v>71928</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5032</v>
      </c>
      <c r="F38" s="1824"/>
      <c r="G38" s="1826">
        <f>'Expenditures 15-22'!K73-SUM('Expenditures 15-22'!G73,'Expenditures 15-22'!I73)+'Expenditures 15-22'!K128-SUM('Expenditures 15-22'!G128,'Expenditures 15-22'!I128)+'Expenditures 15-22'!K183-SUM('Expenditures 15-22'!G183,'Expenditures 15-22'!I183)+'Expenditures 15-22'!D278</f>
        <v>5032</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3644</v>
      </c>
      <c r="F39" s="1824"/>
      <c r="G39" s="1826">
        <f>'Expenditures 15-22'!K75-SUM('Expenditures 15-22'!G75,'Expenditures 15-22'!I75)+'Expenditures 15-22'!K130-SUM('Expenditures 15-22'!G130,'Expenditures 15-22'!I130)+'Expenditures 15-22'!K185-SUM('Expenditures 15-22'!G185,'Expenditures 15-22'!I185)+'Expenditures 15-22'!D280</f>
        <v>3644</v>
      </c>
    </row>
    <row r="40" spans="1:7" ht="12" customHeight="1" x14ac:dyDescent="0.2">
      <c r="A40" s="991" t="s">
        <v>1930</v>
      </c>
      <c r="B40" s="992"/>
      <c r="C40" s="994"/>
      <c r="D40" s="1824"/>
      <c r="E40" s="1828">
        <f>-'Contracts Paid in CY 29'!G30</f>
        <v>0</v>
      </c>
      <c r="F40" s="1824"/>
      <c r="G40" s="1828">
        <f>-'Contracts Paid in CY 29'!G30</f>
        <v>0</v>
      </c>
    </row>
    <row r="41" spans="1:7" ht="12" customHeight="1" x14ac:dyDescent="0.2">
      <c r="A41" s="999" t="s">
        <v>158</v>
      </c>
      <c r="B41" s="1000"/>
      <c r="C41" s="1001"/>
      <c r="D41" s="1828">
        <f>SUM(D19:D39)</f>
        <v>59209</v>
      </c>
      <c r="E41" s="1828">
        <f>SUM(E19:E40)</f>
        <v>2004360</v>
      </c>
      <c r="F41" s="1828">
        <f>SUM(F19:F39)</f>
        <v>302265</v>
      </c>
      <c r="G41" s="1828">
        <f>SUM(G19:G40)</f>
        <v>1761304</v>
      </c>
    </row>
    <row r="42" spans="1:7" x14ac:dyDescent="0.2">
      <c r="A42" s="988"/>
      <c r="B42" s="162"/>
      <c r="C42" s="1002"/>
      <c r="D42" s="2305" t="s">
        <v>543</v>
      </c>
      <c r="E42" s="2306"/>
      <c r="F42" s="1003" t="s">
        <v>544</v>
      </c>
      <c r="G42" s="1004"/>
    </row>
    <row r="43" spans="1:7" ht="12" customHeight="1" x14ac:dyDescent="0.2">
      <c r="A43" s="988"/>
      <c r="B43" s="162"/>
      <c r="C43" s="1002"/>
      <c r="D43" s="1829" t="s">
        <v>493</v>
      </c>
      <c r="E43" s="1830">
        <f>D41</f>
        <v>59209</v>
      </c>
      <c r="F43" s="1829" t="s">
        <v>495</v>
      </c>
      <c r="G43" s="1830">
        <f>F41</f>
        <v>302265</v>
      </c>
    </row>
    <row r="44" spans="1:7" ht="12" customHeight="1" x14ac:dyDescent="0.2">
      <c r="A44" s="988"/>
      <c r="B44" s="162"/>
      <c r="C44" s="1002"/>
      <c r="D44" s="1829" t="s">
        <v>494</v>
      </c>
      <c r="E44" s="1830">
        <f>E41</f>
        <v>2004360</v>
      </c>
      <c r="F44" s="1829" t="s">
        <v>494</v>
      </c>
      <c r="G44" s="1830">
        <f>G41</f>
        <v>1761304</v>
      </c>
    </row>
    <row r="45" spans="1:7" ht="12" customHeight="1" x14ac:dyDescent="0.2">
      <c r="A45" s="988"/>
      <c r="B45" s="162"/>
      <c r="C45" s="162"/>
      <c r="D45" s="1831" t="s">
        <v>1063</v>
      </c>
      <c r="E45" s="1832">
        <f>(E43/E44)</f>
        <v>2.9540102576383485E-2</v>
      </c>
      <c r="F45" s="1831" t="s">
        <v>1063</v>
      </c>
      <c r="G45" s="1832">
        <f>(G43/G44)</f>
        <v>0.17161432665797613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52"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I38" sqref="I38:S38"/>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3" t="s">
        <v>1446</v>
      </c>
      <c r="B1" s="2313"/>
      <c r="C1" s="2313"/>
      <c r="D1" s="2313"/>
      <c r="E1" s="2313"/>
      <c r="F1" s="2313"/>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4" t="s">
        <v>1627</v>
      </c>
      <c r="B5" s="2315"/>
      <c r="C5" s="2316"/>
      <c r="D5" s="2316"/>
      <c r="E5" s="2316"/>
      <c r="F5" s="2316"/>
    </row>
    <row r="6" spans="1:10" ht="12" customHeight="1" x14ac:dyDescent="0.25">
      <c r="A6" s="1873"/>
      <c r="B6" s="1874"/>
      <c r="C6" s="2317" t="str">
        <f>COVER!A17</f>
        <v>CENTRAL CITY SCHOOL DISTRICT NO. 133</v>
      </c>
      <c r="D6" s="2317"/>
      <c r="E6" s="2317"/>
      <c r="F6" s="1875"/>
    </row>
    <row r="7" spans="1:10" ht="11.25" customHeight="1" thickBot="1" x14ac:dyDescent="0.3">
      <c r="A7" s="1873"/>
      <c r="B7" s="1874"/>
      <c r="C7" s="2318">
        <f>COVER!A13</f>
        <v>13058133002</v>
      </c>
      <c r="D7" s="2318"/>
      <c r="E7" s="2318"/>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t="s">
        <v>2087</v>
      </c>
      <c r="D11" s="1888" t="s">
        <v>2087</v>
      </c>
      <c r="E11" s="1889" t="s">
        <v>2087</v>
      </c>
      <c r="F11" s="1890" t="s">
        <v>2110</v>
      </c>
      <c r="H11" s="1901">
        <f>IF(C11="X",5,0)</f>
        <v>5</v>
      </c>
      <c r="I11" s="1901">
        <f>IF(D11="X",5,0)</f>
        <v>5</v>
      </c>
      <c r="J11" s="1901">
        <f>IF(E11="X",5,0)</f>
        <v>5</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t="s">
        <v>2087</v>
      </c>
      <c r="D13" s="1888" t="s">
        <v>2087</v>
      </c>
      <c r="E13" s="1891" t="s">
        <v>2087</v>
      </c>
      <c r="F13" s="1890" t="s">
        <v>2111</v>
      </c>
      <c r="H13" s="1901">
        <f t="shared" si="0"/>
        <v>5</v>
      </c>
      <c r="I13" s="1901">
        <f t="shared" si="1"/>
        <v>5</v>
      </c>
      <c r="J13" s="1901">
        <f t="shared" si="2"/>
        <v>5</v>
      </c>
    </row>
    <row r="14" spans="1:10" ht="12" customHeight="1" x14ac:dyDescent="0.2">
      <c r="A14" s="1886" t="s">
        <v>1453</v>
      </c>
      <c r="B14" s="1887"/>
      <c r="C14" s="1888" t="s">
        <v>2087</v>
      </c>
      <c r="D14" s="1888" t="s">
        <v>2087</v>
      </c>
      <c r="E14" s="1891" t="s">
        <v>2087</v>
      </c>
      <c r="F14" s="1890" t="s">
        <v>2112</v>
      </c>
      <c r="H14" s="1901">
        <f t="shared" si="0"/>
        <v>5</v>
      </c>
      <c r="I14" s="1901">
        <f t="shared" si="1"/>
        <v>5</v>
      </c>
      <c r="J14" s="1901">
        <f t="shared" si="2"/>
        <v>5</v>
      </c>
    </row>
    <row r="15" spans="1:10" ht="12" customHeight="1" x14ac:dyDescent="0.2">
      <c r="A15" s="1886" t="s">
        <v>1454</v>
      </c>
      <c r="B15" s="1887"/>
      <c r="C15" s="1888" t="s">
        <v>2087</v>
      </c>
      <c r="D15" s="1888" t="s">
        <v>2087</v>
      </c>
      <c r="E15" s="1891" t="s">
        <v>2087</v>
      </c>
      <c r="F15" s="1890" t="s">
        <v>2113</v>
      </c>
      <c r="H15" s="1901">
        <f t="shared" si="0"/>
        <v>5</v>
      </c>
      <c r="I15" s="1901">
        <f t="shared" si="1"/>
        <v>5</v>
      </c>
      <c r="J15" s="1901">
        <f t="shared" si="2"/>
        <v>5</v>
      </c>
    </row>
    <row r="16" spans="1:10" ht="12" customHeight="1" x14ac:dyDescent="0.2">
      <c r="A16" s="1886" t="s">
        <v>1455</v>
      </c>
      <c r="B16" s="1887"/>
      <c r="C16" s="1888" t="s">
        <v>2087</v>
      </c>
      <c r="D16" s="1888" t="s">
        <v>2087</v>
      </c>
      <c r="E16" s="1891" t="s">
        <v>2087</v>
      </c>
      <c r="F16" s="1890" t="s">
        <v>2114</v>
      </c>
      <c r="H16" s="1901">
        <f t="shared" si="0"/>
        <v>5</v>
      </c>
      <c r="I16" s="1901">
        <f t="shared" si="1"/>
        <v>5</v>
      </c>
      <c r="J16" s="1901">
        <f t="shared" si="2"/>
        <v>5</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2087</v>
      </c>
      <c r="D19" s="1888" t="s">
        <v>2087</v>
      </c>
      <c r="E19" s="1891" t="s">
        <v>2087</v>
      </c>
      <c r="F19" s="1890" t="s">
        <v>2115</v>
      </c>
      <c r="H19" s="1901">
        <f t="shared" si="0"/>
        <v>5</v>
      </c>
      <c r="I19" s="1901">
        <f t="shared" si="1"/>
        <v>5</v>
      </c>
      <c r="J19" s="1901">
        <f t="shared" si="2"/>
        <v>5</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t="s">
        <v>2087</v>
      </c>
      <c r="D23" s="1888" t="s">
        <v>2087</v>
      </c>
      <c r="E23" s="1891" t="s">
        <v>2087</v>
      </c>
      <c r="F23" s="1890" t="s">
        <v>2110</v>
      </c>
      <c r="H23" s="1901">
        <f t="shared" si="0"/>
        <v>5</v>
      </c>
      <c r="I23" s="1901">
        <f t="shared" si="1"/>
        <v>5</v>
      </c>
      <c r="J23" s="1901">
        <f t="shared" si="2"/>
        <v>5</v>
      </c>
    </row>
    <row r="24" spans="1:12" ht="12" customHeight="1" x14ac:dyDescent="0.2">
      <c r="A24" s="1886" t="s">
        <v>1613</v>
      </c>
      <c r="B24" s="1887"/>
      <c r="C24" s="1888" t="s">
        <v>2087</v>
      </c>
      <c r="D24" s="1888" t="s">
        <v>2087</v>
      </c>
      <c r="E24" s="1891" t="s">
        <v>2087</v>
      </c>
      <c r="F24" s="1890" t="s">
        <v>2116</v>
      </c>
      <c r="H24" s="1901">
        <f t="shared" si="0"/>
        <v>5</v>
      </c>
      <c r="I24" s="1901">
        <f t="shared" si="1"/>
        <v>5</v>
      </c>
      <c r="J24" s="1901">
        <f t="shared" si="2"/>
        <v>5</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2087</v>
      </c>
      <c r="D26" s="1888" t="s">
        <v>2087</v>
      </c>
      <c r="E26" s="1891" t="s">
        <v>2087</v>
      </c>
      <c r="F26" s="1890" t="s">
        <v>2117</v>
      </c>
      <c r="H26" s="1901">
        <f t="shared" si="0"/>
        <v>5</v>
      </c>
      <c r="I26" s="1901">
        <f t="shared" si="1"/>
        <v>5</v>
      </c>
      <c r="J26" s="1901">
        <f t="shared" si="2"/>
        <v>5</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45</v>
      </c>
      <c r="I34" s="1901">
        <f>SUM(I11:I32)</f>
        <v>45</v>
      </c>
      <c r="J34" s="1901">
        <f>SUM(J11:J32)</f>
        <v>45</v>
      </c>
      <c r="K34" s="1901">
        <f>SUM(H34:J34)</f>
        <v>135</v>
      </c>
    </row>
    <row r="35" spans="1:11" ht="12" customHeight="1" x14ac:dyDescent="0.2">
      <c r="A35" s="1894" t="s">
        <v>1459</v>
      </c>
      <c r="B35" s="1895"/>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6"/>
      <c r="B39" s="1896"/>
      <c r="C39" s="1896"/>
      <c r="D39" s="1896"/>
      <c r="E39" s="1896"/>
      <c r="F39" s="1896"/>
    </row>
    <row r="40" spans="1:11" s="1893" customFormat="1" ht="12" customHeight="1" x14ac:dyDescent="0.25">
      <c r="A40" s="1897" t="s">
        <v>1458</v>
      </c>
      <c r="B40" s="1898"/>
      <c r="C40" s="2327"/>
      <c r="D40" s="2327"/>
      <c r="E40" s="2327"/>
      <c r="F40" s="2328"/>
      <c r="H40" s="1902"/>
      <c r="I40" s="1902"/>
      <c r="J40" s="1902"/>
      <c r="K40" s="1902"/>
    </row>
    <row r="41" spans="1:11" s="1893" customFormat="1" ht="12" customHeight="1" x14ac:dyDescent="0.25">
      <c r="A41" s="2329"/>
      <c r="B41" s="2330"/>
      <c r="C41" s="2330"/>
      <c r="D41" s="2330"/>
      <c r="E41" s="2330"/>
      <c r="F41" s="2331"/>
      <c r="H41" s="1902"/>
      <c r="I41" s="1902"/>
      <c r="J41" s="1902"/>
      <c r="K41" s="1902"/>
    </row>
    <row r="42" spans="1:11" s="1893" customFormat="1" ht="12" customHeight="1" x14ac:dyDescent="0.25">
      <c r="A42" s="2329"/>
      <c r="B42" s="2330"/>
      <c r="C42" s="2330"/>
      <c r="D42" s="2330"/>
      <c r="E42" s="2330"/>
      <c r="F42" s="2331"/>
      <c r="H42" s="1902"/>
      <c r="I42" s="1902"/>
      <c r="J42" s="1902"/>
      <c r="K42" s="1902"/>
    </row>
    <row r="43" spans="1:11" s="1893" customFormat="1" ht="15" x14ac:dyDescent="0.25">
      <c r="A43" s="2321"/>
      <c r="B43" s="2322"/>
      <c r="C43" s="2322"/>
      <c r="D43" s="2322"/>
      <c r="E43" s="2322"/>
      <c r="F43" s="2323"/>
      <c r="H43" s="1902"/>
      <c r="I43" s="1902"/>
      <c r="J43" s="1902"/>
      <c r="K43" s="1902"/>
    </row>
    <row r="44" spans="1:11" s="1893" customFormat="1" ht="12" hidden="1" customHeight="1" x14ac:dyDescent="0.25">
      <c r="A44" s="2321"/>
      <c r="B44" s="2322"/>
      <c r="C44" s="2322"/>
      <c r="D44" s="2322"/>
      <c r="E44" s="2322"/>
      <c r="F44" s="2323"/>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38" sqref="I38:S3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7" t="str">
        <f>COVER!A17</f>
        <v>CENTRAL CITY SCHOOL DISTRICT NO. 133</v>
      </c>
      <c r="J6" s="2338"/>
      <c r="Q6" s="1685"/>
    </row>
    <row r="7" spans="1:17" x14ac:dyDescent="0.2">
      <c r="A7" s="2339" t="s">
        <v>924</v>
      </c>
      <c r="B7" s="2340"/>
      <c r="C7" s="2340"/>
      <c r="D7" s="2340"/>
      <c r="E7" s="2341"/>
      <c r="F7" s="1018"/>
      <c r="G7" s="1010"/>
      <c r="H7" s="1017" t="s">
        <v>390</v>
      </c>
      <c r="I7" s="2342">
        <f>COVER!A13</f>
        <v>13058133002</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126334</v>
      </c>
      <c r="F12" s="1040"/>
      <c r="G12" s="1833">
        <f t="shared" ref="G12:G18" si="0">SUM(E12:F12)</f>
        <v>126334</v>
      </c>
      <c r="H12" s="1041">
        <v>133216</v>
      </c>
      <c r="I12" s="1040"/>
      <c r="J12" s="1833">
        <f t="shared" ref="J12:J18" si="1">SUM(H12:I12)</f>
        <v>133216</v>
      </c>
    </row>
    <row r="13" spans="1:17" ht="15" customHeight="1" x14ac:dyDescent="0.2">
      <c r="A13" s="1036">
        <v>2</v>
      </c>
      <c r="B13" s="1037" t="s">
        <v>44</v>
      </c>
      <c r="C13" s="1038"/>
      <c r="D13" s="1039">
        <v>2330</v>
      </c>
      <c r="E13" s="1833">
        <f>'Expenditures 15-22'!K51</f>
        <v>3858</v>
      </c>
      <c r="F13" s="1040"/>
      <c r="G13" s="1833">
        <f t="shared" si="0"/>
        <v>3858</v>
      </c>
      <c r="H13" s="1041">
        <v>4012</v>
      </c>
      <c r="I13" s="1040"/>
      <c r="J13" s="1833">
        <f t="shared" si="1"/>
        <v>4012</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6" t="s">
        <v>7</v>
      </c>
      <c r="C18" s="2347"/>
      <c r="D18" s="2348"/>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130192</v>
      </c>
      <c r="F19" s="1835">
        <f t="shared" si="2"/>
        <v>0</v>
      </c>
      <c r="G19" s="1835">
        <f t="shared" si="2"/>
        <v>130192</v>
      </c>
      <c r="H19" s="1835">
        <f t="shared" si="2"/>
        <v>137228</v>
      </c>
      <c r="I19" s="1835">
        <f t="shared" si="2"/>
        <v>0</v>
      </c>
      <c r="J19" s="1835">
        <f t="shared" si="2"/>
        <v>137228</v>
      </c>
    </row>
    <row r="20" spans="1:10" ht="13.5" thickTop="1" x14ac:dyDescent="0.2">
      <c r="A20" s="1036">
        <v>9</v>
      </c>
      <c r="B20" s="2349" t="s">
        <v>1703</v>
      </c>
      <c r="C20" s="2349"/>
      <c r="D20" s="2350"/>
      <c r="E20" s="1047"/>
      <c r="F20" s="1047"/>
      <c r="G20" s="1047"/>
      <c r="H20" s="1047"/>
      <c r="I20" s="1047"/>
      <c r="J20" s="1836">
        <f>IF(AND(G19&gt;0,J19&gt;0),(((J19-G19)/G19)),"Enter Budget Data")</f>
        <v>5.4043259186432345E-2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1944</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I38" sqref="I38:S3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2118</v>
      </c>
    </row>
    <row r="6" spans="1:2" x14ac:dyDescent="0.2">
      <c r="A6" s="1069"/>
    </row>
    <row r="7" spans="1:2" x14ac:dyDescent="0.2">
      <c r="A7" s="1069">
        <v>2</v>
      </c>
      <c r="B7" s="329" t="s">
        <v>2119</v>
      </c>
    </row>
    <row r="8" spans="1:2" x14ac:dyDescent="0.2">
      <c r="A8" s="1069"/>
      <c r="B8" s="329" t="s">
        <v>2120</v>
      </c>
    </row>
    <row r="9" spans="1:2" x14ac:dyDescent="0.2">
      <c r="A9" s="1070"/>
    </row>
    <row r="10" spans="1:2" x14ac:dyDescent="0.2">
      <c r="A10" s="1070">
        <v>3</v>
      </c>
      <c r="B10" s="329" t="s">
        <v>2121</v>
      </c>
    </row>
    <row r="11" spans="1:2" x14ac:dyDescent="0.2">
      <c r="A11" s="1070"/>
    </row>
    <row r="12" spans="1:2" x14ac:dyDescent="0.2">
      <c r="A12" s="1070">
        <v>4</v>
      </c>
      <c r="B12" s="329" t="s">
        <v>2122</v>
      </c>
    </row>
    <row r="13" spans="1:2" x14ac:dyDescent="0.2">
      <c r="A13" s="1070"/>
    </row>
    <row r="14" spans="1:2" x14ac:dyDescent="0.2">
      <c r="A14" s="1070">
        <v>5</v>
      </c>
      <c r="B14" s="329" t="s">
        <v>2123</v>
      </c>
    </row>
    <row r="15" spans="1:2" x14ac:dyDescent="0.2">
      <c r="A15" s="1070"/>
    </row>
    <row r="16" spans="1:2" x14ac:dyDescent="0.2">
      <c r="A16" s="1070">
        <v>6</v>
      </c>
      <c r="B16" s="329" t="s">
        <v>2124</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CENTRAL CITY SCHOOL DISTRICT NO. 133</v>
      </c>
    </row>
    <row r="65" spans="2:2" x14ac:dyDescent="0.2">
      <c r="B65" s="1071">
        <f>COVER!A13</f>
        <v>13058133002</v>
      </c>
    </row>
  </sheetData>
  <phoneticPr fontId="14" type="noConversion"/>
  <pageMargins left="0.2" right="0.2" top="1.1499999999999999" bottom="0.75" header="0.74" footer="0.16"/>
  <pageSetup scale="80" firstPageNumber="32" orientation="portrait" useFirstPageNumber="1" r:id="rId1"/>
  <headerFooter alignWithMargins="0">
    <oddHeader>&amp;L&amp;8Page 33&amp;C &amp;R&amp;8Page 33</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I38" sqref="I38:S3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2</xdr:col>
                <xdr:colOff>0</xdr:colOff>
                <xdr:row>10</xdr:row>
                <xdr:rowOff>0</xdr:rowOff>
              </from>
              <to>
                <xdr:col>3</xdr:col>
                <xdr:colOff>304800</xdr:colOff>
                <xdr:row>14</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I38" sqref="I38:S3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2056</v>
      </c>
      <c r="B4" s="2377"/>
      <c r="C4" s="2377"/>
      <c r="D4" s="2377"/>
      <c r="E4" s="2377"/>
      <c r="F4" s="2378"/>
      <c r="G4" s="1075"/>
      <c r="H4" s="1075"/>
    </row>
    <row r="5" spans="1:8" ht="14.25" customHeight="1" x14ac:dyDescent="0.2">
      <c r="A5" s="2379" t="s">
        <v>2057</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2331059</v>
      </c>
      <c r="C8" s="1837">
        <f>'Acct Summary 7-8'!D8</f>
        <v>28596</v>
      </c>
      <c r="D8" s="1837">
        <f>'Acct Summary 7-8'!F8</f>
        <v>76688</v>
      </c>
      <c r="E8" s="1837">
        <f>'Acct Summary 7-8'!I8</f>
        <v>987</v>
      </c>
      <c r="F8" s="1837">
        <f>SUM(B8:E8)</f>
        <v>2437330</v>
      </c>
    </row>
    <row r="9" spans="1:8" s="1080" customFormat="1" ht="14.25" customHeight="1" thickBot="1" x14ac:dyDescent="0.25">
      <c r="A9" s="1079" t="s">
        <v>1436</v>
      </c>
      <c r="B9" s="1838">
        <f>'Acct Summary 7-8'!C17</f>
        <v>2193413</v>
      </c>
      <c r="C9" s="1838">
        <f>'Acct Summary 7-8'!D17</f>
        <v>10486</v>
      </c>
      <c r="D9" s="1838">
        <f>'Acct Summary 7-8'!F17</f>
        <v>60471</v>
      </c>
      <c r="E9" s="1837"/>
      <c r="F9" s="1837">
        <f>SUM(B9:E9)</f>
        <v>2264370</v>
      </c>
    </row>
    <row r="10" spans="1:8" s="1080" customFormat="1" ht="14.25" thickTop="1" thickBot="1" x14ac:dyDescent="0.25">
      <c r="A10" s="1081" t="s">
        <v>1437</v>
      </c>
      <c r="B10" s="1839">
        <f>(B8-B9)</f>
        <v>137646</v>
      </c>
      <c r="C10" s="1839">
        <f>(C8-C9)</f>
        <v>18110</v>
      </c>
      <c r="D10" s="1839">
        <f>(D8-D9)</f>
        <v>16217</v>
      </c>
      <c r="E10" s="1838">
        <f>(E8-E9)</f>
        <v>987</v>
      </c>
      <c r="F10" s="1840">
        <f>SUM(F8-F9)</f>
        <v>172960</v>
      </c>
    </row>
    <row r="11" spans="1:8" s="1080" customFormat="1" ht="14.25" thickTop="1" thickBot="1" x14ac:dyDescent="0.25">
      <c r="A11" s="1082" t="s">
        <v>1785</v>
      </c>
      <c r="B11" s="1841">
        <f>'Acct Summary 7-8'!C81</f>
        <v>392952</v>
      </c>
      <c r="C11" s="1841">
        <f>'Acct Summary 7-8'!D81</f>
        <v>72913</v>
      </c>
      <c r="D11" s="1841">
        <f>'Acct Summary 7-8'!F81</f>
        <v>27556</v>
      </c>
      <c r="E11" s="1841">
        <f>'Acct Summary 7-8'!I81</f>
        <v>208145</v>
      </c>
      <c r="F11" s="1842">
        <f>SUM(B11:E11)</f>
        <v>701566</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29'!D30&gt;0,"OK","PLEASE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13058133002</v>
      </c>
    </row>
    <row r="3" spans="1:2" x14ac:dyDescent="0.2">
      <c r="A3" t="s">
        <v>1013</v>
      </c>
      <c r="B3" s="138" t="str">
        <f>COVER!A15</f>
        <v>MARION</v>
      </c>
    </row>
    <row r="4" spans="1:2" x14ac:dyDescent="0.2">
      <c r="A4" t="s">
        <v>1064</v>
      </c>
      <c r="B4" s="138" t="str">
        <f>COVER!A17</f>
        <v>CENTRAL CITY SCHOOL DISTRICT NO. 133</v>
      </c>
    </row>
    <row r="5" spans="1:2" x14ac:dyDescent="0.2">
      <c r="A5" t="s">
        <v>728</v>
      </c>
      <c r="B5" s="138" t="str">
        <f>COVER!A38</f>
        <v>TIM BRANON</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Yes</v>
      </c>
    </row>
    <row r="15" spans="1:2" x14ac:dyDescent="0.2">
      <c r="A15" t="s">
        <v>598</v>
      </c>
      <c r="B15" s="138" t="str">
        <f>COVER!T23</f>
        <v>060-006876</v>
      </c>
    </row>
    <row r="16" spans="1:2" x14ac:dyDescent="0.2">
      <c r="A16" t="s">
        <v>442</v>
      </c>
      <c r="B16" s="138" t="str">
        <f>COVER!T13</f>
        <v>SUSAN J. LYONS, CPA, P.C.</v>
      </c>
    </row>
    <row r="17" spans="1:2" x14ac:dyDescent="0.2">
      <c r="A17" t="s">
        <v>939</v>
      </c>
      <c r="B17" s="138" t="str">
        <f>COVER!T15</f>
        <v>SUSAN J. LYONS</v>
      </c>
    </row>
    <row r="18" spans="1:2" x14ac:dyDescent="0.2">
      <c r="A18" t="s">
        <v>1212</v>
      </c>
      <c r="B18" s="138" t="str">
        <f>COVER!T17</f>
        <v>5859 U.S. HIGHWAY 51</v>
      </c>
    </row>
    <row r="19" spans="1:2" x14ac:dyDescent="0.2">
      <c r="A19" t="s">
        <v>941</v>
      </c>
      <c r="B19" s="138" t="str">
        <f>COVER!T25</f>
        <v>slyons1007@gmail.com</v>
      </c>
    </row>
    <row r="20" spans="1:2" x14ac:dyDescent="0.2">
      <c r="A20" t="s">
        <v>942</v>
      </c>
      <c r="B20" s="138" t="str">
        <f>COVER!T19</f>
        <v>ODIN</v>
      </c>
    </row>
    <row r="21" spans="1:2" x14ac:dyDescent="0.2">
      <c r="A21" t="s">
        <v>500</v>
      </c>
      <c r="B21" s="138" t="str">
        <f>COVER!X19</f>
        <v>IL</v>
      </c>
    </row>
    <row r="22" spans="1:2" x14ac:dyDescent="0.2">
      <c r="A22" t="s">
        <v>943</v>
      </c>
      <c r="B22" s="138">
        <f>COVER!Z19</f>
        <v>62870</v>
      </c>
    </row>
    <row r="23" spans="1:2" x14ac:dyDescent="0.2">
      <c r="A23" t="s">
        <v>1214</v>
      </c>
      <c r="B23" s="138" t="str">
        <f>COVER!T21</f>
        <v>618-267-3213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392952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392952</v>
      </c>
      <c r="D92" s="2" t="str">
        <f t="shared" si="0"/>
        <v>Error?</v>
      </c>
    </row>
    <row r="93" spans="1:4" x14ac:dyDescent="0.2">
      <c r="A93" s="5">
        <v>32</v>
      </c>
      <c r="B93" s="138">
        <f>'Assets-Liab 5-6'!C41</f>
        <v>392952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72913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72913</v>
      </c>
      <c r="D123" s="2" t="str">
        <f t="shared" si="0"/>
        <v>Error?</v>
      </c>
    </row>
    <row r="124" spans="1:4" x14ac:dyDescent="0.2">
      <c r="A124" s="5">
        <v>63</v>
      </c>
      <c r="B124" s="138">
        <f>'Assets-Liab 5-6'!D41</f>
        <v>72913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97521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97521</v>
      </c>
      <c r="D140" s="2" t="str">
        <f t="shared" si="1"/>
        <v>Error?</v>
      </c>
    </row>
    <row r="141" spans="1:4" x14ac:dyDescent="0.2">
      <c r="A141" s="5">
        <v>80</v>
      </c>
      <c r="B141" s="138">
        <f>'Assets-Liab 5-6'!E41</f>
        <v>97521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27556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27556</v>
      </c>
      <c r="D170" s="2" t="str">
        <f t="shared" si="1"/>
        <v>Error?</v>
      </c>
    </row>
    <row r="171" spans="1:4" x14ac:dyDescent="0.2">
      <c r="A171" s="5">
        <v>110</v>
      </c>
      <c r="B171" s="138">
        <f>'Assets-Liab 5-6'!F41</f>
        <v>27556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18539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10282</v>
      </c>
      <c r="D189" s="2" t="str">
        <f t="shared" si="1"/>
        <v>Error?</v>
      </c>
    </row>
    <row r="190" spans="1:4" x14ac:dyDescent="0.2">
      <c r="A190" s="5">
        <v>129</v>
      </c>
      <c r="B190" s="138">
        <f>'Assets-Liab 5-6'!G41</f>
        <v>18539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13324</v>
      </c>
      <c r="D273" s="2" t="str">
        <f t="shared" si="3"/>
        <v>Error?</v>
      </c>
    </row>
    <row r="274" spans="1:4" x14ac:dyDescent="0.2">
      <c r="A274" s="5">
        <v>213</v>
      </c>
      <c r="B274" s="138">
        <f>'Assets-Liab 5-6'!M17</f>
        <v>4827081</v>
      </c>
      <c r="D274" s="2" t="str">
        <f t="shared" si="3"/>
        <v>Error?</v>
      </c>
    </row>
    <row r="275" spans="1:4" x14ac:dyDescent="0.2">
      <c r="A275" s="5">
        <v>214</v>
      </c>
      <c r="B275" s="138">
        <f>'Assets-Liab 5-6'!M18</f>
        <v>121626</v>
      </c>
      <c r="D275" s="2" t="str">
        <f t="shared" si="3"/>
        <v>Error?</v>
      </c>
    </row>
    <row r="276" spans="1:4" x14ac:dyDescent="0.2">
      <c r="A276" s="5">
        <v>215</v>
      </c>
      <c r="B276" s="138">
        <f>'Assets-Liab 5-6'!M19</f>
        <v>719958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5681989</v>
      </c>
      <c r="C279" s="2" t="s">
        <v>594</v>
      </c>
      <c r="D279" s="2" t="str">
        <f t="shared" si="3"/>
        <v>Error?</v>
      </c>
    </row>
    <row r="280" spans="1:4" x14ac:dyDescent="0.2">
      <c r="A280" s="5">
        <v>219</v>
      </c>
      <c r="B280" s="138">
        <f>'Assets-Liab 5-6'!M40</f>
        <v>5681989</v>
      </c>
      <c r="D280" s="2" t="str">
        <f t="shared" si="3"/>
        <v>Error?</v>
      </c>
    </row>
    <row r="281" spans="1:4" x14ac:dyDescent="0.2">
      <c r="A281" s="5">
        <v>220</v>
      </c>
      <c r="B281" s="138">
        <f>'Assets-Liab 5-6'!M41</f>
        <v>5681989</v>
      </c>
      <c r="C281" s="2" t="s">
        <v>594</v>
      </c>
      <c r="D281" s="2" t="str">
        <f t="shared" si="3"/>
        <v>Error?</v>
      </c>
    </row>
    <row r="282" spans="1:4" x14ac:dyDescent="0.2">
      <c r="A282" s="5">
        <v>221</v>
      </c>
      <c r="B282" s="138">
        <f>'Assets-Liab 5-6'!N21</f>
        <v>97521</v>
      </c>
      <c r="D282" s="2" t="str">
        <f t="shared" si="3"/>
        <v>Error?</v>
      </c>
    </row>
    <row r="283" spans="1:4" x14ac:dyDescent="0.2">
      <c r="A283" s="5">
        <v>222</v>
      </c>
      <c r="B283" s="138">
        <f>'Assets-Liab 5-6'!N22</f>
        <v>289479</v>
      </c>
      <c r="D283" s="2" t="str">
        <f t="shared" si="3"/>
        <v>Error?</v>
      </c>
    </row>
    <row r="284" spans="1:4" x14ac:dyDescent="0.2">
      <c r="A284" s="5">
        <v>223</v>
      </c>
      <c r="B284" s="138">
        <f>'Assets-Liab 5-6'!N23</f>
        <v>387000</v>
      </c>
      <c r="C284" s="2" t="s">
        <v>594</v>
      </c>
      <c r="D284" s="2" t="str">
        <f t="shared" si="3"/>
        <v>Error?</v>
      </c>
    </row>
    <row r="285" spans="1:4" x14ac:dyDescent="0.2">
      <c r="A285" s="5">
        <v>224</v>
      </c>
      <c r="B285" s="138">
        <f>'Assets-Liab 5-6'!N36</f>
        <v>387000</v>
      </c>
      <c r="D285" s="2" t="str">
        <f t="shared" si="3"/>
        <v>Error?</v>
      </c>
    </row>
    <row r="286" spans="1:4" x14ac:dyDescent="0.2">
      <c r="A286" s="10">
        <v>225</v>
      </c>
      <c r="D286" s="2" t="str">
        <f t="shared" si="3"/>
        <v>OK</v>
      </c>
    </row>
    <row r="287" spans="1:4" x14ac:dyDescent="0.2">
      <c r="A287" s="5">
        <v>226</v>
      </c>
      <c r="B287" s="138">
        <f>'Assets-Liab 5-6'!N37</f>
        <v>387000</v>
      </c>
      <c r="C287" s="2" t="s">
        <v>594</v>
      </c>
      <c r="D287" s="2" t="str">
        <f t="shared" si="3"/>
        <v>Error?</v>
      </c>
    </row>
    <row r="288" spans="1:4" x14ac:dyDescent="0.2">
      <c r="A288" s="5">
        <v>227</v>
      </c>
      <c r="B288" s="138">
        <f>'Assets-Liab 5-6'!N41</f>
        <v>387000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743724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10903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925802</v>
      </c>
      <c r="C720" s="2" t="s">
        <v>594</v>
      </c>
      <c r="D720" s="2" t="str">
        <f t="shared" si="10"/>
        <v>Error?</v>
      </c>
    </row>
    <row r="721" spans="1:4" x14ac:dyDescent="0.2">
      <c r="A721" s="5">
        <v>660</v>
      </c>
      <c r="B721" s="138">
        <f>'Expenditures 15-22'!C36</f>
        <v>28274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26043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54317</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7544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7544</v>
      </c>
      <c r="C731" s="2" t="s">
        <v>594</v>
      </c>
      <c r="D731" s="2" t="str">
        <f t="shared" si="10"/>
        <v>Error?</v>
      </c>
    </row>
    <row r="732" spans="1:4" x14ac:dyDescent="0.2">
      <c r="A732" s="5">
        <v>671</v>
      </c>
      <c r="B732" s="138">
        <f>'Expenditures 15-22'!C49</f>
        <v>4007</v>
      </c>
      <c r="D732" s="2" t="str">
        <f t="shared" si="10"/>
        <v>Error?</v>
      </c>
    </row>
    <row r="733" spans="1:4" x14ac:dyDescent="0.2">
      <c r="A733" s="5">
        <v>672</v>
      </c>
      <c r="B733" s="138">
        <f>'Expenditures 15-22'!C50</f>
        <v>109160</v>
      </c>
      <c r="D733" s="2" t="str">
        <f t="shared" si="10"/>
        <v>Error?</v>
      </c>
    </row>
    <row r="734" spans="1:4" x14ac:dyDescent="0.2">
      <c r="A734" s="5">
        <v>673</v>
      </c>
      <c r="B734" s="138">
        <f>'Expenditures 15-22'!C53</f>
        <v>116296</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49118</v>
      </c>
      <c r="D739" s="2" t="str">
        <f t="shared" si="10"/>
        <v>Error?</v>
      </c>
    </row>
    <row r="740" spans="1:4" x14ac:dyDescent="0.2">
      <c r="A740" s="5">
        <v>679</v>
      </c>
      <c r="B740" s="138">
        <f>'Expenditures 15-22'!C61</f>
        <v>94310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40102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183530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4436</v>
      </c>
      <c r="D754" s="2" t="str">
        <f t="shared" si="10"/>
        <v>Error?</v>
      </c>
    </row>
    <row r="755" spans="1:4" x14ac:dyDescent="0.2">
      <c r="A755" s="5">
        <v>694</v>
      </c>
      <c r="B755" s="138">
        <f>'Expenditures 15-22'!C74</f>
        <v>366123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1291925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200825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278571</v>
      </c>
      <c r="C778" s="2" t="s">
        <v>594</v>
      </c>
      <c r="D778" s="2" t="str">
        <f t="shared" si="11"/>
        <v>Error?</v>
      </c>
    </row>
    <row r="779" spans="1:4" x14ac:dyDescent="0.2">
      <c r="A779" s="5">
        <v>718</v>
      </c>
      <c r="B779" s="138">
        <f>'Expenditures 15-22'!D36</f>
        <v>8982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441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9423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12738</v>
      </c>
      <c r="D791" s="2" t="str">
        <f t="shared" si="11"/>
        <v>Error?</v>
      </c>
    </row>
    <row r="792" spans="1:4" x14ac:dyDescent="0.2">
      <c r="A792" s="5">
        <v>731</v>
      </c>
      <c r="B792" s="138">
        <f>'Expenditures 15-22'!D53</f>
        <v>13467</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18133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9044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27177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50067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328638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4605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8410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64</v>
      </c>
      <c r="C843" s="2" t="s">
        <v>594</v>
      </c>
      <c r="D843" s="2" t="str">
        <f t="shared" si="12"/>
        <v>Error?</v>
      </c>
    </row>
    <row r="844" spans="1:4" x14ac:dyDescent="0.2">
      <c r="A844" s="5">
        <v>783</v>
      </c>
      <c r="B844" s="138">
        <f>'Expenditures 15-22'!E44</f>
        <v>3764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3764</v>
      </c>
      <c r="C847" s="2" t="s">
        <v>594</v>
      </c>
      <c r="D847" s="2" t="str">
        <f t="shared" si="12"/>
        <v>Error?</v>
      </c>
    </row>
    <row r="848" spans="1:4" x14ac:dyDescent="0.2">
      <c r="A848" s="5">
        <v>787</v>
      </c>
      <c r="B848" s="138">
        <f>'Expenditures 15-22'!E49</f>
        <v>30825</v>
      </c>
      <c r="D848" s="2" t="str">
        <f t="shared" si="12"/>
        <v>Error?</v>
      </c>
    </row>
    <row r="849" spans="1:4" x14ac:dyDescent="0.2">
      <c r="A849" s="5">
        <v>788</v>
      </c>
      <c r="B849" s="138">
        <f>'Expenditures 15-22'!E50</f>
        <v>1943</v>
      </c>
      <c r="D849" s="2" t="str">
        <f t="shared" si="12"/>
        <v>Error?</v>
      </c>
    </row>
    <row r="850" spans="1:4" x14ac:dyDescent="0.2">
      <c r="A850" s="5">
        <v>789</v>
      </c>
      <c r="B850" s="138">
        <f>'Expenditures 15-22'!E53</f>
        <v>32768</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75</v>
      </c>
      <c r="D855" s="2" t="str">
        <f t="shared" si="12"/>
        <v>Error?</v>
      </c>
    </row>
    <row r="856" spans="1:4" x14ac:dyDescent="0.2">
      <c r="A856" s="5">
        <v>795</v>
      </c>
      <c r="B856" s="138">
        <f>'Expenditures 15-22'!E61</f>
        <v>88067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5413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93555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130151</v>
      </c>
      <c r="C871" s="2" t="s">
        <v>594</v>
      </c>
      <c r="D871" s="2" t="str">
        <f t="shared" si="12"/>
        <v>Error?</v>
      </c>
    </row>
    <row r="872" spans="1:4" x14ac:dyDescent="0.2">
      <c r="A872" s="5">
        <v>811</v>
      </c>
      <c r="B872" s="138">
        <f>'Expenditures 15-22'!E75</f>
        <v>2150</v>
      </c>
      <c r="D872" s="2" t="str">
        <f t="shared" si="12"/>
        <v>Error?</v>
      </c>
    </row>
    <row r="873" spans="1:4" x14ac:dyDescent="0.2">
      <c r="A873" s="5">
        <v>812</v>
      </c>
      <c r="B873" s="138">
        <f>'Expenditures 15-22'!E114</f>
        <v>152323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21164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73569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1050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1050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4383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4383</v>
      </c>
      <c r="C905" s="2" t="s">
        <v>594</v>
      </c>
      <c r="D905" s="2" t="str">
        <f t="shared" si="13"/>
        <v>Error?</v>
      </c>
    </row>
    <row r="906" spans="1:4" x14ac:dyDescent="0.2">
      <c r="A906" s="5">
        <v>845</v>
      </c>
      <c r="B906" s="138">
        <f>'Expenditures 15-22'!F49</f>
        <v>839</v>
      </c>
      <c r="D906" s="2" t="str">
        <f t="shared" si="13"/>
        <v>Error?</v>
      </c>
    </row>
    <row r="907" spans="1:4" x14ac:dyDescent="0.2">
      <c r="A907" s="5">
        <v>846</v>
      </c>
      <c r="B907" s="138">
        <f>'Expenditures 15-22'!F50</f>
        <v>863</v>
      </c>
      <c r="D907" s="2" t="str">
        <f t="shared" si="13"/>
        <v>Error?</v>
      </c>
    </row>
    <row r="908" spans="1:4" x14ac:dyDescent="0.2">
      <c r="A908" s="5">
        <v>847</v>
      </c>
      <c r="B908" s="138">
        <f>'Expenditures 15-22'!F53</f>
        <v>1702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14878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117577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132455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257</v>
      </c>
      <c r="D928" s="2" t="str">
        <f t="shared" si="13"/>
        <v>Error?</v>
      </c>
    </row>
    <row r="929" spans="1:4" x14ac:dyDescent="0.2">
      <c r="A929" s="5">
        <v>868</v>
      </c>
      <c r="B929" s="138">
        <f>'Expenditures 15-22'!F74</f>
        <v>139847</v>
      </c>
      <c r="C929" s="2" t="s">
        <v>594</v>
      </c>
      <c r="D929" s="2" t="str">
        <f t="shared" si="13"/>
        <v>Error?</v>
      </c>
    </row>
    <row r="930" spans="1:4" x14ac:dyDescent="0.2">
      <c r="A930" s="5">
        <v>869</v>
      </c>
      <c r="B930" s="138">
        <f>'Expenditures 15-22'!F75</f>
        <v>1494</v>
      </c>
      <c r="D930" s="2" t="str">
        <f t="shared" si="13"/>
        <v>Error?</v>
      </c>
    </row>
    <row r="931" spans="1:4" x14ac:dyDescent="0.2">
      <c r="A931" s="5">
        <v>870</v>
      </c>
      <c r="B931" s="138">
        <f>'Expenditures 15-22'!F114</f>
        <v>214910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18992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20996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3985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3985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8724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8724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12709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33705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10482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10482</v>
      </c>
      <c r="C1010" s="2" t="s">
        <v>594</v>
      </c>
      <c r="D1010" s="2" t="str">
        <f t="shared" si="14"/>
        <v>Error?</v>
      </c>
    </row>
    <row r="1011" spans="1:4" x14ac:dyDescent="0.2">
      <c r="A1011" s="5">
        <v>950</v>
      </c>
      <c r="B1011" s="138">
        <f>'Expenditures 15-22'!H36</f>
        <v>45</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129</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174</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12596</v>
      </c>
      <c r="D1022" s="2" t="str">
        <f t="shared" si="14"/>
        <v>Error?</v>
      </c>
    </row>
    <row r="1023" spans="1:4" x14ac:dyDescent="0.2">
      <c r="A1023" s="5">
        <v>962</v>
      </c>
      <c r="B1023" s="138">
        <f>'Expenditures 15-22'!H50</f>
        <v>1630</v>
      </c>
      <c r="D1023" s="2" t="str">
        <f t="shared" ref="D1023:D1086" si="15">IF(ISBLANK(B1023),"OK",IF(A1023-B1023=0,"OK","Error?"))</f>
        <v>Error?</v>
      </c>
    </row>
    <row r="1024" spans="1:4" x14ac:dyDescent="0.2">
      <c r="A1024" s="5">
        <v>963</v>
      </c>
      <c r="B1024" s="138">
        <f>'Expenditures 15-22'!H53</f>
        <v>14226</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14400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147030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171912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999792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11823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1317830</v>
      </c>
      <c r="C1108" s="2" t="s">
        <v>594</v>
      </c>
      <c r="D1108" s="2" t="str">
        <f t="shared" si="16"/>
        <v>Error?</v>
      </c>
    </row>
    <row r="1109" spans="1:4" x14ac:dyDescent="0.2">
      <c r="A1109" s="5">
        <v>1048</v>
      </c>
      <c r="B1109" s="138">
        <f>'Expenditures 15-22'!K36</f>
        <v>37301</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27727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65028</v>
      </c>
      <c r="C1115" s="2" t="s">
        <v>594</v>
      </c>
      <c r="D1115" s="2" t="str">
        <f t="shared" si="16"/>
        <v>Error?</v>
      </c>
    </row>
    <row r="1116" spans="1:4" x14ac:dyDescent="0.2">
      <c r="A1116" s="5">
        <v>1055</v>
      </c>
      <c r="B1116" s="138">
        <f>'Expenditures 15-22'!K44</f>
        <v>3764</v>
      </c>
      <c r="C1116" s="2" t="s">
        <v>594</v>
      </c>
      <c r="D1116" s="2" t="str">
        <f t="shared" si="16"/>
        <v>Error?</v>
      </c>
    </row>
    <row r="1117" spans="1:4" x14ac:dyDescent="0.2">
      <c r="A1117" s="5">
        <v>1056</v>
      </c>
      <c r="B1117" s="138">
        <f>'Expenditures 15-22'!K45</f>
        <v>15912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19676</v>
      </c>
      <c r="C1119" s="2" t="s">
        <v>594</v>
      </c>
      <c r="D1119" s="2" t="str">
        <f t="shared" si="16"/>
        <v>Error?</v>
      </c>
    </row>
    <row r="1120" spans="1:4" x14ac:dyDescent="0.2">
      <c r="A1120" s="5">
        <v>1059</v>
      </c>
      <c r="B1120" s="138">
        <f>'Expenditures 15-22'!K49</f>
        <v>48267</v>
      </c>
      <c r="C1120" s="2" t="s">
        <v>594</v>
      </c>
      <c r="D1120" s="2" t="str">
        <f t="shared" si="16"/>
        <v>Error?</v>
      </c>
    </row>
    <row r="1121" spans="1:4" x14ac:dyDescent="0.2">
      <c r="A1121" s="5">
        <v>1060</v>
      </c>
      <c r="B1121" s="138">
        <f>'Expenditures 15-22'!K50</f>
        <v>126334</v>
      </c>
      <c r="C1121" s="2" t="s">
        <v>594</v>
      </c>
      <c r="D1121" s="2" t="str">
        <f t="shared" si="16"/>
        <v>Error?</v>
      </c>
    </row>
    <row r="1122" spans="1:4" x14ac:dyDescent="0.2">
      <c r="A1122" s="5">
        <v>1061</v>
      </c>
      <c r="B1122" s="138">
        <f>'Expenditures 15-22'!K53</f>
        <v>178459</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49193</v>
      </c>
      <c r="C1127" s="2" t="s">
        <v>594</v>
      </c>
      <c r="D1127" s="2" t="str">
        <f t="shared" si="16"/>
        <v>Error?</v>
      </c>
    </row>
    <row r="1128" spans="1:4" x14ac:dyDescent="0.2">
      <c r="A1128" s="5">
        <v>1067</v>
      </c>
      <c r="B1128" s="138">
        <f>'Expenditures 15-22'!K61</f>
        <v>215388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180860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445441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4693</v>
      </c>
      <c r="C1142" s="2" t="s">
        <v>594</v>
      </c>
      <c r="D1142" s="2" t="str">
        <f t="shared" si="16"/>
        <v>Error?</v>
      </c>
    </row>
    <row r="1143" spans="1:4" x14ac:dyDescent="0.2">
      <c r="A1143" s="5">
        <v>1082</v>
      </c>
      <c r="B1143" s="138">
        <f>'Expenditures 15-22'!K74</f>
        <v>713297</v>
      </c>
      <c r="C1143" s="2" t="s">
        <v>594</v>
      </c>
      <c r="D1143" s="2" t="str">
        <f t="shared" si="16"/>
        <v>Error?</v>
      </c>
    </row>
    <row r="1144" spans="1:4" x14ac:dyDescent="0.2">
      <c r="A1144" s="5">
        <v>1083</v>
      </c>
      <c r="B1144" s="138">
        <f>'Expenditures 15-22'!K75</f>
        <v>3644</v>
      </c>
      <c r="C1144" s="2" t="s">
        <v>594</v>
      </c>
      <c r="D1144" s="2" t="str">
        <f t="shared" si="16"/>
        <v>Error?</v>
      </c>
    </row>
    <row r="1145" spans="1:4" x14ac:dyDescent="0.2">
      <c r="A1145" s="5">
        <v>1084</v>
      </c>
      <c r="B1145" s="138">
        <f>'Expenditures 15-22'!K102</f>
        <v>158642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2193413</v>
      </c>
      <c r="C1152" s="2" t="s">
        <v>594</v>
      </c>
      <c r="D1152" s="2" t="str">
        <f t="shared" si="17"/>
        <v>Error?</v>
      </c>
    </row>
    <row r="1153" spans="1:4" x14ac:dyDescent="0.2">
      <c r="A1153" s="5">
        <v>1092</v>
      </c>
      <c r="B1153" s="138">
        <f>'Expenditures 15-22'!K115</f>
        <v>137646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9944</v>
      </c>
      <c r="D1237" s="2" t="str">
        <f t="shared" si="18"/>
        <v>Error?</v>
      </c>
    </row>
    <row r="1238" spans="1:4" x14ac:dyDescent="0.2">
      <c r="A1238" s="10">
        <v>1177</v>
      </c>
      <c r="D1238" s="2" t="str">
        <f t="shared" si="18"/>
        <v>OK</v>
      </c>
    </row>
    <row r="1239" spans="1:4" x14ac:dyDescent="0.2">
      <c r="A1239" s="5">
        <v>1178</v>
      </c>
      <c r="B1239" s="138">
        <f>'Expenditures 15-22'!E127</f>
        <v>9944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9944</v>
      </c>
      <c r="C1241" s="2" t="s">
        <v>594</v>
      </c>
      <c r="D1241" s="2" t="str">
        <f t="shared" si="18"/>
        <v>Error?</v>
      </c>
    </row>
    <row r="1242" spans="1:4" x14ac:dyDescent="0.2">
      <c r="A1242" s="5">
        <v>1181</v>
      </c>
      <c r="B1242" s="138">
        <f>'Expenditures 15-22'!E151</f>
        <v>9944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542</v>
      </c>
      <c r="D1245" s="2" t="str">
        <f t="shared" si="18"/>
        <v>Error?</v>
      </c>
    </row>
    <row r="1246" spans="1:4" x14ac:dyDescent="0.2">
      <c r="A1246" s="10">
        <v>1185</v>
      </c>
      <c r="D1246" s="2" t="str">
        <f t="shared" si="18"/>
        <v>OK</v>
      </c>
    </row>
    <row r="1247" spans="1:4" x14ac:dyDescent="0.2">
      <c r="A1247" s="5">
        <v>1186</v>
      </c>
      <c r="B1247" s="138">
        <f>'Expenditures 15-22'!F127</f>
        <v>542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542</v>
      </c>
      <c r="C1249" s="2" t="s">
        <v>594</v>
      </c>
      <c r="D1249" s="2" t="str">
        <f t="shared" si="18"/>
        <v>Error?</v>
      </c>
    </row>
    <row r="1250" spans="1:4" x14ac:dyDescent="0.2">
      <c r="A1250" s="5">
        <v>1189</v>
      </c>
      <c r="B1250" s="138">
        <f>'Expenditures 15-22'!F151</f>
        <v>542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10486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10486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10486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10486</v>
      </c>
      <c r="C1288" s="2" t="s">
        <v>594</v>
      </c>
      <c r="D1288" s="2" t="str">
        <f t="shared" si="19"/>
        <v>Error?</v>
      </c>
    </row>
    <row r="1289" spans="1:4" x14ac:dyDescent="0.2">
      <c r="A1289" s="5">
        <v>1228</v>
      </c>
      <c r="B1289" s="138">
        <f>'Expenditures 15-22'!K152</f>
        <v>18110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22751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68000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91751</v>
      </c>
      <c r="C1317" s="2" t="s">
        <v>594</v>
      </c>
      <c r="D1317" s="2" t="str">
        <f t="shared" si="19"/>
        <v>Error?</v>
      </c>
    </row>
    <row r="1318" spans="1:4" x14ac:dyDescent="0.2">
      <c r="A1318" s="5">
        <v>1257</v>
      </c>
      <c r="B1318" s="138">
        <f>'Expenditures 15-22'!H174</f>
        <v>91751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22751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68000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91751</v>
      </c>
      <c r="C1331" s="2" t="s">
        <v>594</v>
      </c>
      <c r="D1331" s="2" t="str">
        <f t="shared" si="19"/>
        <v>Error?</v>
      </c>
    </row>
    <row r="1332" spans="1:4" x14ac:dyDescent="0.2">
      <c r="A1332" s="5">
        <v>1271</v>
      </c>
      <c r="B1332" s="138">
        <f>'Expenditures 15-22'!K174</f>
        <v>91751</v>
      </c>
      <c r="C1332" s="2" t="s">
        <v>594</v>
      </c>
      <c r="D1332" s="2" t="str">
        <f t="shared" si="19"/>
        <v>Error?</v>
      </c>
    </row>
    <row r="1333" spans="1:4" x14ac:dyDescent="0.2">
      <c r="A1333" s="5">
        <v>1272</v>
      </c>
      <c r="B1333" s="138">
        <f>'Expenditures 15-22'!K175</f>
        <v>-16368</v>
      </c>
      <c r="C1333" s="2" t="s">
        <v>594</v>
      </c>
      <c r="D1333" s="2" t="str">
        <f t="shared" si="19"/>
        <v>Error?</v>
      </c>
    </row>
    <row r="1334" spans="1:4" x14ac:dyDescent="0.2">
      <c r="A1334" s="10">
        <v>1273</v>
      </c>
      <c r="D1334" s="2" t="str">
        <f t="shared" si="19"/>
        <v>OK</v>
      </c>
    </row>
    <row r="1335" spans="1:4" x14ac:dyDescent="0.2">
      <c r="A1335" s="5">
        <v>1274</v>
      </c>
      <c r="B1335" s="138">
        <f>'Expenditures 15-22'!C182</f>
        <v>34259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34259</v>
      </c>
      <c r="C1339" s="2" t="s">
        <v>594</v>
      </c>
      <c r="D1339" s="2" t="str">
        <f t="shared" si="19"/>
        <v>Error?</v>
      </c>
    </row>
    <row r="1340" spans="1:4" x14ac:dyDescent="0.2">
      <c r="A1340" s="5">
        <v>1279</v>
      </c>
      <c r="B1340" s="138">
        <f>'Expenditures 15-22'!C210</f>
        <v>34259</v>
      </c>
      <c r="C1340" s="2" t="s">
        <v>594</v>
      </c>
      <c r="D1340" s="2" t="str">
        <f t="shared" si="19"/>
        <v>Error?</v>
      </c>
    </row>
    <row r="1341" spans="1:4" x14ac:dyDescent="0.2">
      <c r="A1341" s="5">
        <v>1280</v>
      </c>
      <c r="B1341" s="138">
        <f>'Expenditures 15-22'!D182</f>
        <v>10103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10103</v>
      </c>
      <c r="C1345" s="2" t="s">
        <v>594</v>
      </c>
      <c r="D1345" s="2" t="str">
        <f t="shared" si="20"/>
        <v>Error?</v>
      </c>
    </row>
    <row r="1346" spans="1:4" x14ac:dyDescent="0.2">
      <c r="A1346" s="5">
        <v>1285</v>
      </c>
      <c r="B1346" s="138">
        <f>'Expenditures 15-22'!D210</f>
        <v>10103</v>
      </c>
      <c r="C1346" s="2" t="s">
        <v>594</v>
      </c>
      <c r="D1346" s="2" t="str">
        <f t="shared" si="20"/>
        <v>Error?</v>
      </c>
    </row>
    <row r="1347" spans="1:4" x14ac:dyDescent="0.2">
      <c r="A1347" s="5">
        <v>1286</v>
      </c>
      <c r="B1347" s="138">
        <f>'Expenditures 15-22'!E182</f>
        <v>10320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10320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10320</v>
      </c>
      <c r="C1353" s="2" t="s">
        <v>594</v>
      </c>
      <c r="D1353" s="2" t="str">
        <f t="shared" si="20"/>
        <v>Error?</v>
      </c>
    </row>
    <row r="1354" spans="1:4" x14ac:dyDescent="0.2">
      <c r="A1354" s="5">
        <v>1293</v>
      </c>
      <c r="B1354" s="138">
        <f>'Expenditures 15-22'!F182</f>
        <v>5365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5365</v>
      </c>
      <c r="C1358" s="2" t="s">
        <v>594</v>
      </c>
      <c r="D1358" s="2" t="str">
        <f t="shared" si="20"/>
        <v>Error?</v>
      </c>
    </row>
    <row r="1359" spans="1:4" x14ac:dyDescent="0.2">
      <c r="A1359" s="5">
        <v>1298</v>
      </c>
      <c r="B1359" s="138">
        <f>'Expenditures 15-22'!F210</f>
        <v>5365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424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424</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424</v>
      </c>
      <c r="C1376" s="2" t="s">
        <v>594</v>
      </c>
      <c r="D1376" s="2" t="str">
        <f t="shared" si="20"/>
        <v>Error?</v>
      </c>
    </row>
    <row r="1377" spans="1:4" x14ac:dyDescent="0.2">
      <c r="A1377" s="5">
        <v>1316</v>
      </c>
      <c r="B1377" s="138">
        <f>'Expenditures 15-22'!K182</f>
        <v>60471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60471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60471</v>
      </c>
      <c r="C1388" s="2" t="s">
        <v>594</v>
      </c>
      <c r="D1388" s="2" t="str">
        <f t="shared" si="20"/>
        <v>Error?</v>
      </c>
    </row>
    <row r="1389" spans="1:4" x14ac:dyDescent="0.2">
      <c r="A1389" s="5">
        <v>1328</v>
      </c>
      <c r="B1389" s="138">
        <f>'Expenditures 15-22'!K211</f>
        <v>16217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463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32799</v>
      </c>
      <c r="C1410" s="2" t="s">
        <v>594</v>
      </c>
      <c r="D1410" s="2" t="str">
        <f t="shared" si="21"/>
        <v>Error?</v>
      </c>
    </row>
    <row r="1411" spans="1:4" x14ac:dyDescent="0.2">
      <c r="A1411" s="5">
        <v>1350</v>
      </c>
      <c r="B1411" s="138">
        <f>'Expenditures 15-22'!D232</f>
        <v>5721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5241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10962</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577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577</v>
      </c>
      <c r="C1421" s="2" t="s">
        <v>594</v>
      </c>
      <c r="D1421" s="2" t="str">
        <f t="shared" si="21"/>
        <v>Error?</v>
      </c>
    </row>
    <row r="1422" spans="1:4" x14ac:dyDescent="0.2">
      <c r="A1422" s="5">
        <v>1361</v>
      </c>
      <c r="B1422" s="138">
        <f>'Expenditures 15-22'!D245</f>
        <v>339</v>
      </c>
      <c r="D1422" s="2" t="str">
        <f t="shared" si="21"/>
        <v>Error?</v>
      </c>
    </row>
    <row r="1423" spans="1:4" x14ac:dyDescent="0.2">
      <c r="A1423" s="5">
        <v>1362</v>
      </c>
      <c r="B1423" s="138">
        <f>'Expenditures 15-22'!D246</f>
        <v>1602</v>
      </c>
      <c r="D1423" s="2" t="str">
        <f t="shared" si="21"/>
        <v>Error?</v>
      </c>
    </row>
    <row r="1424" spans="1:4" x14ac:dyDescent="0.2">
      <c r="A1424" s="5">
        <v>1363</v>
      </c>
      <c r="B1424" s="138">
        <f>'Expenditures 15-22'!D257</f>
        <v>1986</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10016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17182</v>
      </c>
      <c r="D1431" s="2" t="str">
        <f t="shared" si="21"/>
        <v>Error?</v>
      </c>
    </row>
    <row r="1432" spans="1:4" x14ac:dyDescent="0.2">
      <c r="A1432" s="5">
        <v>1371</v>
      </c>
      <c r="B1432" s="138">
        <f>'Expenditures 15-22'!D267</f>
        <v>6214</v>
      </c>
      <c r="D1432" s="2" t="str">
        <f t="shared" si="21"/>
        <v>Error?</v>
      </c>
    </row>
    <row r="1433" spans="1:4" x14ac:dyDescent="0.2">
      <c r="A1433" s="5">
        <v>1372</v>
      </c>
      <c r="B1433" s="138">
        <f>'Expenditures 15-22'!D268</f>
        <v>6687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40099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339</v>
      </c>
      <c r="D1445" s="2" t="str">
        <f t="shared" si="21"/>
        <v>Error?</v>
      </c>
    </row>
    <row r="1446" spans="1:4" x14ac:dyDescent="0.2">
      <c r="A1446" s="5">
        <v>1385</v>
      </c>
      <c r="B1446" s="138">
        <f>'Expenditures 15-22'!D279</f>
        <v>53963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86762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463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32799</v>
      </c>
      <c r="C1474" s="2" t="s">
        <v>594</v>
      </c>
      <c r="D1474" s="2" t="str">
        <f t="shared" si="22"/>
        <v>Error?</v>
      </c>
    </row>
    <row r="1475" spans="1:4" x14ac:dyDescent="0.2">
      <c r="A1475" s="5">
        <v>1414</v>
      </c>
      <c r="B1475" s="138">
        <f>'Expenditures 15-22'!K232</f>
        <v>5721</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5241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10962</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577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577</v>
      </c>
      <c r="C1485" s="2" t="s">
        <v>594</v>
      </c>
      <c r="D1485" s="2" t="str">
        <f t="shared" si="22"/>
        <v>Error?</v>
      </c>
    </row>
    <row r="1486" spans="1:4" x14ac:dyDescent="0.2">
      <c r="A1486" s="5">
        <v>1425</v>
      </c>
      <c r="B1486" s="138">
        <f>'Expenditures 15-22'!K245</f>
        <v>339</v>
      </c>
      <c r="C1486" s="2" t="s">
        <v>594</v>
      </c>
      <c r="D1486" s="2" t="str">
        <f t="shared" si="22"/>
        <v>Error?</v>
      </c>
    </row>
    <row r="1487" spans="1:4" x14ac:dyDescent="0.2">
      <c r="A1487" s="5">
        <v>1426</v>
      </c>
      <c r="B1487" s="138">
        <f>'Expenditures 15-22'!K246</f>
        <v>1602</v>
      </c>
      <c r="C1487" s="2" t="s">
        <v>594</v>
      </c>
      <c r="D1487" s="2" t="str">
        <f t="shared" si="22"/>
        <v>Error?</v>
      </c>
    </row>
    <row r="1488" spans="1:4" x14ac:dyDescent="0.2">
      <c r="A1488" s="5">
        <v>1427</v>
      </c>
      <c r="B1488" s="138">
        <f>'Expenditures 15-22'!K257</f>
        <v>1986</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10016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17182</v>
      </c>
      <c r="C1495" s="2" t="s">
        <v>594</v>
      </c>
      <c r="D1495" s="2" t="str">
        <f t="shared" si="22"/>
        <v>Error?</v>
      </c>
    </row>
    <row r="1496" spans="1:4" x14ac:dyDescent="0.2">
      <c r="A1496" s="5">
        <v>1435</v>
      </c>
      <c r="B1496" s="138">
        <f>'Expenditures 15-22'!K267</f>
        <v>6214</v>
      </c>
      <c r="C1496" s="2" t="s">
        <v>594</v>
      </c>
      <c r="D1496" s="2" t="str">
        <f t="shared" si="22"/>
        <v>Error?</v>
      </c>
    </row>
    <row r="1497" spans="1:4" x14ac:dyDescent="0.2">
      <c r="A1497" s="5">
        <v>1436</v>
      </c>
      <c r="B1497" s="138">
        <f>'Expenditures 15-22'!K268</f>
        <v>6687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40099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339</v>
      </c>
      <c r="C1509" s="2" t="s">
        <v>594</v>
      </c>
      <c r="D1509" s="2" t="str">
        <f t="shared" si="22"/>
        <v>Error?</v>
      </c>
    </row>
    <row r="1510" spans="1:4" x14ac:dyDescent="0.2">
      <c r="A1510" s="5">
        <v>1449</v>
      </c>
      <c r="B1510" s="138">
        <f>'Expenditures 15-22'!K279</f>
        <v>53963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86762</v>
      </c>
      <c r="C1517" s="2" t="s">
        <v>594</v>
      </c>
      <c r="D1517" s="2" t="str">
        <f t="shared" si="22"/>
        <v>Error?</v>
      </c>
    </row>
    <row r="1518" spans="1:4" x14ac:dyDescent="0.2">
      <c r="A1518" s="5">
        <v>1457</v>
      </c>
      <c r="B1518" s="138">
        <f>'Expenditures 15-22'!K296</f>
        <v>4701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255306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392952</v>
      </c>
      <c r="C1630" s="2" t="s">
        <v>594</v>
      </c>
      <c r="D1630" s="2" t="str">
        <f t="shared" si="24"/>
        <v>Error?</v>
      </c>
    </row>
    <row r="1631" spans="1:4" x14ac:dyDescent="0.2">
      <c r="A1631" s="5">
        <v>1570</v>
      </c>
      <c r="B1631" s="138">
        <f>'Acct Summary 7-8'!D79</f>
        <v>54803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72913</v>
      </c>
      <c r="C1644" s="2" t="s">
        <v>594</v>
      </c>
      <c r="D1644" s="2" t="str">
        <f t="shared" si="24"/>
        <v>Error?</v>
      </c>
    </row>
    <row r="1645" spans="1:4" x14ac:dyDescent="0.2">
      <c r="A1645" s="5">
        <v>1584</v>
      </c>
      <c r="B1645" s="138">
        <f>'Acct Summary 7-8'!E79</f>
        <v>113889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97521</v>
      </c>
      <c r="C1658" s="2" t="s">
        <v>594</v>
      </c>
      <c r="D1658" s="2" t="str">
        <f t="shared" si="24"/>
        <v>Error?</v>
      </c>
    </row>
    <row r="1659" spans="1:4" x14ac:dyDescent="0.2">
      <c r="A1659" s="5">
        <v>1598</v>
      </c>
      <c r="B1659" s="138">
        <f>'Acct Summary 7-8'!F79</f>
        <v>11339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27556</v>
      </c>
      <c r="C1672" s="2" t="s">
        <v>594</v>
      </c>
      <c r="D1672" s="2" t="str">
        <f t="shared" si="25"/>
        <v>Error?</v>
      </c>
    </row>
    <row r="1673" spans="1:4" x14ac:dyDescent="0.2">
      <c r="A1673" s="5">
        <v>1612</v>
      </c>
      <c r="B1673" s="138">
        <f>'Acct Summary 7-8'!G79</f>
        <v>13838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18539</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191222</v>
      </c>
      <c r="C1744" s="2" t="s">
        <v>594</v>
      </c>
      <c r="D1744" s="2" t="str">
        <f t="shared" si="26"/>
        <v>Error?</v>
      </c>
    </row>
    <row r="1745" spans="1:5" x14ac:dyDescent="0.2">
      <c r="A1745" s="5">
        <v>1684</v>
      </c>
      <c r="B1745" s="138">
        <f>'Tax Sched 23'!B5</f>
        <v>27923</v>
      </c>
      <c r="C1745" s="2" t="s">
        <v>594</v>
      </c>
      <c r="D1745" s="2" t="str">
        <f t="shared" si="26"/>
        <v>Error?</v>
      </c>
    </row>
    <row r="1746" spans="1:5" x14ac:dyDescent="0.2">
      <c r="A1746" s="5">
        <v>1685</v>
      </c>
      <c r="B1746" s="138">
        <f>'Tax Sched 23'!B6</f>
        <v>73932</v>
      </c>
      <c r="C1746" s="2" t="s">
        <v>594</v>
      </c>
      <c r="D1746" s="2" t="str">
        <f t="shared" si="26"/>
        <v>Error?</v>
      </c>
    </row>
    <row r="1747" spans="1:5" x14ac:dyDescent="0.2">
      <c r="A1747" s="5">
        <v>1686</v>
      </c>
      <c r="B1747" s="138">
        <f>'Tax Sched 23'!B7</f>
        <v>18371</v>
      </c>
      <c r="C1747" s="2" t="s">
        <v>594</v>
      </c>
      <c r="D1747" s="2" t="str">
        <f t="shared" si="26"/>
        <v>Error?</v>
      </c>
    </row>
    <row r="1748" spans="1:5" x14ac:dyDescent="0.2">
      <c r="A1748" s="5">
        <v>1687</v>
      </c>
      <c r="B1748" s="138">
        <f>'Tax Sched 23'!B8</f>
        <v>37878</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11613</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383637</v>
      </c>
      <c r="C1759" s="2" t="s">
        <v>594</v>
      </c>
      <c r="D1759" s="2" t="str">
        <f t="shared" si="26"/>
        <v>Error?</v>
      </c>
    </row>
    <row r="1760" spans="1:5" x14ac:dyDescent="0.2">
      <c r="A1760" s="5">
        <v>1699</v>
      </c>
      <c r="B1760" s="138">
        <f>'Tax Sched 23'!D4</f>
        <v>191222</v>
      </c>
      <c r="C1760" s="2" t="s">
        <v>594</v>
      </c>
      <c r="D1760" s="2" t="str">
        <f t="shared" si="26"/>
        <v>Error?</v>
      </c>
    </row>
    <row r="1761" spans="1:5" x14ac:dyDescent="0.2">
      <c r="A1761" s="5">
        <v>1700</v>
      </c>
      <c r="B1761" s="138">
        <f>'Tax Sched 23'!D5</f>
        <v>27923</v>
      </c>
      <c r="C1761" s="2" t="s">
        <v>594</v>
      </c>
      <c r="D1761" s="2" t="str">
        <f t="shared" si="26"/>
        <v>Error?</v>
      </c>
    </row>
    <row r="1762" spans="1:5" s="8" customFormat="1" x14ac:dyDescent="0.2">
      <c r="A1762" s="5">
        <v>1701</v>
      </c>
      <c r="B1762" s="138">
        <f>'Tax Sched 23'!D6</f>
        <v>73932</v>
      </c>
      <c r="C1762" s="2" t="s">
        <v>594</v>
      </c>
      <c r="D1762" s="2" t="str">
        <f t="shared" si="26"/>
        <v>Error?</v>
      </c>
      <c r="E1762" s="9"/>
    </row>
    <row r="1763" spans="1:5" x14ac:dyDescent="0.2">
      <c r="A1763" s="5">
        <v>1702</v>
      </c>
      <c r="B1763" s="138">
        <f>'Tax Sched 23'!D7</f>
        <v>18371</v>
      </c>
      <c r="C1763" s="2" t="s">
        <v>594</v>
      </c>
      <c r="D1763" s="2" t="str">
        <f t="shared" si="26"/>
        <v>Error?</v>
      </c>
    </row>
    <row r="1764" spans="1:5" x14ac:dyDescent="0.2">
      <c r="A1764" s="5">
        <v>1703</v>
      </c>
      <c r="B1764" s="138">
        <f>'Tax Sched 23'!D8</f>
        <v>37878</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11613</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383637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200867</v>
      </c>
      <c r="C1792" s="2" t="s">
        <v>594</v>
      </c>
      <c r="D1792" s="2" t="str">
        <f t="shared" si="27"/>
        <v>Error?</v>
      </c>
    </row>
    <row r="1793" spans="1:4" x14ac:dyDescent="0.2">
      <c r="A1793" s="5">
        <v>1732</v>
      </c>
      <c r="B1793" s="138">
        <f>'Tax Sched 23'!F5</f>
        <v>29332</v>
      </c>
      <c r="C1793" s="2" t="s">
        <v>594</v>
      </c>
      <c r="D1793" s="2" t="str">
        <f t="shared" si="27"/>
        <v>Error?</v>
      </c>
    </row>
    <row r="1794" spans="1:4" x14ac:dyDescent="0.2">
      <c r="A1794" s="5">
        <v>1733</v>
      </c>
      <c r="B1794" s="138">
        <f>'Tax Sched 23'!F6</f>
        <v>75042</v>
      </c>
      <c r="C1794" s="2" t="s">
        <v>594</v>
      </c>
      <c r="D1794" s="2" t="str">
        <f t="shared" si="27"/>
        <v>Error?</v>
      </c>
    </row>
    <row r="1795" spans="1:4" x14ac:dyDescent="0.2">
      <c r="A1795" s="5">
        <v>1734</v>
      </c>
      <c r="B1795" s="138">
        <f>'Tax Sched 23'!F7</f>
        <v>19297</v>
      </c>
      <c r="C1795" s="2" t="s">
        <v>594</v>
      </c>
      <c r="D1795" s="2" t="str">
        <f t="shared" si="27"/>
        <v>Error?</v>
      </c>
    </row>
    <row r="1796" spans="1:4" x14ac:dyDescent="0.2">
      <c r="A1796" s="5">
        <v>1735</v>
      </c>
      <c r="B1796" s="138">
        <f>'Tax Sched 23'!F8</f>
        <v>39791</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12199</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400371</v>
      </c>
      <c r="C1807" s="2" t="s">
        <v>594</v>
      </c>
      <c r="D1807" s="2" t="str">
        <f t="shared" si="27"/>
        <v>Error?</v>
      </c>
    </row>
    <row r="1808" spans="1:4" x14ac:dyDescent="0.2">
      <c r="A1808" s="5">
        <v>1747</v>
      </c>
      <c r="B1808" s="138">
        <f>'Tax Sched 23'!E4</f>
        <v>200867</v>
      </c>
      <c r="D1808" s="2" t="str">
        <f t="shared" si="27"/>
        <v>Error?</v>
      </c>
    </row>
    <row r="1809" spans="1:4" x14ac:dyDescent="0.2">
      <c r="A1809" s="5">
        <v>1748</v>
      </c>
      <c r="B1809" s="138">
        <f>'Tax Sched 23'!E5</f>
        <v>29332</v>
      </c>
      <c r="D1809" s="2" t="str">
        <f t="shared" si="27"/>
        <v>Error?</v>
      </c>
    </row>
    <row r="1810" spans="1:4" x14ac:dyDescent="0.2">
      <c r="A1810" s="5">
        <v>1749</v>
      </c>
      <c r="B1810" s="138">
        <f>'Tax Sched 23'!E6</f>
        <v>75042</v>
      </c>
      <c r="D1810" s="2" t="str">
        <f t="shared" si="27"/>
        <v>Error?</v>
      </c>
    </row>
    <row r="1811" spans="1:4" x14ac:dyDescent="0.2">
      <c r="A1811" s="5">
        <v>1750</v>
      </c>
      <c r="B1811" s="138">
        <f>'Tax Sched 23'!E7</f>
        <v>19297</v>
      </c>
      <c r="D1811" s="2" t="str">
        <f t="shared" si="27"/>
        <v>Error?</v>
      </c>
    </row>
    <row r="1812" spans="1:4" x14ac:dyDescent="0.2">
      <c r="A1812" s="5">
        <v>1751</v>
      </c>
      <c r="B1812" s="138">
        <f>'Tax Sched 23'!E8</f>
        <v>39791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12199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400371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455000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13324</v>
      </c>
      <c r="D2008" s="2" t="str">
        <f t="shared" si="30"/>
        <v>Error?</v>
      </c>
    </row>
    <row r="2009" spans="1:4" x14ac:dyDescent="0.2">
      <c r="A2009" s="5">
        <v>1948</v>
      </c>
      <c r="B2009" s="138">
        <f>'Cap Outlay Deprec 26'!C8</f>
        <v>4827081</v>
      </c>
      <c r="D2009" s="2" t="str">
        <f t="shared" si="30"/>
        <v>Error?</v>
      </c>
    </row>
    <row r="2010" spans="1:4" x14ac:dyDescent="0.2">
      <c r="A2010" s="5">
        <v>1949</v>
      </c>
      <c r="B2010" s="138">
        <f>'Cap Outlay Deprec 26'!C10</f>
        <v>121626</v>
      </c>
      <c r="D2010" s="2" t="str">
        <f t="shared" si="30"/>
        <v>Error?</v>
      </c>
    </row>
    <row r="2011" spans="1:4" x14ac:dyDescent="0.2">
      <c r="A2011" s="5">
        <v>1950</v>
      </c>
      <c r="B2011" s="138">
        <f>'Cap Outlay Deprec 26'!C12</f>
        <v>614669</v>
      </c>
      <c r="D2011" s="2" t="str">
        <f t="shared" si="30"/>
        <v>Error?</v>
      </c>
    </row>
    <row r="2012" spans="1:4" x14ac:dyDescent="0.2">
      <c r="A2012" s="5">
        <v>1951</v>
      </c>
      <c r="B2012" s="138">
        <f>'Cap Outlay Deprec 26'!C13</f>
        <v>91840</v>
      </c>
      <c r="D2012" s="2" t="str">
        <f t="shared" si="30"/>
        <v>Error?</v>
      </c>
    </row>
    <row r="2013" spans="1:4" x14ac:dyDescent="0.2">
      <c r="A2013" s="5">
        <v>1952</v>
      </c>
      <c r="B2013" s="138">
        <f>'Cap Outlay Deprec 26'!C16</f>
        <v>5671687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33705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33705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23403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23403</v>
      </c>
      <c r="C2025" s="2" t="s">
        <v>594</v>
      </c>
      <c r="D2025" s="2" t="str">
        <f t="shared" si="30"/>
        <v>Error?</v>
      </c>
    </row>
    <row r="2026" spans="1:4" x14ac:dyDescent="0.2">
      <c r="A2026" s="5">
        <v>1965</v>
      </c>
      <c r="B2026" s="138">
        <f>'Cap Outlay Deprec 26'!F5</f>
        <v>13324</v>
      </c>
      <c r="C2026" s="2" t="s">
        <v>594</v>
      </c>
      <c r="D2026" s="2" t="str">
        <f t="shared" si="30"/>
        <v>Error?</v>
      </c>
    </row>
    <row r="2027" spans="1:4" x14ac:dyDescent="0.2">
      <c r="A2027" s="5">
        <v>1966</v>
      </c>
      <c r="B2027" s="138">
        <f>'Cap Outlay Deprec 26'!F8</f>
        <v>4827081</v>
      </c>
      <c r="C2027" s="2" t="s">
        <v>594</v>
      </c>
      <c r="D2027" s="2" t="str">
        <f t="shared" si="30"/>
        <v>Error?</v>
      </c>
    </row>
    <row r="2028" spans="1:4" x14ac:dyDescent="0.2">
      <c r="A2028" s="5">
        <v>1967</v>
      </c>
      <c r="B2028" s="138">
        <f>'Cap Outlay Deprec 26'!F10</f>
        <v>121626</v>
      </c>
      <c r="C2028" s="2" t="s">
        <v>594</v>
      </c>
      <c r="D2028" s="2" t="str">
        <f t="shared" si="30"/>
        <v>Error?</v>
      </c>
    </row>
    <row r="2029" spans="1:4" x14ac:dyDescent="0.2">
      <c r="A2029" s="5">
        <v>1968</v>
      </c>
      <c r="B2029" s="138">
        <f>'Cap Outlay Deprec 26'!F12</f>
        <v>624971</v>
      </c>
      <c r="C2029" s="2" t="s">
        <v>594</v>
      </c>
      <c r="D2029" s="2" t="str">
        <f t="shared" si="30"/>
        <v>Error?</v>
      </c>
    </row>
    <row r="2030" spans="1:4" x14ac:dyDescent="0.2">
      <c r="A2030" s="5">
        <v>1969</v>
      </c>
      <c r="B2030" s="138">
        <f>'Cap Outlay Deprec 26'!F13</f>
        <v>91840</v>
      </c>
      <c r="C2030" s="2" t="s">
        <v>594</v>
      </c>
      <c r="D2030" s="2" t="str">
        <f t="shared" si="30"/>
        <v>Error?</v>
      </c>
    </row>
    <row r="2031" spans="1:4" x14ac:dyDescent="0.2">
      <c r="A2031" s="5">
        <v>1970</v>
      </c>
      <c r="B2031" s="138">
        <f>'Cap Outlay Deprec 26'!F16</f>
        <v>5681989</v>
      </c>
      <c r="C2031" s="2" t="s">
        <v>594</v>
      </c>
      <c r="D2031" s="2" t="str">
        <f t="shared" si="30"/>
        <v>Error?</v>
      </c>
    </row>
    <row r="2032" spans="1:4" x14ac:dyDescent="0.2">
      <c r="A2032" s="10">
        <v>1971</v>
      </c>
      <c r="D2032" s="2" t="str">
        <f t="shared" si="30"/>
        <v>OK</v>
      </c>
    </row>
    <row r="2033" spans="1:4" x14ac:dyDescent="0.2">
      <c r="A2033" s="5">
        <v>1972</v>
      </c>
      <c r="B2033" s="138">
        <f>'Cap Outlay Deprec 26'!H8</f>
        <v>2286402</v>
      </c>
      <c r="D2033" s="2" t="str">
        <f t="shared" si="30"/>
        <v>Error?</v>
      </c>
    </row>
    <row r="2034" spans="1:4" x14ac:dyDescent="0.2">
      <c r="A2034" s="5">
        <v>1973</v>
      </c>
      <c r="B2034" s="138">
        <f>'Cap Outlay Deprec 26'!H10</f>
        <v>77508</v>
      </c>
      <c r="D2034" s="2" t="str">
        <f t="shared" si="30"/>
        <v>Error?</v>
      </c>
    </row>
    <row r="2035" spans="1:4" x14ac:dyDescent="0.2">
      <c r="A2035" s="5">
        <v>1974</v>
      </c>
      <c r="B2035" s="138">
        <f>'Cap Outlay Deprec 26'!H12</f>
        <v>520202</v>
      </c>
      <c r="D2035" s="2" t="str">
        <f t="shared" si="30"/>
        <v>Error?</v>
      </c>
    </row>
    <row r="2036" spans="1:4" x14ac:dyDescent="0.2">
      <c r="A2036" s="5">
        <v>1975</v>
      </c>
      <c r="B2036" s="138">
        <f>'Cap Outlay Deprec 26'!H13</f>
        <v>91840</v>
      </c>
      <c r="D2036" s="2" t="str">
        <f t="shared" si="30"/>
        <v>Error?</v>
      </c>
    </row>
    <row r="2037" spans="1:4" x14ac:dyDescent="0.2">
      <c r="A2037" s="5">
        <v>1976</v>
      </c>
      <c r="B2037" s="138">
        <f>'Cap Outlay Deprec 26'!H16</f>
        <v>2979099</v>
      </c>
      <c r="C2037" s="2" t="s">
        <v>594</v>
      </c>
      <c r="D2037" s="2" t="str">
        <f t="shared" si="30"/>
        <v>Error?</v>
      </c>
    </row>
    <row r="2038" spans="1:4" x14ac:dyDescent="0.2">
      <c r="A2038" s="10">
        <v>1977</v>
      </c>
      <c r="D2038" s="2" t="str">
        <f t="shared" si="30"/>
        <v>OK</v>
      </c>
    </row>
    <row r="2039" spans="1:4" x14ac:dyDescent="0.2">
      <c r="A2039" s="5">
        <v>1978</v>
      </c>
      <c r="B2039" s="138">
        <f>'Cap Outlay Deprec 26'!I8</f>
        <v>101173</v>
      </c>
      <c r="D2039" s="2" t="str">
        <f t="shared" si="30"/>
        <v>Error?</v>
      </c>
    </row>
    <row r="2040" spans="1:4" x14ac:dyDescent="0.2">
      <c r="A2040" s="5">
        <v>1979</v>
      </c>
      <c r="B2040" s="138">
        <f>'Cap Outlay Deprec 26'!I10</f>
        <v>4718</v>
      </c>
      <c r="D2040" s="2" t="str">
        <f t="shared" si="30"/>
        <v>Error?</v>
      </c>
    </row>
    <row r="2041" spans="1:4" x14ac:dyDescent="0.2">
      <c r="A2041" s="5">
        <v>1980</v>
      </c>
      <c r="B2041" s="138">
        <f>'Cap Outlay Deprec 26'!I12</f>
        <v>20401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126292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23403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23403</v>
      </c>
      <c r="C2049" s="2" t="s">
        <v>594</v>
      </c>
      <c r="D2049" s="2" t="str">
        <f t="shared" si="31"/>
        <v>Error?</v>
      </c>
    </row>
    <row r="2050" spans="1:4" x14ac:dyDescent="0.2">
      <c r="A2050" s="10">
        <v>1989</v>
      </c>
      <c r="D2050" s="2" t="str">
        <f t="shared" si="31"/>
        <v>OK</v>
      </c>
    </row>
    <row r="2051" spans="1:4" x14ac:dyDescent="0.2">
      <c r="A2051" s="5">
        <v>1990</v>
      </c>
      <c r="B2051" s="138">
        <f>'Cap Outlay Deprec 26'!K8</f>
        <v>2387575</v>
      </c>
      <c r="C2051" s="2" t="s">
        <v>594</v>
      </c>
      <c r="D2051" s="2" t="str">
        <f t="shared" si="31"/>
        <v>Error?</v>
      </c>
    </row>
    <row r="2052" spans="1:4" x14ac:dyDescent="0.2">
      <c r="A2052" s="5">
        <v>1991</v>
      </c>
      <c r="B2052" s="138">
        <f>'Cap Outlay Deprec 26'!K10</f>
        <v>82226</v>
      </c>
      <c r="C2052" s="2" t="s">
        <v>594</v>
      </c>
      <c r="D2052" s="2" t="str">
        <f t="shared" si="31"/>
        <v>Error?</v>
      </c>
    </row>
    <row r="2053" spans="1:4" x14ac:dyDescent="0.2">
      <c r="A2053" s="5">
        <v>1992</v>
      </c>
      <c r="B2053" s="138">
        <f>'Cap Outlay Deprec 26'!K12</f>
        <v>517200</v>
      </c>
      <c r="C2053" s="2" t="s">
        <v>594</v>
      </c>
      <c r="D2053" s="2" t="str">
        <f t="shared" si="31"/>
        <v>Error?</v>
      </c>
    </row>
    <row r="2054" spans="1:4" x14ac:dyDescent="0.2">
      <c r="A2054" s="5">
        <v>1993</v>
      </c>
      <c r="B2054" s="138">
        <f>'Cap Outlay Deprec 26'!K13</f>
        <v>91840</v>
      </c>
      <c r="C2054" s="2" t="s">
        <v>594</v>
      </c>
      <c r="D2054" s="2" t="str">
        <f t="shared" si="31"/>
        <v>Error?</v>
      </c>
    </row>
    <row r="2055" spans="1:4" x14ac:dyDescent="0.2">
      <c r="A2055" s="5">
        <v>1994</v>
      </c>
      <c r="B2055" s="138">
        <f>'Cap Outlay Deprec 26'!K16</f>
        <v>3081988</v>
      </c>
      <c r="C2055" s="2" t="s">
        <v>594</v>
      </c>
      <c r="D2055" s="2" t="str">
        <f t="shared" si="31"/>
        <v>Error?</v>
      </c>
    </row>
    <row r="2056" spans="1:4" x14ac:dyDescent="0.2">
      <c r="A2056" s="5">
        <v>1995</v>
      </c>
      <c r="B2056" s="138">
        <f>'Cap Outlay Deprec 26'!L5</f>
        <v>13324</v>
      </c>
      <c r="C2056" s="2" t="s">
        <v>594</v>
      </c>
      <c r="D2056" s="2" t="str">
        <f t="shared" si="31"/>
        <v>Error?</v>
      </c>
    </row>
    <row r="2057" spans="1:4" x14ac:dyDescent="0.2">
      <c r="A2057" s="5">
        <v>1996</v>
      </c>
      <c r="B2057" s="138">
        <f>'Cap Outlay Deprec 26'!L8</f>
        <v>2439506</v>
      </c>
      <c r="C2057" s="2" t="s">
        <v>594</v>
      </c>
      <c r="D2057" s="2" t="str">
        <f t="shared" si="31"/>
        <v>Error?</v>
      </c>
    </row>
    <row r="2058" spans="1:4" x14ac:dyDescent="0.2">
      <c r="A2058" s="5">
        <v>1997</v>
      </c>
      <c r="B2058" s="138">
        <f>'Cap Outlay Deprec 26'!L10</f>
        <v>39400</v>
      </c>
      <c r="C2058" s="2" t="s">
        <v>594</v>
      </c>
      <c r="D2058" s="2" t="str">
        <f t="shared" si="31"/>
        <v>Error?</v>
      </c>
    </row>
    <row r="2059" spans="1:4" x14ac:dyDescent="0.2">
      <c r="A2059" s="5">
        <v>1998</v>
      </c>
      <c r="B2059" s="138">
        <f>'Cap Outlay Deprec 26'!L12</f>
        <v>107771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2600001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11612</v>
      </c>
      <c r="C2088" s="2" t="s">
        <v>594</v>
      </c>
      <c r="D2088" s="2" t="str">
        <f t="shared" si="31"/>
        <v>Error?</v>
      </c>
    </row>
    <row r="2089" spans="1:4" x14ac:dyDescent="0.2">
      <c r="A2089" s="5">
        <v>2028</v>
      </c>
      <c r="B2089" s="138">
        <f>'Expenditures 15-22'!K92</f>
        <v>146280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8257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298515</v>
      </c>
      <c r="C2551" s="2" t="s">
        <v>594</v>
      </c>
      <c r="D2551" s="2" t="str">
        <f t="shared" si="38"/>
        <v>Error?</v>
      </c>
    </row>
    <row r="2552" spans="1:4" x14ac:dyDescent="0.2">
      <c r="A2552" s="10">
        <v>2491</v>
      </c>
      <c r="D2552" s="2" t="str">
        <f t="shared" si="38"/>
        <v>OK</v>
      </c>
    </row>
    <row r="2553" spans="1:4" x14ac:dyDescent="0.2">
      <c r="A2553" s="5">
        <v>2492</v>
      </c>
      <c r="B2553" s="138">
        <f>'Acct Summary 7-8'!C6</f>
        <v>1671052</v>
      </c>
      <c r="C2553" s="2" t="s">
        <v>594</v>
      </c>
      <c r="D2553" s="2" t="str">
        <f t="shared" si="38"/>
        <v>Error?</v>
      </c>
    </row>
    <row r="2554" spans="1:4" x14ac:dyDescent="0.2">
      <c r="A2554" s="5">
        <v>2493</v>
      </c>
      <c r="B2554" s="138">
        <f>'Acct Summary 7-8'!C7</f>
        <v>361492</v>
      </c>
      <c r="C2554" s="2" t="s">
        <v>594</v>
      </c>
      <c r="D2554" s="2" t="str">
        <f t="shared" si="38"/>
        <v>Error?</v>
      </c>
    </row>
    <row r="2555" spans="1:4" x14ac:dyDescent="0.2">
      <c r="A2555" s="5">
        <v>2494</v>
      </c>
      <c r="B2555" s="138">
        <f>'Acct Summary 7-8'!C8</f>
        <v>2331059</v>
      </c>
      <c r="C2555" s="2" t="s">
        <v>594</v>
      </c>
      <c r="D2555" s="2" t="str">
        <f t="shared" si="38"/>
        <v>Error?</v>
      </c>
    </row>
    <row r="2556" spans="1:4" x14ac:dyDescent="0.2">
      <c r="A2556" s="5">
        <v>2495</v>
      </c>
      <c r="B2556" s="138">
        <f>'Acct Summary 7-8'!C12</f>
        <v>1317830</v>
      </c>
      <c r="C2556" s="2" t="s">
        <v>594</v>
      </c>
      <c r="D2556" s="2" t="str">
        <f t="shared" si="38"/>
        <v>Error?</v>
      </c>
    </row>
    <row r="2557" spans="1:4" x14ac:dyDescent="0.2">
      <c r="A2557" s="5">
        <v>2496</v>
      </c>
      <c r="B2557" s="138">
        <f>'Acct Summary 7-8'!C13</f>
        <v>713297</v>
      </c>
      <c r="C2557" s="2" t="s">
        <v>594</v>
      </c>
      <c r="D2557" s="2" t="str">
        <f t="shared" si="38"/>
        <v>Error?</v>
      </c>
    </row>
    <row r="2558" spans="1:4" x14ac:dyDescent="0.2">
      <c r="A2558" s="5">
        <v>2497</v>
      </c>
      <c r="B2558" s="138">
        <f>'Acct Summary 7-8'!C14</f>
        <v>3644</v>
      </c>
      <c r="C2558" s="2" t="s">
        <v>594</v>
      </c>
      <c r="D2558" s="2" t="str">
        <f t="shared" si="38"/>
        <v>Error?</v>
      </c>
    </row>
    <row r="2559" spans="1:4" x14ac:dyDescent="0.2">
      <c r="A2559" s="5">
        <v>2498</v>
      </c>
      <c r="B2559" s="138">
        <f>'Acct Summary 7-8'!C15</f>
        <v>158642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2193413</v>
      </c>
      <c r="C2561" s="2" t="s">
        <v>594</v>
      </c>
      <c r="D2561" s="2" t="str">
        <f t="shared" si="39"/>
        <v>Error?</v>
      </c>
    </row>
    <row r="2562" spans="1:4" x14ac:dyDescent="0.2">
      <c r="A2562" s="5">
        <v>2501</v>
      </c>
      <c r="B2562" s="138">
        <f>'Acct Summary 7-8'!C20</f>
        <v>137646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28596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28596</v>
      </c>
      <c r="C2568" s="2" t="s">
        <v>594</v>
      </c>
      <c r="D2568" s="2" t="str">
        <f t="shared" si="39"/>
        <v>Error?</v>
      </c>
    </row>
    <row r="2569" spans="1:4" x14ac:dyDescent="0.2">
      <c r="A2569" s="5">
        <v>2508</v>
      </c>
      <c r="B2569" s="138">
        <f>'Acct Summary 7-8'!D13</f>
        <v>10486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10486</v>
      </c>
      <c r="C2573" s="2" t="s">
        <v>594</v>
      </c>
      <c r="D2573" s="2" t="str">
        <f t="shared" si="39"/>
        <v>Error?</v>
      </c>
    </row>
    <row r="2574" spans="1:4" x14ac:dyDescent="0.2">
      <c r="A2574" s="5">
        <v>2513</v>
      </c>
      <c r="B2574" s="138">
        <f>'Acct Summary 7-8'!D20</f>
        <v>18110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20214</v>
      </c>
      <c r="C2591" s="2" t="s">
        <v>594</v>
      </c>
      <c r="D2591" s="2" t="str">
        <f t="shared" si="39"/>
        <v>Error?</v>
      </c>
    </row>
    <row r="2592" spans="1:4" x14ac:dyDescent="0.2">
      <c r="A2592" s="10">
        <v>2531</v>
      </c>
      <c r="D2592" s="2" t="str">
        <f t="shared" si="39"/>
        <v>OK</v>
      </c>
    </row>
    <row r="2593" spans="1:4" x14ac:dyDescent="0.2">
      <c r="A2593" s="5">
        <v>2532</v>
      </c>
      <c r="B2593" s="138">
        <f>'Acct Summary 7-8'!F6</f>
        <v>56474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76688</v>
      </c>
      <c r="C2595" s="2" t="s">
        <v>594</v>
      </c>
      <c r="D2595" s="2" t="str">
        <f t="shared" si="39"/>
        <v>Error?</v>
      </c>
    </row>
    <row r="2596" spans="1:4" x14ac:dyDescent="0.2">
      <c r="A2596" s="5">
        <v>2535</v>
      </c>
      <c r="B2596" s="138">
        <f>'Acct Summary 7-8'!F13</f>
        <v>60471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60471</v>
      </c>
      <c r="C2600" s="2" t="s">
        <v>594</v>
      </c>
      <c r="D2600" s="2" t="str">
        <f t="shared" si="39"/>
        <v>Error?</v>
      </c>
    </row>
    <row r="2601" spans="1:4" x14ac:dyDescent="0.2">
      <c r="A2601" s="5">
        <v>2540</v>
      </c>
      <c r="B2601" s="138">
        <f>'Acct Summary 7-8'!F20</f>
        <v>16217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76463</v>
      </c>
      <c r="C2603" s="2" t="s">
        <v>594</v>
      </c>
      <c r="D2603" s="2" t="str">
        <f t="shared" si="39"/>
        <v>Error?</v>
      </c>
    </row>
    <row r="2604" spans="1:4" x14ac:dyDescent="0.2">
      <c r="A2604" s="5">
        <v>2543</v>
      </c>
      <c r="B2604" s="138">
        <f>'Acct Summary 7-8'!G6</f>
        <v>11236</v>
      </c>
      <c r="C2604" s="2" t="s">
        <v>594</v>
      </c>
      <c r="D2604" s="2" t="str">
        <f t="shared" si="39"/>
        <v>Error?</v>
      </c>
    </row>
    <row r="2605" spans="1:4" x14ac:dyDescent="0.2">
      <c r="A2605" s="5">
        <v>2544</v>
      </c>
      <c r="B2605" s="138">
        <f>'Acct Summary 7-8'!G7</f>
        <v>3764</v>
      </c>
      <c r="C2605" s="2" t="s">
        <v>594</v>
      </c>
      <c r="D2605" s="2" t="str">
        <f t="shared" si="39"/>
        <v>Error?</v>
      </c>
    </row>
    <row r="2606" spans="1:4" x14ac:dyDescent="0.2">
      <c r="A2606" s="5">
        <v>2545</v>
      </c>
      <c r="B2606" s="138">
        <f>'Acct Summary 7-8'!G8</f>
        <v>91463</v>
      </c>
      <c r="C2606" s="2" t="s">
        <v>594</v>
      </c>
      <c r="D2606" s="2" t="str">
        <f t="shared" si="39"/>
        <v>Error?</v>
      </c>
    </row>
    <row r="2607" spans="1:4" x14ac:dyDescent="0.2">
      <c r="A2607" s="5">
        <v>2546</v>
      </c>
      <c r="B2607" s="138">
        <f>'Acct Summary 7-8'!G12</f>
        <v>32799</v>
      </c>
      <c r="C2607" s="2" t="s">
        <v>594</v>
      </c>
      <c r="D2607" s="2" t="str">
        <f t="shared" si="39"/>
        <v>Error?</v>
      </c>
    </row>
    <row r="2608" spans="1:4" x14ac:dyDescent="0.2">
      <c r="A2608" s="5">
        <v>2547</v>
      </c>
      <c r="B2608" s="138">
        <f>'Acct Summary 7-8'!G13</f>
        <v>53963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86762</v>
      </c>
      <c r="C2612" s="2" t="s">
        <v>594</v>
      </c>
      <c r="D2612" s="2" t="str">
        <f t="shared" si="39"/>
        <v>Error?</v>
      </c>
    </row>
    <row r="2613" spans="1:4" x14ac:dyDescent="0.2">
      <c r="A2613" s="5">
        <v>2552</v>
      </c>
      <c r="B2613" s="138">
        <f>'Acct Summary 7-8'!G20</f>
        <v>4701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75383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75383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91751</v>
      </c>
      <c r="C2634" s="2" t="s">
        <v>594</v>
      </c>
      <c r="D2634" s="2" t="str">
        <f t="shared" si="40"/>
        <v>Error?</v>
      </c>
    </row>
    <row r="2635" spans="1:4" x14ac:dyDescent="0.2">
      <c r="A2635" s="5">
        <v>2574</v>
      </c>
      <c r="B2635" s="138">
        <f>'Acct Summary 7-8'!E17</f>
        <v>91751</v>
      </c>
      <c r="C2635" s="2" t="s">
        <v>594</v>
      </c>
      <c r="D2635" s="2" t="str">
        <f t="shared" si="40"/>
        <v>Error?</v>
      </c>
    </row>
    <row r="2636" spans="1:4" x14ac:dyDescent="0.2">
      <c r="A2636" s="5">
        <v>2575</v>
      </c>
      <c r="B2636" s="138">
        <f>'Acct Summary 7-8'!E20</f>
        <v>-16368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3129</v>
      </c>
      <c r="D2718" s="2" t="str">
        <f t="shared" si="41"/>
        <v>Error?</v>
      </c>
    </row>
    <row r="2719" spans="1:4" x14ac:dyDescent="0.2">
      <c r="A2719" s="5">
        <v>2658</v>
      </c>
      <c r="B2719" s="138">
        <f>'Expenditures 15-22'!D51</f>
        <v>729</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3858</v>
      </c>
      <c r="C2724" s="2" t="s">
        <v>594</v>
      </c>
      <c r="D2724" s="2" t="str">
        <f t="shared" si="41"/>
        <v>Error?</v>
      </c>
    </row>
    <row r="2725" spans="1:4" x14ac:dyDescent="0.2">
      <c r="A2725" s="5">
        <v>2664</v>
      </c>
      <c r="B2725" s="138">
        <f>'Expenditures 15-22'!D247</f>
        <v>45</v>
      </c>
      <c r="D2725" s="2" t="str">
        <f t="shared" si="41"/>
        <v>Error?</v>
      </c>
    </row>
    <row r="2726" spans="1:4" x14ac:dyDescent="0.2">
      <c r="A2726" s="5">
        <v>2665</v>
      </c>
      <c r="B2726" s="138">
        <f>'Expenditures 15-22'!K247</f>
        <v>45</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11612</v>
      </c>
      <c r="C2789" s="2" t="s">
        <v>594</v>
      </c>
      <c r="D2789" s="2" t="str">
        <f t="shared" si="42"/>
        <v>Error?</v>
      </c>
    </row>
    <row r="2790" spans="1:4" x14ac:dyDescent="0.2">
      <c r="A2790" s="5">
        <v>2729</v>
      </c>
      <c r="B2790" s="138">
        <f>'Expenditures 15-22'!E102</f>
        <v>11612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208145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37036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208145</v>
      </c>
      <c r="D2912" s="2" t="str">
        <f t="shared" si="44"/>
        <v>Error?</v>
      </c>
    </row>
    <row r="2913" spans="1:4" x14ac:dyDescent="0.2">
      <c r="A2913" s="5">
        <v>2852</v>
      </c>
      <c r="B2913" s="138">
        <f>'Assets-Liab 5-6'!I41</f>
        <v>208145</v>
      </c>
      <c r="C2913" s="2" t="s">
        <v>594</v>
      </c>
      <c r="D2913" s="2" t="str">
        <f t="shared" si="44"/>
        <v>Error?</v>
      </c>
    </row>
    <row r="2914" spans="1:4" x14ac:dyDescent="0.2">
      <c r="A2914" s="5">
        <v>2853</v>
      </c>
      <c r="B2914" s="138">
        <f>'Assets-Liab 5-6'!L33</f>
        <v>37036</v>
      </c>
      <c r="D2914" s="2" t="str">
        <f t="shared" si="44"/>
        <v>Error?</v>
      </c>
    </row>
    <row r="2915" spans="1:4" x14ac:dyDescent="0.2">
      <c r="A2915" s="10">
        <v>2854</v>
      </c>
      <c r="D2915" s="2" t="str">
        <f t="shared" si="44"/>
        <v>OK</v>
      </c>
    </row>
    <row r="2916" spans="1:4" x14ac:dyDescent="0.2">
      <c r="A2916" s="5">
        <v>2855</v>
      </c>
      <c r="B2916" s="138">
        <f>'Assets-Liab 5-6'!L34</f>
        <v>37036</v>
      </c>
      <c r="C2916" s="2" t="s">
        <v>594</v>
      </c>
      <c r="D2916" s="2" t="str">
        <f t="shared" si="44"/>
        <v>Error?</v>
      </c>
    </row>
    <row r="2917" spans="1:4" x14ac:dyDescent="0.2">
      <c r="A2917" s="5">
        <v>2856</v>
      </c>
      <c r="B2917" s="138">
        <f>'Assets-Liab 5-6'!L41</f>
        <v>37036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1500</v>
      </c>
      <c r="D2949" s="2" t="str">
        <f t="shared" si="45"/>
        <v>Error?</v>
      </c>
    </row>
    <row r="2950" spans="1:4" x14ac:dyDescent="0.2">
      <c r="A2950" s="5">
        <v>2889</v>
      </c>
      <c r="B2950" s="138">
        <f>'Expenditures 15-22'!E79</f>
        <v>10112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1500</v>
      </c>
      <c r="C2973" s="2" t="s">
        <v>594</v>
      </c>
      <c r="D2973" s="2" t="str">
        <f t="shared" si="45"/>
        <v>Error?</v>
      </c>
    </row>
    <row r="2974" spans="1:4" x14ac:dyDescent="0.2">
      <c r="A2974" s="5">
        <v>2913</v>
      </c>
      <c r="B2974" s="138">
        <f>'Expenditures 15-22'!K79</f>
        <v>10112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16715</v>
      </c>
      <c r="D3055" s="2" t="str">
        <f t="shared" si="46"/>
        <v>Error?</v>
      </c>
    </row>
    <row r="3056" spans="1:4" x14ac:dyDescent="0.2">
      <c r="A3056" s="5">
        <v>2995</v>
      </c>
      <c r="B3056" s="138">
        <f>'Expenditures 15-22'!D10</f>
        <v>8477</v>
      </c>
      <c r="D3056" s="2" t="str">
        <f t="shared" si="46"/>
        <v>Error?</v>
      </c>
    </row>
    <row r="3057" spans="1:4" x14ac:dyDescent="0.2">
      <c r="A3057" s="5">
        <v>2996</v>
      </c>
      <c r="B3057" s="138">
        <f>'Expenditures 15-22'!E10</f>
        <v>3805</v>
      </c>
      <c r="D3057" s="2" t="str">
        <f t="shared" si="46"/>
        <v>Error?</v>
      </c>
    </row>
    <row r="3058" spans="1:4" x14ac:dyDescent="0.2">
      <c r="A3058" s="5">
        <v>2997</v>
      </c>
      <c r="B3058" s="138">
        <f>'Expenditures 15-22'!F10</f>
        <v>51294</v>
      </c>
      <c r="D3058" s="2" t="str">
        <f t="shared" si="46"/>
        <v>Error?</v>
      </c>
    </row>
    <row r="3059" spans="1:4" x14ac:dyDescent="0.2">
      <c r="A3059" s="5">
        <v>2998</v>
      </c>
      <c r="B3059" s="138">
        <f>'Expenditures 15-22'!G10</f>
        <v>2004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82295</v>
      </c>
      <c r="C3062" s="2" t="s">
        <v>594</v>
      </c>
      <c r="D3062" s="2" t="str">
        <f t="shared" si="46"/>
        <v>Error?</v>
      </c>
    </row>
    <row r="3063" spans="1:4" x14ac:dyDescent="0.2">
      <c r="A3063" s="10">
        <v>3002</v>
      </c>
      <c r="D3063" s="2" t="str">
        <f t="shared" si="46"/>
        <v>OK</v>
      </c>
    </row>
    <row r="3064" spans="1:4" x14ac:dyDescent="0.2">
      <c r="A3064" s="5">
        <v>3003</v>
      </c>
      <c r="B3064" s="138">
        <f>'Expenditures 15-22'!D219</f>
        <v>2913</v>
      </c>
      <c r="D3064" s="2" t="str">
        <f t="shared" si="46"/>
        <v>Error?</v>
      </c>
    </row>
    <row r="3065" spans="1:4" x14ac:dyDescent="0.2">
      <c r="A3065" s="5">
        <v>3004</v>
      </c>
      <c r="B3065" s="138">
        <f>'Expenditures 15-22'!K219</f>
        <v>2913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987</v>
      </c>
      <c r="C3225" s="2" t="s">
        <v>594</v>
      </c>
      <c r="D3225" s="2" t="str">
        <f t="shared" si="49"/>
        <v>Error?</v>
      </c>
    </row>
    <row r="3226" spans="1:4" x14ac:dyDescent="0.2">
      <c r="A3226" s="5">
        <v>3165</v>
      </c>
      <c r="B3226" s="138">
        <f>'Acct Summary 7-8'!I8</f>
        <v>987</v>
      </c>
      <c r="C3226" s="2" t="s">
        <v>594</v>
      </c>
      <c r="D3226" s="2" t="str">
        <f t="shared" si="49"/>
        <v>Error?</v>
      </c>
    </row>
    <row r="3227" spans="1:4" x14ac:dyDescent="0.2">
      <c r="A3227" s="5">
        <v>3166</v>
      </c>
      <c r="B3227" s="138">
        <f>'Acct Summary 7-8'!I20</f>
        <v>987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137646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18110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16217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4701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-16368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987</v>
      </c>
      <c r="C3320" s="2" t="s">
        <v>594</v>
      </c>
      <c r="D3320" s="2" t="str">
        <f t="shared" si="50"/>
        <v>Error?</v>
      </c>
    </row>
    <row r="3321" spans="1:4" x14ac:dyDescent="0.2">
      <c r="A3321" s="5">
        <v>3260</v>
      </c>
      <c r="B3321" s="138">
        <f>'Acct Summary 7-8'!I79</f>
        <v>207158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208145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154460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68437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1023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223920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17558</v>
      </c>
      <c r="D3387" s="2" t="str">
        <f t="shared" si="51"/>
        <v>Error?</v>
      </c>
    </row>
    <row r="3388" spans="1:4" x14ac:dyDescent="0.2">
      <c r="A3388" s="5">
        <v>3327</v>
      </c>
      <c r="B3388" s="138">
        <f>'Expenditures 15-22'!D217</f>
        <v>11865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17558</v>
      </c>
      <c r="C3390" s="2" t="s">
        <v>594</v>
      </c>
      <c r="D3390" s="2" t="str">
        <f t="shared" si="51"/>
        <v>Error?</v>
      </c>
    </row>
    <row r="3391" spans="1:4" x14ac:dyDescent="0.2">
      <c r="A3391" s="5">
        <v>3330</v>
      </c>
      <c r="B3391" s="138">
        <f>'Expenditures 15-22'!K217</f>
        <v>11865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392952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72913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97521</v>
      </c>
      <c r="D3417" s="2" t="str">
        <f t="shared" si="52"/>
        <v>Error?</v>
      </c>
    </row>
    <row r="3418" spans="1:4" x14ac:dyDescent="0.2">
      <c r="A3418" s="10">
        <v>3357</v>
      </c>
      <c r="D3418" s="2" t="str">
        <f t="shared" si="52"/>
        <v>OK</v>
      </c>
    </row>
    <row r="3419" spans="1:4" x14ac:dyDescent="0.2">
      <c r="A3419" s="5">
        <v>3358</v>
      </c>
      <c r="B3419" s="138">
        <f>'Assets-Liab 5-6'!F4</f>
        <v>27556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18539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208145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37036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22698</v>
      </c>
      <c r="C3446" s="2" t="s">
        <v>594</v>
      </c>
      <c r="D3446" s="2" t="str">
        <f t="shared" si="52"/>
        <v>Error?</v>
      </c>
    </row>
    <row r="3447" spans="1:4" x14ac:dyDescent="0.2">
      <c r="A3447" s="5">
        <v>3386</v>
      </c>
      <c r="B3447" s="138">
        <f>'Tax Sched 23'!D16</f>
        <v>22698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23843</v>
      </c>
      <c r="C3449" s="2" t="s">
        <v>594</v>
      </c>
      <c r="D3449" s="2" t="str">
        <f t="shared" si="52"/>
        <v>Error?</v>
      </c>
    </row>
    <row r="3450" spans="1:4" x14ac:dyDescent="0.2">
      <c r="A3450" s="5">
        <v>3389</v>
      </c>
      <c r="B3450" s="138">
        <f>'Tax Sched 23'!E16</f>
        <v>23843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422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422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422</v>
      </c>
      <c r="D3567" s="2" t="str">
        <f t="shared" si="54"/>
        <v>Error?</v>
      </c>
    </row>
    <row r="3568" spans="1:4" x14ac:dyDescent="0.2">
      <c r="A3568" s="5">
        <v>3507</v>
      </c>
      <c r="B3568" s="138">
        <f>'Assets-Liab 5-6'!K41</f>
        <v>422</v>
      </c>
      <c r="C3568" s="2" t="s">
        <v>594</v>
      </c>
      <c r="D3568" s="2" t="str">
        <f t="shared" si="54"/>
        <v>Error?</v>
      </c>
    </row>
    <row r="3569" spans="1:4" x14ac:dyDescent="0.2">
      <c r="A3569" s="5">
        <v>3508</v>
      </c>
      <c r="B3569" s="138">
        <f>'Acct Summary 7-8'!K4</f>
        <v>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v>
      </c>
      <c r="C3588" s="2" t="s">
        <v>594</v>
      </c>
      <c r="D3588" s="2" t="str">
        <f t="shared" si="55"/>
        <v>Error?</v>
      </c>
    </row>
    <row r="3589" spans="1:4" x14ac:dyDescent="0.2">
      <c r="A3589" s="5">
        <v>3528</v>
      </c>
      <c r="B3589" s="138">
        <f>'Acct Summary 7-8'!K79</f>
        <v>420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422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106895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721929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3052988</v>
      </c>
      <c r="C4122" s="2" t="s">
        <v>594</v>
      </c>
      <c r="D4122" s="2" t="str">
        <f t="shared" si="63"/>
        <v>Error?</v>
      </c>
    </row>
    <row r="4123" spans="1:4" x14ac:dyDescent="0.2">
      <c r="A4123" s="5">
        <v>4062</v>
      </c>
      <c r="B4123" s="138">
        <f>'Acct Summary 7-8'!D10</f>
        <v>28596</v>
      </c>
      <c r="C4123" s="2" t="s">
        <v>594</v>
      </c>
      <c r="D4123" s="2" t="str">
        <f t="shared" si="63"/>
        <v>Error?</v>
      </c>
    </row>
    <row r="4124" spans="1:4" x14ac:dyDescent="0.2">
      <c r="A4124" s="5">
        <v>4063</v>
      </c>
      <c r="B4124" s="138">
        <f>'Acct Summary 7-8'!E10</f>
        <v>75383</v>
      </c>
      <c r="C4124" s="2" t="s">
        <v>594</v>
      </c>
      <c r="D4124" s="2" t="str">
        <f t="shared" si="63"/>
        <v>Error?</v>
      </c>
    </row>
    <row r="4125" spans="1:4" x14ac:dyDescent="0.2">
      <c r="A4125" s="5">
        <v>4064</v>
      </c>
      <c r="B4125" s="138">
        <f>'Acct Summary 7-8'!F10</f>
        <v>76688</v>
      </c>
      <c r="C4125" s="2" t="s">
        <v>594</v>
      </c>
      <c r="D4125" s="2" t="str">
        <f t="shared" si="63"/>
        <v>Error?</v>
      </c>
    </row>
    <row r="4126" spans="1:4" x14ac:dyDescent="0.2">
      <c r="A4126" s="5">
        <v>4065</v>
      </c>
      <c r="B4126" s="138">
        <f>'Acct Summary 7-8'!G10</f>
        <v>91463</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987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v>
      </c>
      <c r="C4130" s="2" t="s">
        <v>594</v>
      </c>
      <c r="D4130" s="2" t="str">
        <f t="shared" si="63"/>
        <v>Error?</v>
      </c>
    </row>
    <row r="4131" spans="1:4" x14ac:dyDescent="0.2">
      <c r="A4131" s="5">
        <v>4070</v>
      </c>
      <c r="B4131" s="138">
        <f>'Acct Summary 7-8'!C18</f>
        <v>721929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2915342</v>
      </c>
      <c r="C4136" s="2" t="s">
        <v>594</v>
      </c>
      <c r="D4136" s="2" t="str">
        <f t="shared" si="63"/>
        <v>Error?</v>
      </c>
    </row>
    <row r="4137" spans="1:4" x14ac:dyDescent="0.2">
      <c r="A4137" s="5">
        <v>4076</v>
      </c>
      <c r="B4137" s="138">
        <f>'Acct Summary 7-8'!D19</f>
        <v>10486</v>
      </c>
      <c r="C4137" s="2" t="s">
        <v>594</v>
      </c>
      <c r="D4137" s="2" t="str">
        <f t="shared" si="63"/>
        <v>Error?</v>
      </c>
    </row>
    <row r="4138" spans="1:4" x14ac:dyDescent="0.2">
      <c r="A4138" s="5">
        <v>4077</v>
      </c>
      <c r="B4138" s="138">
        <f>'Acct Summary 7-8'!E19</f>
        <v>91751</v>
      </c>
      <c r="C4138" s="2" t="s">
        <v>594</v>
      </c>
      <c r="D4138" s="2" t="str">
        <f t="shared" si="63"/>
        <v>Error?</v>
      </c>
    </row>
    <row r="4139" spans="1:4" x14ac:dyDescent="0.2">
      <c r="A4139" s="5">
        <v>4078</v>
      </c>
      <c r="B4139" s="138">
        <f>'Acct Summary 7-8'!F19</f>
        <v>60471</v>
      </c>
      <c r="C4139" s="2" t="s">
        <v>594</v>
      </c>
      <c r="D4139" s="2" t="str">
        <f t="shared" si="63"/>
        <v>Error?</v>
      </c>
    </row>
    <row r="4140" spans="1:4" x14ac:dyDescent="0.2">
      <c r="A4140" s="5">
        <v>4079</v>
      </c>
      <c r="B4140" s="138">
        <f>'Acct Summary 7-8'!G19</f>
        <v>86762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387000</v>
      </c>
      <c r="C4171" s="2" t="s">
        <v>594</v>
      </c>
      <c r="D4171" s="2" t="str">
        <f t="shared" si="64"/>
        <v>Error?</v>
      </c>
    </row>
    <row r="4172" spans="1:4" x14ac:dyDescent="0.2">
      <c r="A4172" s="5">
        <v>4111</v>
      </c>
      <c r="B4172" s="138">
        <f>'Short-Term Long-Term Debt 24'!J49</f>
        <v>289479</v>
      </c>
      <c r="C4172" s="2" t="s">
        <v>594</v>
      </c>
      <c r="D4172" s="2" t="str">
        <f t="shared" si="64"/>
        <v>Error?</v>
      </c>
    </row>
    <row r="4173" spans="1:4" x14ac:dyDescent="0.2">
      <c r="A4173" s="5">
        <v>4112</v>
      </c>
      <c r="B4173" s="138">
        <f>'Short-Term Long-Term Debt 24'!H49</f>
        <v>68000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1109.1600000000001</v>
      </c>
      <c r="C4265" s="2" t="s">
        <v>594</v>
      </c>
      <c r="D4265" s="2" t="str">
        <f t="shared" si="65"/>
        <v>Error?</v>
      </c>
      <c r="E4265" s="128"/>
    </row>
    <row r="4266" spans="1:5" x14ac:dyDescent="0.2">
      <c r="A4266" s="12">
        <v>4205</v>
      </c>
      <c r="B4266" s="138">
        <f>('FP Info 3'!F10)*100000</f>
        <v>161.97</v>
      </c>
      <c r="C4266" s="2" t="s">
        <v>594</v>
      </c>
      <c r="D4266" s="2" t="str">
        <f t="shared" si="65"/>
        <v>Error?</v>
      </c>
      <c r="E4266" s="128"/>
    </row>
    <row r="4267" spans="1:5" x14ac:dyDescent="0.2">
      <c r="A4267" s="12">
        <v>4206</v>
      </c>
      <c r="B4267" s="138">
        <f>('FP Info 3'!H10)*100000</f>
        <v>106.56000000000002</v>
      </c>
      <c r="C4267" s="2" t="s">
        <v>594</v>
      </c>
      <c r="D4267" s="2" t="str">
        <f t="shared" si="65"/>
        <v>Error?</v>
      </c>
      <c r="E4267" s="128"/>
    </row>
    <row r="4268" spans="1:5" x14ac:dyDescent="0.2">
      <c r="A4268" s="12">
        <v>4207</v>
      </c>
      <c r="B4268" s="138">
        <f>('FP Info 3'!J10)*100000</f>
        <v>1378</v>
      </c>
      <c r="C4268" s="2" t="s">
        <v>594</v>
      </c>
      <c r="D4268" s="2" t="str">
        <f t="shared" si="65"/>
        <v>Error?</v>
      </c>
    </row>
    <row r="4269" spans="1:5" x14ac:dyDescent="0.2">
      <c r="A4269" s="12">
        <v>4208</v>
      </c>
      <c r="B4269" s="138">
        <f>'FP Info 3'!J16</f>
        <v>701566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5233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14280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16815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7224</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18109828</v>
      </c>
      <c r="D4995" s="2" t="str">
        <f t="shared" si="77"/>
        <v>Error?</v>
      </c>
    </row>
    <row r="4996" spans="1:4" x14ac:dyDescent="0.2">
      <c r="A4996" s="12">
        <v>4935</v>
      </c>
      <c r="B4996" s="138">
        <f>'FP Info 3'!H31</f>
        <v>1249578.1320000002</v>
      </c>
      <c r="D4996" s="2" t="str">
        <f t="shared" si="77"/>
        <v>Error?</v>
      </c>
    </row>
    <row r="4997" spans="1:4" x14ac:dyDescent="0.2">
      <c r="A4997" s="12">
        <v>4936</v>
      </c>
      <c r="B4997" s="138">
        <f>'FP Info 3'!H37</f>
        <v>387000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191222</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191222</v>
      </c>
      <c r="C5066" s="2" t="s">
        <v>594</v>
      </c>
      <c r="D5066" s="2" t="str">
        <f t="shared" si="78"/>
        <v>Error?</v>
      </c>
    </row>
    <row r="5067" spans="1:4" x14ac:dyDescent="0.2">
      <c r="A5067" s="5">
        <v>5006</v>
      </c>
      <c r="B5067" s="138">
        <f>'Revenues 9-14'!C14</f>
        <v>2376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25471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27847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1393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1393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2113</v>
      </c>
      <c r="D5094" s="2" t="str">
        <f t="shared" si="78"/>
        <v>Error?</v>
      </c>
    </row>
    <row r="5095" spans="1:4" x14ac:dyDescent="0.2">
      <c r="A5095" s="5">
        <v>5034</v>
      </c>
      <c r="B5095" s="138">
        <f>'Revenues 9-14'!C74</f>
        <v>35064</v>
      </c>
      <c r="D5095" s="2" t="str">
        <f t="shared" si="78"/>
        <v>Error?</v>
      </c>
    </row>
    <row r="5096" spans="1:4" x14ac:dyDescent="0.2">
      <c r="A5096" s="5">
        <v>5035</v>
      </c>
      <c r="B5096" s="138">
        <f>'Revenues 9-14'!C75</f>
        <v>38357</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2695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2695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1821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11602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23578</v>
      </c>
      <c r="D5119" s="2" t="str">
        <f t="shared" ref="D5119:D5182" si="79">IF(ISBLANK(B5119),"OK",IF(A5119-B5119=0,"OK","Error?"))</f>
        <v>Error?</v>
      </c>
    </row>
    <row r="5120" spans="1:4" x14ac:dyDescent="0.2">
      <c r="A5120" s="5">
        <v>5059</v>
      </c>
      <c r="B5120" s="138">
        <f>'Revenues 9-14'!C108</f>
        <v>37001</v>
      </c>
      <c r="C5120" s="2" t="s">
        <v>594</v>
      </c>
      <c r="D5120" s="2" t="str">
        <f t="shared" si="79"/>
        <v>Error?</v>
      </c>
    </row>
    <row r="5121" spans="1:4" x14ac:dyDescent="0.2">
      <c r="A5121" s="5">
        <v>5060</v>
      </c>
      <c r="B5121" s="138">
        <f>'Revenues 9-14'!C109</f>
        <v>298515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1594148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1594148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19971</v>
      </c>
      <c r="D5134" s="2" t="str">
        <f t="shared" si="79"/>
        <v>Error?</v>
      </c>
    </row>
    <row r="5135" spans="1:4" x14ac:dyDescent="0.2">
      <c r="A5135" s="5">
        <v>5074</v>
      </c>
      <c r="B5135" s="138">
        <f>'Revenues 9-14'!C126</f>
        <v>13461</v>
      </c>
      <c r="D5135" s="2" t="str">
        <f t="shared" si="79"/>
        <v>Error?</v>
      </c>
    </row>
    <row r="5136" spans="1:4" x14ac:dyDescent="0.2">
      <c r="A5136" s="10">
        <v>5075</v>
      </c>
      <c r="D5136" s="2" t="str">
        <f t="shared" si="79"/>
        <v>OK</v>
      </c>
    </row>
    <row r="5137" spans="1:4" x14ac:dyDescent="0.2">
      <c r="A5137" s="5">
        <v>5076</v>
      </c>
      <c r="B5137" s="138">
        <f>'Revenues 9-14'!C127</f>
        <v>39906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73338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3566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76904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1671052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7224</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150357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64439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229886</v>
      </c>
      <c r="C5246" s="2" t="s">
        <v>594</v>
      </c>
      <c r="D5246" s="2" t="str">
        <f t="shared" si="80"/>
        <v>Error?</v>
      </c>
    </row>
    <row r="5247" spans="1:4" x14ac:dyDescent="0.2">
      <c r="A5247" s="5">
        <v>5186</v>
      </c>
      <c r="B5247" s="138">
        <f>'Revenues 9-14'!C203</f>
        <v>75039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75039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3278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9737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13015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354268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361492</v>
      </c>
      <c r="C5326" s="2" t="s">
        <v>594</v>
      </c>
      <c r="D5326" s="2" t="str">
        <f t="shared" si="82"/>
        <v>Error?</v>
      </c>
    </row>
    <row r="5327" spans="1:4" x14ac:dyDescent="0.2">
      <c r="A5327" s="5">
        <v>5266</v>
      </c>
      <c r="B5327" s="138">
        <f>'Revenues 9-14'!C275</f>
        <v>2331059</v>
      </c>
      <c r="C5327" s="2" t="s">
        <v>594</v>
      </c>
      <c r="D5327" s="2" t="str">
        <f t="shared" si="82"/>
        <v>Error?</v>
      </c>
    </row>
    <row r="5328" spans="1:4" x14ac:dyDescent="0.2">
      <c r="A5328" s="5">
        <v>5267</v>
      </c>
      <c r="B5328" s="138">
        <f>'Revenues 9-14'!D5</f>
        <v>27923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27923</v>
      </c>
      <c r="C5334" s="2" t="s">
        <v>594</v>
      </c>
      <c r="D5334" s="2" t="str">
        <f t="shared" si="82"/>
        <v>Error?</v>
      </c>
    </row>
    <row r="5335" spans="1:4" x14ac:dyDescent="0.2">
      <c r="A5335" s="5">
        <v>5274</v>
      </c>
      <c r="B5335" s="138">
        <f>'Revenues 9-14'!D14</f>
        <v>347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347</v>
      </c>
      <c r="C5339" s="2" t="s">
        <v>594</v>
      </c>
      <c r="D5339" s="2" t="str">
        <f t="shared" si="82"/>
        <v>Error?</v>
      </c>
    </row>
    <row r="5340" spans="1:4" x14ac:dyDescent="0.2">
      <c r="A5340" s="5">
        <v>5279</v>
      </c>
      <c r="B5340" s="138">
        <f>'Revenues 9-14'!D65</f>
        <v>326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28596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28596</v>
      </c>
      <c r="C5508" s="2" t="s">
        <v>594</v>
      </c>
      <c r="D5508" s="2" t="str">
        <f t="shared" si="85"/>
        <v>Error?</v>
      </c>
    </row>
    <row r="5509" spans="1:4" x14ac:dyDescent="0.2">
      <c r="A5509" s="5">
        <v>5448</v>
      </c>
      <c r="B5509" s="138">
        <f>'Revenues 9-14'!E5</f>
        <v>73932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73932</v>
      </c>
      <c r="C5513" s="2" t="s">
        <v>594</v>
      </c>
      <c r="D5513" s="2" t="str">
        <f t="shared" si="85"/>
        <v>Error?</v>
      </c>
    </row>
    <row r="5514" spans="1:4" x14ac:dyDescent="0.2">
      <c r="A5514" s="5">
        <v>5453</v>
      </c>
      <c r="B5514" s="138">
        <f>'Revenues 9-14'!E14</f>
        <v>919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919</v>
      </c>
      <c r="C5518" s="2" t="s">
        <v>594</v>
      </c>
      <c r="D5518" s="2" t="str">
        <f t="shared" si="85"/>
        <v>Error?</v>
      </c>
    </row>
    <row r="5519" spans="1:4" x14ac:dyDescent="0.2">
      <c r="A5519" s="5">
        <v>5458</v>
      </c>
      <c r="B5519" s="138">
        <f>'Revenues 9-14'!E65</f>
        <v>532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532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75383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75383</v>
      </c>
      <c r="C5552" s="2" t="s">
        <v>594</v>
      </c>
      <c r="D5552" s="2" t="str">
        <f t="shared" si="85"/>
        <v>Error?</v>
      </c>
    </row>
    <row r="5553" spans="1:4" x14ac:dyDescent="0.2">
      <c r="A5553" s="5">
        <v>5492</v>
      </c>
      <c r="B5553" s="138">
        <f>'Revenues 9-14'!F5</f>
        <v>18371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18371</v>
      </c>
      <c r="C5557" s="2" t="s">
        <v>594</v>
      </c>
      <c r="D5557" s="2" t="str">
        <f t="shared" si="85"/>
        <v>Error?</v>
      </c>
    </row>
    <row r="5558" spans="1:4" x14ac:dyDescent="0.2">
      <c r="A5558" s="5">
        <v>5497</v>
      </c>
      <c r="B5558" s="138">
        <f>'Revenues 9-14'!F14</f>
        <v>228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228</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145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1470</v>
      </c>
      <c r="D5586" s="2" t="str">
        <f t="shared" si="86"/>
        <v>Error?</v>
      </c>
    </row>
    <row r="5587" spans="1:4" x14ac:dyDescent="0.2">
      <c r="A5587" s="5">
        <v>5526</v>
      </c>
      <c r="B5587" s="138">
        <f>'Revenues 9-14'!F108</f>
        <v>1470</v>
      </c>
      <c r="C5587" s="2" t="s">
        <v>594</v>
      </c>
      <c r="D5587" s="2" t="str">
        <f t="shared" si="86"/>
        <v>Error?</v>
      </c>
    </row>
    <row r="5588" spans="1:4" x14ac:dyDescent="0.2">
      <c r="A5588" s="5">
        <v>5527</v>
      </c>
      <c r="B5588" s="138">
        <f>'Revenues 9-14'!F109</f>
        <v>20214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25000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25000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17812</v>
      </c>
      <c r="D5615" s="2" t="str">
        <f t="shared" si="86"/>
        <v>Error?</v>
      </c>
    </row>
    <row r="5616" spans="1:4" x14ac:dyDescent="0.2">
      <c r="A5616" s="10">
        <v>5555</v>
      </c>
      <c r="D5616" s="2" t="str">
        <f t="shared" si="86"/>
        <v>OK</v>
      </c>
    </row>
    <row r="5617" spans="1:4" x14ac:dyDescent="0.2">
      <c r="A5617" s="5">
        <v>5556</v>
      </c>
      <c r="B5617" s="138">
        <f>'Revenues 9-14'!F152</f>
        <v>13662</v>
      </c>
      <c r="D5617" s="2" t="str">
        <f t="shared" si="86"/>
        <v>Error?</v>
      </c>
    </row>
    <row r="5618" spans="1:4" x14ac:dyDescent="0.2">
      <c r="A5618" s="5">
        <v>5557</v>
      </c>
      <c r="B5618" s="138">
        <f>'Revenues 9-14'!F154</f>
        <v>31474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31474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56474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76688</v>
      </c>
      <c r="C5720" s="2" t="s">
        <v>594</v>
      </c>
      <c r="D5720" s="2" t="str">
        <f t="shared" si="88"/>
        <v>Error?</v>
      </c>
    </row>
    <row r="5721" spans="1:4" x14ac:dyDescent="0.2">
      <c r="A5721" s="5">
        <v>5660</v>
      </c>
      <c r="B5721" s="138">
        <f>'Revenues 9-14'!G5</f>
        <v>37878</v>
      </c>
      <c r="D5721" s="2" t="str">
        <f t="shared" si="88"/>
        <v>Error?</v>
      </c>
    </row>
    <row r="5722" spans="1:4" x14ac:dyDescent="0.2">
      <c r="A5722" s="5">
        <v>5661</v>
      </c>
      <c r="B5722" s="138">
        <f>'Revenues 9-14'!G7</f>
        <v>0</v>
      </c>
      <c r="D5722" s="2" t="str">
        <f t="shared" si="88"/>
        <v>Error?</v>
      </c>
    </row>
    <row r="5723" spans="1:4" x14ac:dyDescent="0.2">
      <c r="A5723" s="5">
        <v>5662</v>
      </c>
      <c r="B5723" s="138">
        <f>'Revenues 9-14'!G8</f>
        <v>22698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60576</v>
      </c>
      <c r="C5725" s="2" t="s">
        <v>594</v>
      </c>
      <c r="D5725" s="2" t="str">
        <f t="shared" si="88"/>
        <v>Error?</v>
      </c>
    </row>
    <row r="5726" spans="1:4" x14ac:dyDescent="0.2">
      <c r="A5726" s="5">
        <v>5665</v>
      </c>
      <c r="B5726" s="138">
        <f>'Revenues 9-14'!G14</f>
        <v>753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15753</v>
      </c>
      <c r="C5730" s="2" t="s">
        <v>594</v>
      </c>
      <c r="D5730" s="2" t="str">
        <f t="shared" si="88"/>
        <v>Error?</v>
      </c>
    </row>
    <row r="5731" spans="1:4" x14ac:dyDescent="0.2">
      <c r="A5731" s="5">
        <v>5670</v>
      </c>
      <c r="B5731" s="138">
        <f>'Revenues 9-14'!G65</f>
        <v>134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11236</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11236</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11236</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3764</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3764</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3764</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3764</v>
      </c>
      <c r="C5869" s="2" t="s">
        <v>594</v>
      </c>
      <c r="D5869" s="2" t="str">
        <f t="shared" si="90"/>
        <v>Error?</v>
      </c>
    </row>
    <row r="5870" spans="1:4" x14ac:dyDescent="0.2">
      <c r="A5870" s="5">
        <v>5809</v>
      </c>
      <c r="B5870" s="138">
        <f>'Revenues 9-14'!G275</f>
        <v>91463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987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987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v>
      </c>
      <c r="C6023" s="2" t="s">
        <v>594</v>
      </c>
      <c r="D6023" s="2" t="str">
        <f t="shared" si="93"/>
        <v>Error?</v>
      </c>
    </row>
    <row r="6024" spans="1:5" x14ac:dyDescent="0.2">
      <c r="A6024" s="5">
        <v>5963</v>
      </c>
      <c r="B6024" s="138">
        <f>'Revenues 9-14'!G109</f>
        <v>76463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987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1180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13315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308.12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1384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1384</v>
      </c>
      <c r="D6215" s="2" t="str">
        <f t="shared" si="96"/>
        <v>Error?</v>
      </c>
      <c r="E6215" s="2" t="s">
        <v>199</v>
      </c>
    </row>
    <row r="6216" spans="1:5" x14ac:dyDescent="0.2">
      <c r="A6216">
        <v>6155</v>
      </c>
      <c r="B6216" s="138">
        <f>'Assets-Liab 5-6'!J41</f>
        <v>1384</v>
      </c>
      <c r="D6216" s="2" t="str">
        <f t="shared" si="96"/>
        <v>Error?</v>
      </c>
      <c r="E6216" s="2" t="s">
        <v>199</v>
      </c>
    </row>
    <row r="6217" spans="1:5" x14ac:dyDescent="0.2">
      <c r="A6217">
        <v>6156</v>
      </c>
      <c r="B6217" s="138">
        <f>'Assets-Liab 5-6'!J4</f>
        <v>1384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11774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11774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11774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11679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11679</v>
      </c>
      <c r="D6229" s="2" t="str">
        <f t="shared" si="96"/>
        <v>Error?</v>
      </c>
      <c r="E6229" s="2" t="s">
        <v>199</v>
      </c>
    </row>
    <row r="6230" spans="1:5" x14ac:dyDescent="0.2">
      <c r="A6230">
        <v>6169</v>
      </c>
      <c r="B6230" s="138">
        <f>'Acct Summary 7-8'!J20</f>
        <v>95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95</v>
      </c>
      <c r="D6263" s="2" t="str">
        <f t="shared" si="96"/>
        <v>Error?</v>
      </c>
      <c r="E6263" s="2" t="s">
        <v>199</v>
      </c>
    </row>
    <row r="6264" spans="1:5" x14ac:dyDescent="0.2">
      <c r="A6264">
        <v>6203</v>
      </c>
      <c r="B6264" s="138">
        <f>'Acct Summary 7-8'!J79</f>
        <v>1289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1384</v>
      </c>
      <c r="D6266" s="2" t="str">
        <f t="shared" si="96"/>
        <v>Error?</v>
      </c>
      <c r="E6266" s="2" t="s">
        <v>199</v>
      </c>
    </row>
    <row r="6267" spans="1:5" x14ac:dyDescent="0.2">
      <c r="A6267">
        <v>6206</v>
      </c>
      <c r="B6267" s="138">
        <f>'Acct Summary 7-8'!C82</f>
        <v>137646</v>
      </c>
      <c r="D6267" s="2" t="str">
        <f t="shared" si="96"/>
        <v>Error?</v>
      </c>
      <c r="E6267" s="2" t="s">
        <v>199</v>
      </c>
    </row>
    <row r="6268" spans="1:5" x14ac:dyDescent="0.2">
      <c r="A6268">
        <v>6207</v>
      </c>
      <c r="B6268" s="138">
        <f>'Acct Summary 7-8'!D82</f>
        <v>18110</v>
      </c>
      <c r="D6268" s="2" t="str">
        <f t="shared" si="96"/>
        <v>Error?</v>
      </c>
      <c r="E6268" s="2" t="s">
        <v>199</v>
      </c>
    </row>
    <row r="6269" spans="1:5" x14ac:dyDescent="0.2">
      <c r="A6269">
        <v>6208</v>
      </c>
      <c r="B6269" s="138">
        <f>'Acct Summary 7-8'!E82</f>
        <v>-16368</v>
      </c>
      <c r="D6269" s="2" t="str">
        <f t="shared" si="96"/>
        <v>Error?</v>
      </c>
      <c r="E6269" s="2" t="s">
        <v>199</v>
      </c>
    </row>
    <row r="6270" spans="1:5" x14ac:dyDescent="0.2">
      <c r="A6270">
        <v>6209</v>
      </c>
      <c r="B6270" s="138">
        <f>'Acct Summary 7-8'!F82</f>
        <v>16217</v>
      </c>
      <c r="D6270" s="2" t="str">
        <f t="shared" si="96"/>
        <v>Error?</v>
      </c>
      <c r="E6270" s="2" t="s">
        <v>199</v>
      </c>
    </row>
    <row r="6271" spans="1:5" x14ac:dyDescent="0.2">
      <c r="A6271">
        <v>6210</v>
      </c>
      <c r="B6271" s="138">
        <f>'Acct Summary 7-8'!G82</f>
        <v>4701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987</v>
      </c>
      <c r="D6273" s="2" t="str">
        <f t="shared" si="97"/>
        <v>Error?</v>
      </c>
      <c r="E6273" s="2" t="s">
        <v>199</v>
      </c>
    </row>
    <row r="6274" spans="1:5" x14ac:dyDescent="0.2">
      <c r="A6274">
        <v>6213</v>
      </c>
      <c r="B6274" s="138">
        <f>'Acct Summary 7-8'!J82</f>
        <v>95</v>
      </c>
      <c r="D6274" s="2" t="str">
        <f t="shared" si="97"/>
        <v>Error?</v>
      </c>
      <c r="E6274" s="2" t="s">
        <v>199</v>
      </c>
    </row>
    <row r="6275" spans="1:5" x14ac:dyDescent="0.2">
      <c r="A6275">
        <v>6214</v>
      </c>
      <c r="B6275" s="138">
        <f>'Acct Summary 7-8'!K82</f>
        <v>2</v>
      </c>
      <c r="D6275" s="2" t="str">
        <f t="shared" si="97"/>
        <v>Error?</v>
      </c>
      <c r="E6275" s="2" t="s">
        <v>199</v>
      </c>
    </row>
    <row r="6276" spans="1:5" x14ac:dyDescent="0.2">
      <c r="A6276">
        <v>6215</v>
      </c>
      <c r="B6276" s="138">
        <f>'Acct Summary 7-8'!C83</f>
        <v>0.35028705796127774</v>
      </c>
      <c r="D6276" s="2" t="str">
        <f t="shared" si="97"/>
        <v>Error?</v>
      </c>
      <c r="E6276" s="2" t="s">
        <v>199</v>
      </c>
    </row>
    <row r="6277" spans="1:5" x14ac:dyDescent="0.2">
      <c r="A6277">
        <v>6216</v>
      </c>
      <c r="B6277" s="138">
        <f>'Acct Summary 7-8'!D83</f>
        <v>0.24837820416112352</v>
      </c>
      <c r="D6277" s="2" t="str">
        <f t="shared" si="97"/>
        <v>Error?</v>
      </c>
      <c r="E6277" s="2" t="s">
        <v>199</v>
      </c>
    </row>
    <row r="6278" spans="1:5" x14ac:dyDescent="0.2">
      <c r="A6278">
        <v>6217</v>
      </c>
      <c r="B6278" s="138">
        <f>'Acct Summary 7-8'!E83</f>
        <v>-0.16784077275663703</v>
      </c>
      <c r="D6278" s="2" t="str">
        <f t="shared" si="97"/>
        <v>Error?</v>
      </c>
      <c r="E6278" s="2" t="s">
        <v>199</v>
      </c>
    </row>
    <row r="6279" spans="1:5" x14ac:dyDescent="0.2">
      <c r="A6279">
        <v>6218</v>
      </c>
      <c r="B6279" s="138">
        <f>'Acct Summary 7-8'!F83</f>
        <v>0.58851066918275508</v>
      </c>
      <c r="D6279" s="2" t="str">
        <f t="shared" si="97"/>
        <v>Error?</v>
      </c>
      <c r="E6279" s="2" t="s">
        <v>199</v>
      </c>
    </row>
    <row r="6280" spans="1:5" x14ac:dyDescent="0.2">
      <c r="A6280">
        <v>6219</v>
      </c>
      <c r="B6280" s="138">
        <f>'Acct Summary 7-8'!G83</f>
        <v>0.25357354765629214</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4.7418866655456532E-3</v>
      </c>
      <c r="D6282" s="2" t="str">
        <f t="shared" si="97"/>
        <v>Error?</v>
      </c>
      <c r="E6282" s="2" t="s">
        <v>199</v>
      </c>
    </row>
    <row r="6283" spans="1:5" x14ac:dyDescent="0.2">
      <c r="A6283">
        <v>6222</v>
      </c>
      <c r="B6283" s="138">
        <f>'Acct Summary 7-8'!J83</f>
        <v>6.8641618497109827E-2</v>
      </c>
      <c r="D6283" s="2" t="str">
        <f t="shared" si="97"/>
        <v>Error?</v>
      </c>
      <c r="E6283" s="2" t="s">
        <v>199</v>
      </c>
    </row>
    <row r="6284" spans="1:5" x14ac:dyDescent="0.2">
      <c r="A6284">
        <v>6223</v>
      </c>
      <c r="B6284" s="138">
        <f>'Acct Summary 7-8'!K83</f>
        <v>4.7393364928909956E-3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11613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11613</v>
      </c>
      <c r="D6301" s="2" t="str">
        <f t="shared" si="97"/>
        <v>Error?</v>
      </c>
      <c r="E6301" s="2" t="s">
        <v>199</v>
      </c>
    </row>
    <row r="6302" spans="1:5" x14ac:dyDescent="0.2">
      <c r="A6302">
        <v>6241</v>
      </c>
      <c r="B6302" s="138">
        <f>'Revenues 9-14'!J14</f>
        <v>144</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144</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11774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146280</v>
      </c>
      <c r="D6983" s="2" t="str">
        <f t="shared" si="108"/>
        <v>Error?</v>
      </c>
    </row>
    <row r="6984" spans="1:4" x14ac:dyDescent="0.2">
      <c r="A6984">
        <v>6923</v>
      </c>
      <c r="B6984" s="138">
        <f>'Expenditures 15-22'!K86</f>
        <v>146280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146280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750</v>
      </c>
      <c r="D7009" s="2" t="str">
        <f t="shared" si="108"/>
        <v>Error?</v>
      </c>
    </row>
    <row r="7010" spans="1:4" x14ac:dyDescent="0.2">
      <c r="A7010">
        <v>6949</v>
      </c>
      <c r="B7010" s="138">
        <f>'Expenditures 15-22'!K99</f>
        <v>750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750</v>
      </c>
      <c r="D7012" s="2" t="str">
        <f t="shared" si="108"/>
        <v>Error?</v>
      </c>
    </row>
    <row r="7013" spans="1:4" x14ac:dyDescent="0.2">
      <c r="A7013">
        <v>6952</v>
      </c>
      <c r="B7013" s="138">
        <f>'Expenditures 15-22'!K100</f>
        <v>750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11679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11774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11679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11679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11679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11679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11679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11679</v>
      </c>
      <c r="D7224" s="2" t="str">
        <f t="shared" si="111"/>
        <v>Error?</v>
      </c>
    </row>
    <row r="7225" spans="1:4" x14ac:dyDescent="0.2">
      <c r="A7225">
        <v>7164</v>
      </c>
      <c r="B7225" s="138">
        <f>'Expenditures 15-22'!K343</f>
        <v>95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3147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3147</v>
      </c>
      <c r="D7618" s="2" t="str">
        <f t="shared" si="124"/>
        <v>Error?</v>
      </c>
      <c r="E7618" s="2" t="s">
        <v>19</v>
      </c>
    </row>
    <row r="7619" spans="1:5" x14ac:dyDescent="0.2">
      <c r="A7619">
        <f t="shared" si="123"/>
        <v>7558</v>
      </c>
      <c r="B7619" s="138">
        <f>'Cap Outlay Deprec 26'!H14</f>
        <v>3147</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3147</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126292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15090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29'!D30</f>
        <v>6928</v>
      </c>
      <c r="D7797" s="2" t="str">
        <f t="shared" si="127"/>
        <v>Error?</v>
      </c>
      <c r="E7797" s="4" t="s">
        <v>2020</v>
      </c>
    </row>
    <row r="7798" spans="1:5" x14ac:dyDescent="0.2">
      <c r="A7798">
        <v>7737</v>
      </c>
      <c r="B7798" s="138">
        <f>'Contracts Paid in CY 29'!F30</f>
        <v>6928</v>
      </c>
      <c r="D7798" s="2" t="str">
        <f t="shared" si="127"/>
        <v>Error?</v>
      </c>
      <c r="E7798" s="4" t="s">
        <v>2020</v>
      </c>
    </row>
    <row r="7799" spans="1:5" x14ac:dyDescent="0.2">
      <c r="A7799">
        <v>7738</v>
      </c>
      <c r="B7799" s="138">
        <f>'Contracts Paid in CY 29'!G30</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R42" sqref="R4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3" t="str">
        <f>COVER!A17</f>
        <v>CENTRAL CITY SCHOOL DISTRICT NO. 133</v>
      </c>
      <c r="B7" s="2424"/>
      <c r="C7" s="2424"/>
      <c r="D7" s="2425"/>
      <c r="E7" s="2426">
        <f>COVER!A13</f>
        <v>13058133002</v>
      </c>
      <c r="F7" s="2427"/>
      <c r="G7" s="2433" t="str">
        <f>COVER!T23</f>
        <v>060-006876</v>
      </c>
      <c r="H7" s="2434"/>
      <c r="I7" s="2434"/>
      <c r="J7" s="2434"/>
      <c r="K7" s="2434"/>
      <c r="L7" s="243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07" t="str">
        <f>COVER!T13</f>
        <v>SUSAN J. LYONS, CPA, P.C.</v>
      </c>
      <c r="H9" s="2439"/>
      <c r="I9" s="2439"/>
      <c r="J9" s="2439"/>
      <c r="K9" s="2439"/>
      <c r="L9" s="2440"/>
    </row>
    <row r="10" spans="1:29" ht="13.5" customHeight="1" x14ac:dyDescent="0.2">
      <c r="A10" s="2413" t="str">
        <f>COVER!A38</f>
        <v>TIM BRANON</v>
      </c>
      <c r="B10" s="2414"/>
      <c r="C10" s="2414"/>
      <c r="D10" s="2414"/>
      <c r="E10" s="2414"/>
      <c r="F10" s="2415"/>
      <c r="G10" s="2407" t="str">
        <f>COVER!T17</f>
        <v>5859 U.S. HIGHWAY 51</v>
      </c>
      <c r="H10" s="2408"/>
      <c r="I10" s="2408"/>
      <c r="J10" s="2408"/>
      <c r="K10" s="2408"/>
      <c r="L10" s="2409"/>
    </row>
    <row r="11" spans="1:29" ht="13.5" customHeight="1" x14ac:dyDescent="0.2">
      <c r="A11" s="1185" t="s">
        <v>1599</v>
      </c>
      <c r="B11" s="1186"/>
      <c r="C11" s="1187"/>
      <c r="D11" s="1192"/>
      <c r="E11" s="1187"/>
      <c r="F11" s="1191"/>
      <c r="G11" s="2407" t="str">
        <f>COVER!T19</f>
        <v>ODIN</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slyons1007@gmail.com</v>
      </c>
      <c r="J13" s="2420"/>
      <c r="K13" s="2420"/>
      <c r="L13" s="2421"/>
    </row>
    <row r="14" spans="1:29" ht="13.5" customHeight="1" x14ac:dyDescent="0.2">
      <c r="A14" s="2407" t="str">
        <f>COVER!A19</f>
        <v>129 N. DOUGLAS</v>
      </c>
      <c r="B14" s="2408"/>
      <c r="C14" s="2408"/>
      <c r="D14" s="2408"/>
      <c r="E14" s="2408"/>
      <c r="F14" s="2409"/>
      <c r="G14" s="1196" t="s">
        <v>1247</v>
      </c>
      <c r="H14" s="1194"/>
      <c r="I14" s="1194"/>
      <c r="J14" s="1194"/>
      <c r="K14" s="1194"/>
      <c r="L14" s="1195"/>
    </row>
    <row r="15" spans="1:29" ht="13.5" customHeight="1" x14ac:dyDescent="0.2">
      <c r="A15" s="2407" t="str">
        <f>COVER!A21</f>
        <v>CENTRALIA</v>
      </c>
      <c r="B15" s="2408"/>
      <c r="C15" s="2408"/>
      <c r="D15" s="2408"/>
      <c r="E15" s="2408"/>
      <c r="F15" s="2409"/>
      <c r="G15" s="2404" t="str">
        <f>COVER!T15</f>
        <v>SUSAN J. LYONS</v>
      </c>
      <c r="H15" s="2405"/>
      <c r="I15" s="2405"/>
      <c r="J15" s="2405"/>
      <c r="K15" s="2405"/>
      <c r="L15" s="2406"/>
    </row>
    <row r="16" spans="1:29" ht="12.2" customHeight="1" x14ac:dyDescent="0.2">
      <c r="A16" s="2429">
        <f>COVER!A25</f>
        <v>62801</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1246</v>
      </c>
      <c r="H17" s="1194"/>
      <c r="I17" s="1194"/>
      <c r="J17" s="1194"/>
      <c r="K17" s="1198" t="s">
        <v>1245</v>
      </c>
      <c r="L17" s="1191"/>
      <c r="M17" s="1184"/>
    </row>
    <row r="18" spans="1:13" ht="12.2" customHeight="1" x14ac:dyDescent="0.2">
      <c r="A18" s="2413"/>
      <c r="B18" s="2414"/>
      <c r="C18" s="2414"/>
      <c r="D18" s="2414"/>
      <c r="E18" s="2414"/>
      <c r="F18" s="2415"/>
      <c r="G18" s="2423" t="str">
        <f>COVER!T21</f>
        <v>618-267-3213</v>
      </c>
      <c r="H18" s="2424"/>
      <c r="I18" s="2424"/>
      <c r="J18" s="2424"/>
      <c r="K18" s="2423" t="str">
        <f>COVER!X21</f>
        <v>618-247-3208</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CENTRAL CITY SCHOOL DISTRICT NO. 133</v>
      </c>
      <c r="B1" s="2422"/>
      <c r="C1" s="2422"/>
      <c r="D1" s="2422"/>
    </row>
    <row r="2" spans="1:11" s="1215" customFormat="1" ht="12.75" x14ac:dyDescent="0.2">
      <c r="A2" s="2446">
        <f>'Single Audit Cover'!E7</f>
        <v>13058133002</v>
      </c>
      <c r="B2" s="2447"/>
      <c r="C2" s="2447"/>
      <c r="D2" s="2447"/>
    </row>
    <row r="3" spans="1:11" s="1215" customFormat="1" ht="12.75" x14ac:dyDescent="0.2">
      <c r="A3" s="2445" t="s">
        <v>1593</v>
      </c>
      <c r="B3" s="2422"/>
      <c r="C3" s="2422"/>
      <c r="D3" s="242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CENTRAL CITY SCHOOL DISTRICT NO. 133</v>
      </c>
      <c r="B1" s="2449"/>
      <c r="C1" s="2449"/>
      <c r="D1" s="2449"/>
      <c r="E1" s="2449"/>
    </row>
    <row r="2" spans="1:5" x14ac:dyDescent="0.2">
      <c r="A2" s="2450">
        <f>'Single Audit Cover'!E7</f>
        <v>13058133002</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365256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13315</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-14280</v>
      </c>
    </row>
    <row r="19" spans="1:4" ht="13.5" thickBot="1" x14ac:dyDescent="0.25">
      <c r="A19" s="1265" t="s">
        <v>1297</v>
      </c>
      <c r="D19" s="1266">
        <f>SUM(D10:D17)</f>
        <v>364291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364291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364291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CENTRAL CITY SCHOOL DISTRICT NO. 133</v>
      </c>
      <c r="B1" s="2462"/>
      <c r="C1" s="2462"/>
      <c r="D1" s="2462"/>
      <c r="E1" s="2462"/>
      <c r="F1" s="2462"/>
    </row>
    <row r="2" spans="1:7" ht="13.5" customHeight="1" x14ac:dyDescent="0.2">
      <c r="A2" s="2463">
        <f>'Single Audit Cover'!E7</f>
        <v>13058133002</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69" t="s">
        <v>1332</v>
      </c>
      <c r="D15" s="2459" t="s">
        <v>1331</v>
      </c>
      <c r="E15" s="2459"/>
      <c r="F15" s="2459"/>
    </row>
    <row r="16" spans="1:7" ht="13.5" customHeight="1" x14ac:dyDescent="0.2">
      <c r="A16" s="1282"/>
      <c r="B16" s="1276" t="s">
        <v>1330</v>
      </c>
      <c r="C16" s="1869" t="s">
        <v>1329</v>
      </c>
      <c r="D16" s="2460" t="s">
        <v>1670</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56">
        <f>+C33+C34</f>
        <v>0</v>
      </c>
      <c r="F34" s="2457"/>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68"/>
      <c r="C50" s="1868"/>
      <c r="D50" s="1868"/>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CENTRAL CITY SCHOOL DISTRICT NO. 133</v>
      </c>
      <c r="C1" s="2466"/>
      <c r="D1" s="2466"/>
      <c r="E1" s="2466"/>
      <c r="F1" s="2466"/>
      <c r="G1" s="2466"/>
      <c r="H1" s="2466"/>
      <c r="I1" s="2466"/>
      <c r="J1" s="2466"/>
      <c r="K1" s="2466"/>
      <c r="L1" s="2466"/>
      <c r="M1" s="2466"/>
    </row>
    <row r="2" spans="2:14" ht="15" x14ac:dyDescent="0.2">
      <c r="B2" s="2463">
        <f>'Single Audit Cover'!E7</f>
        <v>13058133002</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CENTRAL CITY SCHOOL DISTRICT NO. 133</v>
      </c>
      <c r="C1" s="2481"/>
      <c r="D1" s="2481"/>
      <c r="E1" s="2481"/>
      <c r="F1" s="2481"/>
      <c r="G1" s="2481"/>
      <c r="H1" s="2481"/>
      <c r="I1" s="2481"/>
      <c r="J1" s="1422"/>
    </row>
    <row r="2" spans="2:10" s="317" customFormat="1" ht="12.75" customHeight="1" x14ac:dyDescent="0.2">
      <c r="B2" s="2482">
        <f>'Single Audit Cover'!E7</f>
        <v>13058133002</v>
      </c>
      <c r="C2" s="2483"/>
      <c r="D2" s="2483"/>
      <c r="E2" s="2483"/>
      <c r="F2" s="2483"/>
      <c r="G2" s="2483"/>
      <c r="H2" s="2483"/>
      <c r="I2" s="2483"/>
      <c r="J2" s="1422"/>
    </row>
    <row r="3" spans="2:10" s="317" customFormat="1" ht="12.75" customHeight="1" x14ac:dyDescent="0.2">
      <c r="B3" s="2484" t="s">
        <v>1347</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1346</v>
      </c>
      <c r="C7" s="2485"/>
      <c r="D7" s="2485"/>
      <c r="E7" s="2485"/>
      <c r="F7" s="2485"/>
      <c r="G7" s="2485"/>
      <c r="H7" s="2485"/>
      <c r="I7" s="248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6"/>
      <c r="D11" s="248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7"/>
      <c r="E29" s="2487"/>
      <c r="F29" s="2487"/>
      <c r="G29" s="2487"/>
      <c r="H29" s="2487"/>
      <c r="I29" s="248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8" t="s">
        <v>1854</v>
      </c>
      <c r="D37" s="2489"/>
      <c r="E37" s="2489"/>
      <c r="F37" s="2490"/>
      <c r="G37" s="2488" t="s">
        <v>1674</v>
      </c>
      <c r="H37" s="2489"/>
      <c r="I37" s="2490"/>
    </row>
    <row r="38" spans="2:9" ht="16.5" customHeight="1" x14ac:dyDescent="0.2">
      <c r="B38" s="1444"/>
      <c r="C38" s="2476"/>
      <c r="D38" s="2477"/>
      <c r="E38" s="2477"/>
      <c r="F38" s="2478"/>
      <c r="G38" s="2491"/>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1675</v>
      </c>
      <c r="D43" s="2470"/>
      <c r="E43" s="2470"/>
      <c r="F43" s="2471"/>
      <c r="G43" s="2472">
        <f>SUM(G38:I42)</f>
        <v>0</v>
      </c>
      <c r="H43" s="2472"/>
      <c r="I43" s="2472"/>
    </row>
    <row r="44" spans="2:9" ht="12.75" customHeight="1" x14ac:dyDescent="0.2"/>
    <row r="45" spans="2:9" ht="12.75" customHeight="1" x14ac:dyDescent="0.2">
      <c r="B45" s="1435" t="s">
        <v>1952</v>
      </c>
      <c r="D45" s="2473">
        <v>0</v>
      </c>
      <c r="E45" s="2474"/>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5"/>
      <c r="F49" s="2475"/>
      <c r="G49" s="2475"/>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32" right="0.27" top="0.68" bottom="0.47" header="0.5" footer="0.31"/>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I38" sqref="I38:S3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CENTRAL CITY SCHOOL DISTRICT NO. 133</v>
      </c>
      <c r="C1" s="2480"/>
      <c r="D1" s="2480"/>
      <c r="E1" s="2480"/>
      <c r="F1" s="2480"/>
      <c r="G1" s="2480"/>
      <c r="H1" s="2480"/>
      <c r="I1" s="2480"/>
      <c r="J1" s="2480"/>
      <c r="K1" s="2480"/>
      <c r="L1" s="1374"/>
      <c r="M1" s="1374"/>
    </row>
    <row r="2" spans="1:13" ht="12" customHeight="1" x14ac:dyDescent="0.2">
      <c r="B2" s="2482">
        <f>'Single Audit Cover'!E7</f>
        <v>13058133002</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2087</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t="s">
        <v>2088</v>
      </c>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65.25" customHeight="1" x14ac:dyDescent="0.2">
      <c r="B17" s="2495" t="s">
        <v>2089</v>
      </c>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t="s">
        <v>2090</v>
      </c>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t="s">
        <v>2091</v>
      </c>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t="s">
        <v>2092</v>
      </c>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30.75" customHeight="1" x14ac:dyDescent="0.2">
      <c r="B29" s="2494" t="s">
        <v>2093</v>
      </c>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55.5" customHeight="1" x14ac:dyDescent="0.2">
      <c r="B32" s="2494" t="s">
        <v>2094</v>
      </c>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K11" sqref="K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CENTRAL CITY SCHOOL DISTRICT NO. 133</v>
      </c>
      <c r="C1" s="2480"/>
      <c r="D1" s="2480"/>
      <c r="E1" s="2480"/>
      <c r="F1" s="2480"/>
      <c r="G1" s="2480"/>
      <c r="H1" s="2480"/>
      <c r="I1" s="2480"/>
      <c r="J1" s="2480"/>
      <c r="K1" s="2480"/>
      <c r="L1" s="1374"/>
      <c r="M1" s="1374"/>
    </row>
    <row r="2" spans="1:13" ht="12" customHeight="1" x14ac:dyDescent="0.2">
      <c r="B2" s="2482">
        <f>'Single Audit Cover'!E7</f>
        <v>13058133002</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954"/>
      <c r="M3" s="1954"/>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CENTRAL CITY SCHOOL DISTRICT NO. 133</v>
      </c>
      <c r="C1" s="2503"/>
      <c r="D1" s="2503"/>
      <c r="E1" s="2503"/>
      <c r="F1" s="2503"/>
      <c r="G1" s="2503"/>
      <c r="H1" s="2503"/>
      <c r="I1" s="2503"/>
      <c r="J1" s="2503"/>
      <c r="K1" s="2503"/>
      <c r="L1" s="1465"/>
    </row>
    <row r="2" spans="1:12" ht="12.75" customHeight="1" x14ac:dyDescent="0.2">
      <c r="B2" s="2504">
        <f>'Single Audit Cover'!E7</f>
        <v>13058133002</v>
      </c>
      <c r="C2" s="2504"/>
      <c r="D2" s="2504"/>
      <c r="E2" s="2504"/>
      <c r="F2" s="2504"/>
      <c r="G2" s="2504"/>
      <c r="H2" s="2504"/>
      <c r="I2" s="2504"/>
      <c r="J2" s="2504"/>
      <c r="K2" s="2504"/>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CENTRAL CITY SCHOOL DISTRICT NO. 133</v>
      </c>
      <c r="C1" s="2480"/>
      <c r="D1" s="2480"/>
      <c r="E1" s="1491"/>
    </row>
    <row r="2" spans="2:5" s="1282" customFormat="1" ht="12.75" customHeight="1" x14ac:dyDescent="0.2">
      <c r="B2" s="2482">
        <f>'Single Audit Cover'!E7</f>
        <v>13058133002</v>
      </c>
      <c r="C2" s="2482"/>
      <c r="D2" s="2482"/>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4F8B6-F742-48D8-9F13-1076A7DC5E6F}">
  <ds:schemaRefs>
    <ds:schemaRef ds:uri="http://purl.org/dc/term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4d435f69-8686-490b-bd6d-b153bf22ab50"/>
    <ds:schemaRef ds:uri="6ce3111e-7420-4802-b50a-75d4e9a0b980"/>
    <ds:schemaRef ds:uri="d21dc803-237d-4c68-8692-8d731fd29118"/>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DELUKA MORGAN</cp:lastModifiedBy>
  <cp:lastPrinted>2019-01-07T19:21:27Z</cp:lastPrinted>
  <dcterms:created xsi:type="dcterms:W3CDTF">2003-10-29T19:06:34Z</dcterms:created>
  <dcterms:modified xsi:type="dcterms:W3CDTF">2019-01-08T20:23:05Z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