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s="1"/>
  <c r="B5105" i="106"/>
  <c r="D5105" i="106" s="1"/>
  <c r="B5106" i="106"/>
  <c r="D5106" i="106" s="1"/>
  <c r="B5107" i="106"/>
  <c r="D5107" i="106" s="1"/>
  <c r="B5108" i="106"/>
  <c r="D5108" i="106"/>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c r="B6342" i="106"/>
  <c r="D6342" i="106" s="1"/>
  <c r="B6343" i="106"/>
  <c r="D6343" i="106"/>
  <c r="B6344" i="106"/>
  <c r="D6344" i="106" s="1"/>
  <c r="B6345" i="106"/>
  <c r="D6345" i="106"/>
  <c r="B6346" i="106"/>
  <c r="D6346" i="106" s="1"/>
  <c r="B6347" i="106"/>
  <c r="D6347" i="106" s="1"/>
  <c r="B6348" i="106"/>
  <c r="D6348" i="106" s="1"/>
  <c r="B6349" i="106"/>
  <c r="D6349" i="106"/>
  <c r="B6350" i="106"/>
  <c r="D6350" i="106" s="1"/>
  <c r="B6353" i="106"/>
  <c r="D6353" i="106" s="1"/>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s="1"/>
  <c r="B6733" i="106"/>
  <c r="D6733" i="106" s="1"/>
  <c r="B6734" i="106"/>
  <c r="D6734" i="106"/>
  <c r="B6735" i="106"/>
  <c r="D6735" i="106" s="1"/>
  <c r="B6736" i="106"/>
  <c r="D6736" i="106"/>
  <c r="B6737" i="106"/>
  <c r="D6737" i="106" s="1"/>
  <c r="B6738" i="106"/>
  <c r="D6738" i="106"/>
  <c r="B6739" i="106"/>
  <c r="D6739" i="106" s="1"/>
  <c r="B6740" i="106"/>
  <c r="D6740" i="106" s="1"/>
  <c r="B6741" i="106"/>
  <c r="D6741" i="106" s="1"/>
  <c r="B6742" i="106"/>
  <c r="D6742" i="106"/>
  <c r="B6743" i="106"/>
  <c r="D6743" i="106" s="1"/>
  <c r="B6744" i="106"/>
  <c r="D6744" i="106"/>
  <c r="B6745" i="106"/>
  <c r="D6745" i="106" s="1"/>
  <c r="B6746" i="106"/>
  <c r="D6746" i="106"/>
  <c r="B6747" i="106"/>
  <c r="D6747" i="106" s="1"/>
  <c r="B6748" i="106"/>
  <c r="D6748" i="106" s="1"/>
  <c r="B6749" i="106"/>
  <c r="D6749" i="106" s="1"/>
  <c r="B6750" i="106"/>
  <c r="D6750" i="106"/>
  <c r="B6751" i="106"/>
  <c r="D6751" i="106" s="1"/>
  <c r="B6752" i="106"/>
  <c r="D6752" i="106"/>
  <c r="B6753" i="106"/>
  <c r="D6753" i="106" s="1"/>
  <c r="B6754" i="106"/>
  <c r="D6754" i="106"/>
  <c r="B6755" i="106"/>
  <c r="D6755" i="106" s="1"/>
  <c r="B6756" i="106"/>
  <c r="D6756" i="106" s="1"/>
  <c r="B6757" i="106"/>
  <c r="D6757" i="106" s="1"/>
  <c r="B6758" i="106"/>
  <c r="D6758" i="106"/>
  <c r="B6759" i="106"/>
  <c r="D6759" i="106" s="1"/>
  <c r="B6760" i="106"/>
  <c r="D6760" i="106"/>
  <c r="B6761" i="106"/>
  <c r="D6761" i="106" s="1"/>
  <c r="B6762" i="106"/>
  <c r="D6762" i="106"/>
  <c r="B6763" i="106"/>
  <c r="D6763" i="106" s="1"/>
  <c r="B6764" i="106"/>
  <c r="D6764" i="106" s="1"/>
  <c r="B6765" i="106"/>
  <c r="D6765" i="106" s="1"/>
  <c r="B6766" i="106"/>
  <c r="D6766" i="106"/>
  <c r="B6767" i="106"/>
  <c r="D6767" i="106" s="1"/>
  <c r="B6768" i="106"/>
  <c r="D6768" i="106"/>
  <c r="B6769" i="106"/>
  <c r="D6769" i="106" s="1"/>
  <c r="B6770" i="106"/>
  <c r="D6770" i="106"/>
  <c r="B6771" i="106"/>
  <c r="D6771" i="106" s="1"/>
  <c r="B6772" i="106"/>
  <c r="D6772" i="106" s="1"/>
  <c r="B6773" i="106"/>
  <c r="D6773" i="106" s="1"/>
  <c r="B6774" i="106"/>
  <c r="D6774" i="106"/>
  <c r="B6775" i="106"/>
  <c r="D6775" i="106" s="1"/>
  <c r="B6776" i="106"/>
  <c r="D6776" i="106"/>
  <c r="B6777" i="106"/>
  <c r="D6777" i="106" s="1"/>
  <c r="B6778" i="106"/>
  <c r="D6778" i="106"/>
  <c r="B6779" i="106"/>
  <c r="D6779" i="106" s="1"/>
  <c r="B6780" i="106"/>
  <c r="D6780" i="106" s="1"/>
  <c r="B6781" i="106"/>
  <c r="D6781" i="106" s="1"/>
  <c r="B6782" i="106"/>
  <c r="D6782" i="106"/>
  <c r="B6783" i="106"/>
  <c r="D6783" i="106" s="1"/>
  <c r="B6784" i="106"/>
  <c r="D6784" i="106"/>
  <c r="B6785" i="106"/>
  <c r="D6785" i="106" s="1"/>
  <c r="B6786" i="106"/>
  <c r="D6786" i="106"/>
  <c r="B6787" i="106"/>
  <c r="D6787" i="106" s="1"/>
  <c r="B6788" i="106"/>
  <c r="D6788" i="106" s="1"/>
  <c r="B6789" i="106"/>
  <c r="D6789" i="106" s="1"/>
  <c r="B6790" i="106"/>
  <c r="D6790" i="106"/>
  <c r="B6791" i="106"/>
  <c r="D6791" i="106" s="1"/>
  <c r="B6792" i="106"/>
  <c r="D6792" i="106"/>
  <c r="B6793" i="106"/>
  <c r="D6793" i="106" s="1"/>
  <c r="B6794" i="106"/>
  <c r="D6794" i="106"/>
  <c r="B6795" i="106"/>
  <c r="D6795" i="106" s="1"/>
  <c r="B6796" i="106"/>
  <c r="D6796" i="106" s="1"/>
  <c r="B6797" i="106"/>
  <c r="D6797" i="106" s="1"/>
  <c r="B6798" i="106"/>
  <c r="D6798" i="106"/>
  <c r="B6799" i="106"/>
  <c r="D6799" i="106" s="1"/>
  <c r="B6800" i="106"/>
  <c r="D6800" i="106"/>
  <c r="B6801" i="106"/>
  <c r="D6801" i="106" s="1"/>
  <c r="B6802" i="106"/>
  <c r="D6802" i="106"/>
  <c r="B6803" i="106"/>
  <c r="D6803" i="106" s="1"/>
  <c r="B6804" i="106"/>
  <c r="D6804" i="106" s="1"/>
  <c r="B6805" i="106"/>
  <c r="D6805" i="106" s="1"/>
  <c r="B6806" i="106"/>
  <c r="D6806" i="106"/>
  <c r="B6807" i="106"/>
  <c r="D6807" i="106" s="1"/>
  <c r="B6808" i="106"/>
  <c r="D6808" i="106"/>
  <c r="B6809" i="106"/>
  <c r="D6809" i="106" s="1"/>
  <c r="B6810" i="106"/>
  <c r="D6810" i="106"/>
  <c r="B6811" i="106"/>
  <c r="D6811" i="106" s="1"/>
  <c r="B6812" i="106"/>
  <c r="D6812" i="106" s="1"/>
  <c r="B6813" i="106"/>
  <c r="D6813" i="106" s="1"/>
  <c r="B6814" i="106"/>
  <c r="D6814" i="106"/>
  <c r="B6815" i="106"/>
  <c r="D6815" i="106" s="1"/>
  <c r="B6816" i="106"/>
  <c r="D6816" i="106"/>
  <c r="B6817" i="106"/>
  <c r="D6817" i="106" s="1"/>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6"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5" i="7"/>
  <c r="B1761" i="106" s="1"/>
  <c r="D1761" i="106" s="1"/>
  <c r="D13" i="7"/>
  <c r="B3726" i="106" s="1"/>
  <c r="D3726" i="106" s="1"/>
  <c r="D9" i="7"/>
  <c r="B1767" i="106" s="1"/>
  <c r="D1767" i="106" s="1"/>
  <c r="F136" i="34"/>
  <c r="F131" i="34"/>
  <c r="F127" i="34"/>
  <c r="B5847" i="106"/>
  <c r="D5847" i="106" s="1"/>
  <c r="B5752" i="106"/>
  <c r="D5752" i="106" s="1"/>
  <c r="F106" i="34"/>
  <c r="B1746" i="106"/>
  <c r="D1746" i="106" s="1"/>
  <c r="D17" i="7"/>
  <c r="B4104" i="106" s="1"/>
  <c r="D4104" i="106" s="1"/>
  <c r="D12" i="7"/>
  <c r="B1769" i="106" s="1"/>
  <c r="D1769" i="106" s="1"/>
  <c r="D15" i="7"/>
  <c r="B1772" i="106" s="1"/>
  <c r="D1772" i="106" s="1"/>
  <c r="J367" i="29" l="1"/>
  <c r="B7245" i="106" s="1"/>
  <c r="D7245" i="106" s="1"/>
  <c r="B7235" i="106"/>
  <c r="D7235" i="106" s="1"/>
  <c r="F64" i="34"/>
  <c r="E38" i="108"/>
  <c r="J77" i="4"/>
  <c r="B6262" i="106" s="1"/>
  <c r="D6262" i="106" s="1"/>
  <c r="F15" i="145"/>
  <c r="F19" i="145" s="1"/>
  <c r="B1274" i="106"/>
  <c r="D1274" i="106" s="1"/>
  <c r="K274" i="5"/>
  <c r="F128" i="34"/>
  <c r="D4" i="7"/>
  <c r="B1760" i="106" s="1"/>
  <c r="D1760" i="106" s="1"/>
  <c r="K28" i="118"/>
  <c r="O27" i="118" s="1"/>
  <c r="O29" i="118" s="1"/>
  <c r="D5" i="4"/>
  <c r="B3406" i="106" s="1"/>
  <c r="D3406" i="106" s="1"/>
  <c r="L367" i="29"/>
  <c r="F69" i="34"/>
  <c r="F50" i="34"/>
  <c r="F44" i="34"/>
  <c r="B1995" i="106"/>
  <c r="D1995" i="106" s="1"/>
  <c r="I24" i="12"/>
  <c r="B1308" i="106"/>
  <c r="D1308" i="106" s="1"/>
  <c r="E174" i="29"/>
  <c r="B1309" i="106" s="1"/>
  <c r="D1309" i="106" s="1"/>
  <c r="H173" i="5"/>
  <c r="F130" i="34"/>
  <c r="D24" i="37"/>
  <c r="B4270" i="106" s="1"/>
  <c r="D4270" i="106" s="1"/>
  <c r="I274" i="5"/>
  <c r="K173" i="5"/>
  <c r="K6" i="4" s="1"/>
  <c r="B3570" i="106" s="1"/>
  <c r="D3570" i="106" s="1"/>
  <c r="G172" i="5"/>
  <c r="F172" i="5"/>
  <c r="B5644" i="106" s="1"/>
  <c r="D5644" i="106" s="1"/>
  <c r="L342" i="29"/>
  <c r="F42" i="34"/>
  <c r="B7231" i="106"/>
  <c r="D7231" i="106" s="1"/>
  <c r="B1364" i="106"/>
  <c r="D1364" i="106" s="1"/>
  <c r="G210" i="29"/>
  <c r="D6103" i="106"/>
  <c r="H365" i="29"/>
  <c r="B3621" i="106"/>
  <c r="D3621" i="106" s="1"/>
  <c r="C367" i="29"/>
  <c r="K76" i="4"/>
  <c r="B3586" i="106" s="1"/>
  <c r="D3586" i="106" s="1"/>
  <c r="K285" i="29"/>
  <c r="D109" i="5"/>
  <c r="B5356" i="106" s="1"/>
  <c r="D5356" i="106" s="1"/>
  <c r="E109" i="5"/>
  <c r="E4" i="4" s="1"/>
  <c r="B2630" i="106" s="1"/>
  <c r="D2630" i="106" s="1"/>
  <c r="D7" i="7"/>
  <c r="B1763" i="106" s="1"/>
  <c r="D1763" i="106" s="1"/>
  <c r="C342" i="29"/>
  <c r="B7216" i="106" s="1"/>
  <c r="D7216" i="106" s="1"/>
  <c r="D11" i="7"/>
  <c r="B1768" i="106" s="1"/>
  <c r="D1768" i="106" s="1"/>
  <c r="G352" i="29"/>
  <c r="B3649" i="106" s="1"/>
  <c r="D3649" i="106" s="1"/>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F73" i="34" l="1"/>
  <c r="G15" i="4"/>
  <c r="B6032" i="106" s="1"/>
  <c r="D6032" i="106" s="1"/>
  <c r="H367" i="29"/>
  <c r="B3660" i="106" s="1"/>
  <c r="D3660" i="106" s="1"/>
  <c r="B7242" i="106"/>
  <c r="D7242" i="106" s="1"/>
  <c r="G173" i="5"/>
  <c r="B5770" i="106"/>
  <c r="D5770" i="106" s="1"/>
  <c r="B1996" i="106"/>
  <c r="D1996" i="106" s="1"/>
  <c r="I26" i="12"/>
  <c r="B7741" i="106" s="1"/>
  <c r="D7741" i="106" s="1"/>
  <c r="D274" i="5"/>
  <c r="D44" i="36"/>
  <c r="B5906" i="106"/>
  <c r="D5906" i="106" s="1"/>
  <c r="H6" i="4"/>
  <c r="B2656" i="106" s="1"/>
  <c r="D2656" i="106" s="1"/>
  <c r="G15" i="145"/>
  <c r="H275" i="5"/>
  <c r="B1365" i="106"/>
  <c r="D1365" i="106" s="1"/>
  <c r="F65" i="34"/>
  <c r="D4" i="4"/>
  <c r="B2564" i="106" s="1"/>
  <c r="D2564" i="106" s="1"/>
  <c r="B5653" i="106"/>
  <c r="D5653"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B5778" i="106" l="1"/>
  <c r="D5778" i="106" s="1"/>
  <c r="G6" i="4"/>
  <c r="B2604" i="106" s="1"/>
  <c r="D2604" i="106" s="1"/>
  <c r="C6" i="4"/>
  <c r="B2553" i="106" s="1"/>
  <c r="D2553" i="106" s="1"/>
  <c r="G41" i="108"/>
  <c r="G44" i="108" s="1"/>
  <c r="G45" i="108" s="1"/>
  <c r="E41" i="108"/>
  <c r="E44" i="108" s="1"/>
  <c r="E45" i="108" s="1"/>
  <c r="B2655" i="106"/>
  <c r="D2655" i="106" s="1"/>
  <c r="H8" i="4"/>
  <c r="J17" i="4"/>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10" i="171" l="1"/>
  <c r="D19" i="171" s="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C8" i="146" l="1"/>
  <c r="D20" i="4"/>
  <c r="D78" i="4"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B2574" i="106" l="1"/>
  <c r="D2574"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<sst xmlns="http://schemas.openxmlformats.org/spreadsheetml/2006/main" count="5128" uniqueCount="2137">
  <si>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</si>
  <si>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</si>
  <si>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</si>
  <si>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</si>
  <si>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</si>
  <si>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</si>
  <si>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</si>
  <si>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</si>
  <si>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</si>
  <si>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</si>
  <si>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</si>
  <si>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</si>
  <si>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</si>
  <si>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</si>
  <si>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</si>
  <si>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</si>
  <si>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</si>
  <si>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</si>
  <si>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</si>
  <si>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</si>
  <si>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</si>
  <si>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</si>
  <si>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</si>
  <si>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</si>
  <si>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</si>
  <si>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</si>
  <si>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</si>
  <si>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</si>
  <si>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</si>
  <si>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</si>
  <si>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</si>
  <si>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</si>
  <si>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</si>
  <si>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</si>
  <si>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</si>
  <si>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</si>
  <si>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</si>
  <si>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</si>
  <si>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</si>
  <si>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</si>
  <si>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</si>
  <si>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</si>
  <si>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</si>
  <si>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</si>
  <si>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</si>
  <si>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</si>
  <si>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</si>
  <si>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</si>
  <si>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</si>
  <si>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</si>
  <si>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</si>
  <si>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</si>
  <si>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</si>
  <si>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</si>
  <si>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</si>
  <si>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</si>
  <si>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</si>
  <si>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</si>
  <si>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</si>
  <si>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</si>
  <si>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</si>
  <si>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</si>
  <si>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</si>
  <si>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</si>
  <si>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</si>
  <si>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</si>
  <si>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</si>
  <si>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</si>
  <si>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</si>
  <si>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</si>
  <si>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</si>
  <si>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</si>
  <si>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</si>
  <si>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</si>
  <si>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</si>
  <si>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</si>
  <si>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</si>
  <si>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</si>
  <si>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</si>
  <si>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</si>
  <si>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</si>
  <si>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</si>
  <si>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</si>
  <si>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</si>
  <si>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</si>
  <si>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</si>
  <si>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</si>
  <si>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</si>
  <si>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</si>
  <si>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</si>
  <si>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</si>
  <si>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</si>
  <si>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</si>
  <si>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</si>
  <si>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</si>
  <si>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</si>
  <si>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</si>
  <si>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</si>
  <si>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</si>
  <si>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</si>
  <si>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</si>
  <si>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</si>
  <si>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</si>
  <si>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</si>
  <si>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</si>
  <si>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</si>
  <si>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</si>
  <si>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</si>
  <si>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</si>
  <si>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</si>
  <si>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</si>
  <si>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</si>
  <si>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</si>
  <si>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</si>
  <si>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</si>
  <si>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</si>
  <si>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</si>
  <si>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</si>
  <si>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</si>
  <si>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</si>
  <si>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</si>
  <si>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</si>
  <si>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</si>
  <si>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</si>
  <si>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</si>
  <si>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</si>
  <si>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</si>
  <si>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</si>
  <si>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</si>
  <si>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</si>
  <si>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</si>
  <si>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</si>
  <si>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</si>
  <si>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</si>
  <si>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</si>
  <si>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</si>
  <si>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</si>
  <si>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</si>
  <si>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</si>
  <si>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</si>
  <si>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</si>
  <si>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</si>
  <si>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</si>
  <si>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</si>
  <si>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</si>
  <si>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</si>
  <si>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</si>
  <si>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</si>
  <si>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</si>
  <si>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</si>
  <si>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</si>
  <si>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</si>
  <si>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</si>
  <si>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</si>
  <si>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</si>
  <si>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</si>
  <si>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</si>
  <si>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</si>
  <si>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</si>
  <si>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</si>
  <si>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</si>
  <si>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</si>
  <si>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</si>
  <si>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</si>
  <si>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</si>
  <si>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</si>
  <si>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</si>
  <si>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</si>
  <si>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</si>
  <si>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</si>
  <si>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</si>
  <si>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</si>
  <si>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</si>
  <si>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</si>
  <si>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</si>
  <si>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</si>
  <si>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</si>
  <si>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</si>
  <si>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</si>
  <si>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</si>
  <si>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</si>
  <si>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</si>
  <si>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</si>
  <si>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</si>
  <si>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</si>
  <si>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</si>
  <si>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</si>
  <si>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</si>
  <si>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</si>
  <si>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</si>
  <si>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</si>
  <si>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</si>
  <si>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</si>
  <si>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</si>
  <si>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</si>
  <si>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</si>
  <si>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</si>
  <si>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</si>
  <si>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</si>
  <si>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</si>
  <si>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</si>
  <si>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</si>
  <si>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</si>
  <si>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</si>
  <si>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</si>
  <si>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</si>
  <si>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</si>
  <si>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</si>
  <si>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</si>
  <si>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</si>
  <si>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</si>
  <si>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</si>
  <si>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</si>
  <si>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</si>
  <si>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</si>
  <si>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</si>
  <si>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</si>
  <si>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</si>
  <si>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</si>
  <si>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</si>
  <si>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</si>
  <si>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</si>
  <si>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</si>
  <si>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</si>
  <si>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</si>
  <si>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</si>
  <si>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</si>
  <si>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</si>
  <si>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</si>
  <si>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</si>
  <si>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</si>
  <si>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</si>
  <si>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</si>
  <si>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</si>
  <si>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</si>
  <si>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</si>
  <si>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</si>
  <si>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</si>
  <si>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</si>
  <si>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</si>
  <si>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</si>
  <si>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</si>
  <si>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</si>
  <si>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</si>
  <si>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</si>
  <si>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</si>
  <si>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</si>
  <si>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</si>
  <si>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</si>
  <si>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</si>
  <si>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</si>
  <si>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</si>
  <si>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</si>
  <si>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</si>
  <si>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</si>
  <si>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</si>
  <si>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</si>
  <si>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</si>
  <si>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</si>
  <si>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</si>
  <si>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</si>
  <si>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</si>
  <si>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</si>
  <si>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</si>
  <si>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</si>
  <si>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</si>
  <si>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</si>
  <si>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</si>
  <si>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</si>
  <si>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</si>
  <si>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</si>
  <si>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</si>
  <si>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</si>
  <si>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</si>
  <si>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</si>
  <si>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</si>
  <si>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</si>
  <si>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</si>
  <si>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</si>
  <si>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</si>
  <si>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</si>
  <si>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</si>
  <si>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</si>
  <si>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</si>
  <si>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</si>
  <si>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</si>
  <si>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</si>
  <si>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</si>
  <si>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</si>
  <si>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</si>
  <si>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</si>
  <si>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</si>
  <si>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</si>
  <si>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</si>
  <si>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</si>
  <si>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</si>
  <si>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</si>
  <si>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</si>
  <si>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</si>
  <si>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</si>
  <si>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</si>
  <si>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</si>
  <si>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</si>
  <si>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</si>
  <si>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</si>
  <si>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</si>
  <si>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</si>
  <si>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</si>
  <si>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</si>
  <si>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</si>
  <si>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</si>
  <si>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</si>
  <si>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</si>
  <si>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</si>
  <si>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</si>
  <si>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</si>
  <si>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</si>
  <si>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</si>
  <si>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</si>
  <si>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</si>
  <si>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</si>
  <si>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</si>
  <si>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</si>
  <si>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</si>
  <si>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</si>
  <si>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</si>
  <si>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</si>
  <si>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</si>
  <si>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</si>
  <si>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</si>
  <si>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</si>
  <si>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</si>
  <si>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</si>
  <si>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</si>
  <si>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</si>
  <si>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</si>
  <si>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</si>
  <si>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</si>
  <si>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</si>
  <si>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</si>
  <si>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</si>
  <si>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</si>
  <si>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</si>
  <si>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</si>
  <si>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</si>
  <si>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</si>
  <si>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</si>
  <si>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</si>
  <si>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</si>
  <si>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</si>
  <si>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</si>
  <si>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</si>
  <si>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</si>
  <si>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</si>
  <si>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</si>
  <si>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</si>
  <si>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</si>
  <si>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</si>
  <si>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</si>
  <si>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</si>
  <si>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</si>
  <si>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</si>
  <si>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</si>
  <si>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</si>
  <si>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</si>
  <si>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</si>
  <si>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</si>
  <si>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</si>
  <si>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</si>
  <si>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</si>
  <si>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</si>
  <si>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</si>
  <si>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</si>
  <si>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</si>
  <si>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</si>
  <si>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</si>
  <si>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</si>
  <si>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</si>
  <si>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</si>
  <si>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</si>
  <si>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</si>
  <si>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</si>
  <si>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</si>
  <si>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</si>
  <si>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</si>
  <si>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</si>
  <si>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</si>
  <si>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</si>
  <si>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</si>
  <si>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</si>
  <si>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</si>
  <si>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</si>
  <si>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</si>
  <si>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</si>
  <si>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</si>
  <si>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</si>
  <si>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</si>
  <si>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</si>
  <si>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</si>
  <si>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</si>
  <si>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</si>
  <si>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</si>
  <si>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</si>
  <si>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</si>
  <si>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</si>
  <si>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</si>
  <si>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</si>
  <si>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</si>
  <si>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</si>
  <si>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</si>
  <si>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</si>
  <si>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</si>
  <si>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</si>
  <si>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</si>
  <si>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</si>
  <si>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</si>
  <si>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</si>
  <si>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</si>
  <si>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</si>
  <si>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</si>
  <si>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</si>
  <si>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</si>
  <si>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</si>
  <si>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</si>
  <si>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</si>
  <si>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</si>
  <si>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</si>
  <si>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</si>
  <si>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</si>
  <si>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</si>
  <si>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</si>
  <si>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</si>
  <si>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</si>
  <si>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</si>
  <si>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</si>
  <si>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</si>
  <si>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</si>
  <si>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</si>
  <si>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</si>
  <si>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</si>
  <si>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</si>
  <si>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</si>
  <si>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</si>
  <si>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</si>
  <si>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</si>
  <si>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</si>
  <si>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</si>
  <si>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</si>
  <si>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</si>
  <si>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</si>
  <si>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</si>
  <si>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</si>
  <si>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</si>
  <si>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</si>
  <si>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</si>
  <si>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</si>
  <si>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</si>
  <si>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</si>
  <si>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</si>
  <si>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</si>
  <si>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</si>
  <si>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</si>
  <si>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</si>
  <si>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</si>
  <si>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</si>
  <si>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</si>
  <si>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</si>
  <si>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</si>
  <si>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</si>
  <si>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</si>
  <si>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</si>
  <si>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</si>
  <si>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</si>
  <si>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</si>
  <si>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</si>
  <si>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</si>
  <si>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</si>
  <si>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</si>
  <si>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</si>
  <si>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</si>
  <si>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</si>
  <si>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</si>
  <si>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</si>
  <si>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</si>
  <si>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</si>
  <si>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</si>
  <si>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</si>
  <si>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</si>
  <si>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</si>
  <si>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</si>
  <si>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</si>
  <si>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</si>
  <si>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</si>
  <si>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</si>
  <si>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</si>
  <si>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</si>
  <si>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</si>
  <si>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</si>
  <si>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</si>
  <si>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</si>
  <si>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</si>
  <si>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</si>
  <si>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</si>
  <si>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</si>
  <si>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</si>
  <si>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</si>
  <si>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</si>
  <si>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</si>
  <si>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</si>
  <si>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</si>
  <si>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</si>
  <si>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</si>
  <si>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</si>
  <si>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</si>
  <si>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</si>
  <si>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</si>
  <si>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</si>
  <si>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</si>
  <si>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</si>
  <si>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</si>
  <si>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</si>
  <si>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</si>
  <si>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</si>
  <si>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</si>
  <si>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</si>
  <si>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</si>
  <si>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</si>
  <si>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</si>
  <si>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</si>
  <si>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</si>
  <si>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</si>
  <si>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</si>
  <si>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</si>
  <si>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</si>
  <si>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</si>
  <si>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</si>
  <si>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</si>
  <si>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</si>
  <si>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</si>
  <si>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</si>
  <si>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</si>
  <si>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</si>
  <si>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</si>
  <si>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</si>
  <si>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</si>
  <si>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</si>
  <si>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</si>
  <si>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</si>
  <si>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</si>
  <si>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</si>
  <si>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</si>
  <si>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</si>
  <si>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</si>
  <si>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</si>
  <si>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</si>
  <si>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</si>
  <si>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</si>
  <si>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</si>
  <si>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</si>
  <si>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</si>
  <si>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</si>
  <si>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</si>
  <si>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</si>
  <si>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</si>
  <si>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</si>
  <si>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</si>
  <si>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</si>
  <si>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</si>
  <si>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</si>
  <si>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</si>
  <si>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</si>
  <si>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</si>
  <si>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</si>
  <si>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</si>
  <si>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</si>
  <si>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</si>
  <si>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</si>
  <si>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</si>
  <si>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</si>
  <si>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</si>
  <si>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</si>
  <si>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</si>
  <si>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</si>
  <si>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</si>
  <si>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</si>
  <si>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</si>
  <si>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</si>
  <si>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</si>
  <si>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</si>
  <si>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</si>
  <si>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</si>
  <si>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</si>
  <si>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</si>
  <si>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</si>
  <si>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</si>
  <si>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</si>
  <si>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</si>
  <si>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</si>
  <si>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</si>
  <si>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</si>
  <si>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</si>
  <si>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</si>
  <si>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</si>
  <si>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</si>
  <si>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</si>
  <si>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</si>
  <si>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</si>
  <si>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</si>
  <si>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</si>
  <si>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</si>
  <si>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</si>
  <si>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</si>
  <si>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</si>
  <si>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</si>
  <si>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</si>
  <si>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</si>
  <si>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</si>
  <si>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</si>
  <si>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</si>
  <si>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</si>
  <si>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</si>
  <si>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</si>
  <si>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</si>
  <si>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</si>
  <si>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</si>
  <si>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</si>
  <si>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</si>
  <si>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</si>
  <si>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</si>
  <si>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</si>
  <si>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</si>
  <si>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</si>
  <si>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</si>
  <si>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</si>
  <si>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</si>
  <si>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</si>
  <si>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</si>
  <si>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</si>
  <si>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</si>
  <si>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</si>
  <si>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</si>
  <si>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</si>
  <si>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</si>
  <si>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</si>
  <si>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</si>
  <si>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</si>
  <si>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</si>
  <si>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</si>
  <si>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</si>
  <si>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</si>
  <si>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</si>
  <si>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</si>
  <si>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</si>
  <si>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</si>
  <si>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</si>
  <si>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</si>
  <si>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</si>
  <si>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</si>
  <si>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</si>
  <si>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</si>
  <si>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</si>
  <si>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</si>
  <si>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</si>
  <si>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</si>
  <si>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</si>
  <si>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</si>
  <si>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</si>
  <si>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</si>
  <si>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</si>
  <si>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</si>
  <si>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</si>
  <si>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</si>
  <si>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</si>
  <si>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</si>
  <si>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</si>
  <si>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</si>
  <si>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</si>
  <si>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</si>
  <si>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</si>
  <si>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</si>
  <si>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</si>
  <si>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</si>
  <si>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</si>
  <si>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</si>
  <si>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</si>
  <si>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</si>
  <si>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</si>
  <si>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</si>
  <si>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</si>
  <si>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</si>
  <si>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</si>
  <si>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</si>
  <si>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</si>
  <si>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</si>
  <si>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</si>
  <si>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</si>
  <si>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</si>
  <si>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</si>
  <si>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</si>
  <si>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</si>
  <si>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</si>
  <si>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</si>
  <si>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</si>
  <si>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</si>
  <si>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</si>
  <si>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</si>
  <si>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</si>
  <si>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</si>
  <si>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</si>
  <si>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</si>
  <si>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</si>
  <si>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</si>
  <si>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</si>
  <si>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</si>
  <si>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</si>
  <si>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</si>
  <si>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</si>
  <si>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</si>
  <si>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</si>
  <si>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</si>
  <si>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</si>
  <si>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</si>
  <si>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</si>
  <si>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</si>
  <si>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</si>
  <si>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</si>
  <si>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</si>
  <si>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</si>
  <si>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</si>
  <si>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</si>
  <si>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</si>
  <si>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</si>
  <si>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</si>
  <si>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</si>
  <si>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</si>
  <si>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</si>
  <si>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</si>
  <si>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</si>
  <si>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</si>
  <si>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</si>
  <si>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</si>
  <si>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</si>
  <si>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</si>
  <si>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</si>
  <si>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</si>
  <si>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</si>
  <si>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</si>
  <si>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</si>
  <si>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</si>
  <si>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</si>
  <si>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</si>
  <si>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</si>
  <si>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</si>
  <si>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</si>
  <si>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</si>
  <si>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</si>
  <si>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</si>
  <si>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</si>
  <si>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</si>
  <si>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</si>
  <si>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</si>
  <si>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</si>
  <si>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</si>
  <si>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</si>
  <si>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</si>
  <si>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</si>
  <si>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</si>
  <si>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</si>
  <si>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</si>
  <si>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</si>
  <si>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</si>
  <si>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</si>
  <si>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</si>
  <si>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</si>
  <si>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</si>
  <si>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</si>
  <si>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</si>
  <si>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</si>
  <si>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</si>
  <si>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</si>
  <si>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</si>
  <si>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</si>
  <si>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</si>
  <si>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</si>
  <si>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</si>
  <si>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</si>
  <si>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</si>
  <si>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</si>
  <si>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</si>
  <si>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</si>
  <si>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</si>
  <si>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</si>
  <si>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</si>
  <si>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</si>
  <si>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</si>
  <si>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</si>
  <si>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</si>
  <si>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</si>
  <si>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</si>
  <si>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</si>
  <si>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</si>
  <si>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</si>
  <si>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</si>
  <si>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</si>
  <si>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</si>
  <si>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</si>
  <si>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</si>
  <si>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</si>
  <si>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</si>
  <si>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</si>
  <si>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</si>
  <si>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</si>
  <si>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</si>
  <si>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</si>
  <si>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</si>
  <si>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</si>
  <si>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</si>
  <si>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</si>
  <si>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</si>
  <si>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</si>
  <si>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</si>
  <si>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</si>
  <si>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</si>
  <si>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</si>
  <si>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</si>
  <si>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</si>
  <si>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</si>
  <si>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</si>
  <si>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</si>
  <si>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</si>
  <si>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</si>
  <si>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</si>
  <si>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</si>
  <si>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</si>
  <si>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</si>
  <si>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</si>
  <si>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</si>
  <si>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</si>
  <si>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</si>
  <si>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</si>
  <si>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</si>
  <si>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</si>
  <si>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</si>
  <si>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</si>
  <si>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</si>
  <si>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</si>
  <si>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</si>
  <si>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</si>
  <si>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</si>
  <si>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</si>
  <si>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</si>
  <si>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</si>
  <si>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</si>
  <si>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</si>
  <si>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</si>
  <si>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</si>
  <si>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</si>
  <si>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</si>
  <si>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</si>
  <si>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</si>
  <si>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</si>
  <si>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</si>
  <si>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</si>
  <si>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</si>
  <si>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</si>
  <si>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</si>
  <si>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</si>
  <si>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</si>
  <si>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</si>
  <si>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</si>
  <si>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</si>
  <si>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</si>
  <si>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</si>
  <si>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</si>
  <si>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</si>
  <si>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</si>
  <si>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</si>
  <si>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</si>
  <si>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</si>
  <si>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</si>
  <si>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</si>
  <si>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</si>
  <si>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</si>
  <si>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</si>
  <si>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</si>
  <si>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</si>
  <si>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</si>
  <si>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</si>
  <si>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</si>
  <si>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</si>
  <si>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</si>
  <si>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</si>
  <si>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</si>
  <si>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</si>
  <si>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</si>
  <si>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</si>
  <si>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</si>
  <si>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</si>
  <si>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</si>
  <si>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</si>
  <si>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</si>
  <si>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</si>
  <si>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</si>
  <si>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</si>
  <si>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</si>
  <si>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</si>
  <si>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</si>
  <si>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</si>
  <si>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</si>
  <si>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</si>
  <si>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</si>
  <si>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</si>
  <si>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</si>
  <si>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</si>
  <si>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</si>
  <si>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</si>
  <si>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</si>
  <si>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</si>
  <si>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</si>
  <si>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</si>
  <si>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</si>
  <si>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</si>
  <si>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</si>
  <si>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</si>
  <si>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</si>
  <si>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</si>
  <si>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</si>
  <si>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</si>
  <si>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</si>
  <si>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</si>
  <si>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</si>
  <si>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</si>
  <si>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</si>
  <si>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</si>
  <si>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</si>
  <si>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</si>
  <si>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</si>
  <si>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</si>
  <si>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</si>
  <si>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</si>
  <si>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</si>
  <si>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</si>
  <si>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</si>
  <si>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</si>
  <si>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</si>
  <si>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</si>
  <si>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</si>
  <si>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</si>
  <si>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</si>
  <si>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</si>
  <si>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</si>
  <si>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</si>
  <si>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</si>
  <si>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</si>
  <si>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</si>
  <si>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</si>
  <si>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</si>
  <si>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</si>
  <si>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</si>
  <si>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</si>
  <si>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</si>
  <si>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</si>
  <si>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</si>
  <si>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</si>
  <si>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</si>
  <si>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</si>
  <si>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</si>
  <si>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</si>
  <si>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</si>
  <si>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</si>
  <si>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</si>
  <si>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</si>
  <si>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</si>
  <si>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</si>
  <si>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</si>
  <si>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</si>
  <si>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</si>
  <si>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</si>
  <si>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</si>
  <si>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</si>
  <si>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</si>
  <si>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</si>
  <si>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</si>
  <si>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</si>
  <si>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</si>
  <si>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</si>
  <si>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</si>
  <si>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</si>
  <si>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</si>
  <si>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</si>
  <si>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</si>
  <si>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</si>
  <si>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</si>
  <si>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</si>
  <si>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</si>
  <si>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</si>
  <si>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</si>
  <si>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</si>
  <si>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</si>
  <si>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</si>
  <si>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</si>
  <si>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</si>
  <si>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</si>
  <si>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</si>
  <si>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</si>
  <si>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</si>
  <si>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</si>
  <si>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</si>
  <si>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</si>
  <si>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</si>
  <si>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</si>
  <si>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</si>
  <si>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</si>
  <si>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</si>
  <si>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</si>
  <si>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</si>
  <si>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</si>
  <si>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</si>
  <si>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</si>
  <si>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</si>
  <si>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</si>
  <si>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</si>
  <si>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</si>
  <si>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</si>
  <si>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</si>
  <si>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</si>
  <si>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</si>
  <si>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</si>
  <si>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</si>
  <si>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</si>
  <si>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</si>
  <si>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</si>
  <si>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</si>
  <si>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</si>
  <si>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</si>
  <si>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</si>
  <si>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</si>
  <si>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</si>
  <si>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</si>
  <si>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</si>
  <si>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</si>
  <si>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</si>
  <si>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</si>
  <si>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</si>
  <si>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</si>
  <si>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</si>
  <si>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</si>
  <si>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</si>
  <si>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</si>
  <si>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</si>
  <si>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</si>
  <si>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</si>
  <si>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</si>
  <si>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</si>
  <si>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</si>
  <si>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</si>
  <si>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</si>
  <si>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</si>
  <si>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</si>
  <si>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</si>
  <si>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</si>
  <si>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</si>
  <si>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</si>
  <si>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</si>
  <si>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</si>
  <si>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</si>
  <si>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</si>
  <si>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</si>
  <si>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</si>
  <si>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</si>
  <si>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</si>
  <si>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</si>
  <si>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</si>
  <si>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</si>
  <si>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</si>
  <si>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</si>
  <si>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</si>
  <si>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</si>
  <si>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</si>
  <si>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</si>
  <si>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</si>
  <si>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</si>
  <si>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</si>
  <si>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</si>
  <si>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</si>
  <si>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</si>
  <si>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</si>
  <si>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</si>
  <si>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</si>
  <si>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</si>
  <si>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</si>
  <si>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</si>
  <si>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</si>
  <si>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</si>
  <si>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</si>
  <si>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</si>
  <si>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</si>
  <si>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</si>
  <si>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</si>
  <si>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</si>
  <si>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</si>
  <si>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</si>
  <si>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</si>
  <si>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</si>
  <si>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</si>
  <si>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</si>
  <si>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</si>
  <si>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</si>
  <si>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</si>
  <si>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</si>
  <si>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</si>
  <si>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</si>
  <si>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</si>
  <si>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</si>
  <si>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</si>
  <si>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</si>
  <si>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</si>
  <si>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</si>
  <si>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</si>
  <si>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</si>
  <si>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</si>
  <si>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</si>
  <si>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</si>
  <si>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</si>
  <si>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</si>
  <si>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</si>
  <si>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</si>
  <si>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</si>
  <si>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</si>
  <si>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</si>
  <si>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</si>
  <si>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</si>
  <si>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</si>
  <si>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</si>
  <si>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</si>
  <si>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</si>
  <si>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</si>
  <si>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</si>
  <si>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</si>
  <si>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</si>
  <si>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</si>
  <si>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</si>
  <si>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</si>
  <si>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</si>
  <si>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</si>
  <si>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</si>
  <si>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</si>
  <si>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</si>
  <si>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</si>
  <si>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</si>
  <si>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</si>
  <si>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</si>
  <si>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</si>
  <si>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</si>
  <si>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</si>
  <si>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</si>
  <si>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</si>
  <si>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</si>
  <si>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</si>
  <si>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</si>
  <si>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</si>
  <si>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</si>
  <si>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</si>
  <si>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</si>
  <si>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</si>
  <si>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</si>
  <si>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</si>
  <si>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</si>
  <si>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</si>
  <si>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</si>
  <si>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</si>
  <si>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</si>
  <si>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</si>
  <si>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</si>
  <si>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</si>
  <si>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</si>
  <si>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</si>
  <si>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</si>
  <si>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</si>
  <si>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</si>
  <si>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</si>
  <si>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</si>
  <si>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</si>
  <si>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</si>
  <si>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</si>
  <si>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</si>
  <si>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</si>
  <si>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</si>
  <si>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</si>
  <si>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</si>
  <si>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</si>
  <si>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</si>
  <si>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</si>
  <si>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</si>
  <si>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</si>
  <si>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</si>
  <si>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</si>
  <si>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</si>
  <si>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</si>
  <si>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</si>
  <si>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</si>
  <si>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</si>
  <si>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</si>
  <si>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</si>
  <si>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</si>
  <si>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</si>
  <si>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</si>
  <si>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</si>
  <si>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</si>
  <si>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</si>
  <si>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</si>
  <si>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</si>
  <si>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</si>
  <si>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</si>
  <si>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</si>
  <si>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</si>
  <si>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</si>
  <si>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</si>
  <si>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</si>
  <si>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</si>
  <si>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</si>
  <si>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</si>
  <si>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</si>
  <si>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</si>
  <si>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</si>
  <si>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</si>
  <si>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</si>
  <si>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</si>
  <si>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</si>
  <si>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</si>
  <si>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</si>
  <si>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</si>
  <si>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</si>
  <si>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</si>
  <si>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</si>
  <si>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</si>
  <si>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</si>
  <si>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</si>
  <si>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</si>
  <si>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</si>
  <si>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</si>
  <si>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</si>
  <si>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</si>
  <si>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</si>
  <si>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</si>
  <si>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</si>
  <si>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</si>
  <si>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</si>
  <si>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</si>
  <si>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</si>
  <si>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</si>
  <si>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</si>
  <si>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</si>
  <si>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</si>
  <si>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</si>
  <si>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</si>
  <si>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</si>
  <si>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</si>
  <si>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</si>
  <si>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</si>
  <si>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</si>
  <si>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</si>
  <si>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</si>
  <si>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</si>
  <si>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</si>
  <si>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</si>
  <si>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</si>
  <si>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</si>
  <si>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</si>
  <si>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</si>
  <si>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</si>
  <si>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</si>
  <si>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</si>
  <si>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</si>
  <si>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</si>
  <si>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</si>
  <si>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</si>
  <si>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</si>
  <si>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</si>
  <si>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</si>
  <si>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</si>
  <si>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</si>
  <si>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</si>
  <si>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</si>
  <si>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</si>
  <si>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</si>
  <si>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</si>
  <si>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</si>
  <si>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</si>
  <si>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</si>
  <si>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</si>
  <si>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</si>
  <si>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</si>
  <si>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</si>
  <si>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</si>
  <si>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</si>
  <si>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</si>
  <si>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</si>
  <si>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</si>
  <si>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</si>
  <si>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</si>
  <si>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</si>
  <si>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</si>
  <si>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</si>
  <si>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</si>
  <si>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</si>
  <si>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</si>
  <si>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</si>
  <si>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</si>
  <si>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</si>
  <si>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</si>
  <si>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</si>
  <si>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</si>
  <si>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</si>
  <si>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</si>
  <si>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</si>
  <si>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</si>
  <si>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</si>
  <si>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</si>
  <si>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</si>
  <si>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</si>
  <si>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</si>
  <si>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</si>
  <si>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</si>
  <si>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</si>
  <si>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</si>
  <si>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</si>
  <si>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</si>
  <si>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</si>
  <si>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</si>
  <si>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</si>
  <si>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</si>
  <si>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</si>
  <si>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</si>
  <si>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</si>
  <si>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</si>
  <si>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</si>
  <si>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</si>
  <si>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</si>
  <si>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</si>
  <si>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</si>
  <si>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</si>
  <si>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</si>
  <si>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</si>
  <si>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</si>
  <si>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</si>
  <si>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</si>
  <si>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</si>
  <si>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</si>
  <si>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</si>
  <si>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</si>
  <si>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</si>
  <si>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</si>
  <si>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</si>
  <si>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</si>
  <si>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</si>
  <si>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</si>
  <si>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</si>
  <si>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</si>
  <si>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</si>
  <si>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</si>
  <si>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</si>
  <si>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</si>
  <si>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</si>
  <si>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</si>
  <si>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</si>
  <si>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</si>
  <si>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</si>
  <si>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</si>
  <si>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</si>
  <si>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</si>
  <si>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</si>
  <si>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</si>
  <si>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</si>
  <si>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</si>
  <si>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</si>
  <si>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</si>
  <si>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</si>
  <si>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</si>
  <si>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</si>
  <si>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</si>
  <si>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</si>
  <si>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</si>
  <si>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</si>
  <si>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</si>
  <si>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</si>
  <si>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</si>
  <si>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</si>
  <si>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</si>
  <si>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</si>
  <si>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</si>
  <si>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</si>
  <si>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</si>
  <si>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</si>
  <si>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</si>
  <si>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</si>
  <si>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</si>
  <si>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</si>
  <si>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</si>
  <si>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</si>
  <si>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</si>
  <si>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</si>
  <si>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</si>
  <si>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</si>
  <si>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</si>
  <si>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</si>
  <si>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</si>
  <si>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</si>
  <si>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</si>
  <si>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</si>
  <si>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</si>
  <si>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</si>
  <si>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</si>
  <si>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</si>
  <si>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</si>
  <si>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</si>
  <si>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</si>
  <si>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</si>
  <si>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</si>
  <si>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</si>
  <si>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</si>
  <si>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</si>
  <si>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</si>
  <si>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</si>
  <si>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</si>
  <si>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</si>
  <si>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</si>
  <si>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</si>
  <si>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</si>
  <si>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</si>
  <si>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</si>
  <si>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</si>
  <si>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</si>
  <si>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</si>
  <si>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</si>
  <si>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</si>
  <si>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</si>
  <si>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</si>
  <si>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</si>
  <si>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</si>
  <si>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</si>
  <si>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</si>
  <si>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</si>
  <si>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</si>
  <si>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</si>
  <si>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</si>
  <si>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</si>
  <si>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</si>
  <si>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</si>
  <si>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</si>
  <si>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</si>
  <si>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</si>
  <si>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</si>
  <si>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</si>
  <si>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</si>
  <si>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</si>
  <si>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</si>
  <si>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</si>
  <si>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</si>
  <si>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</si>
  <si>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</si>
  <si>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</si>
  <si>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</si>
  <si>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</si>
  <si>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</si>
  <si>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</si>
  <si>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</si>
  <si>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</si>
  <si>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</si>
  <si>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</si>
  <si>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</si>
  <si>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</si>
  <si>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</si>
  <si>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</si>
  <si>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</si>
  <si>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</si>
  <si>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</si>
  <si>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</si>
  <si>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</si>
  <si>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</si>
  <si>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</si>
  <si>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</si>
  <si>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</si>
  <si>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</si>
  <si>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</si>
  <si>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</si>
  <si>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</si>
  <si>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</si>
  <si>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</si>
  <si>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</si>
  <si>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</si>
  <si>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</si>
  <si>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</si>
  <si>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</si>
  <si>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</si>
  <si>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</si>
  <si>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</si>
  <si>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</si>
  <si>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</si>
  <si>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</si>
  <si>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</si>
  <si>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</si>
  <si>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</si>
  <si>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</si>
  <si>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</si>
  <si>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</si>
  <si>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</si>
  <si>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</si>
  <si>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</si>
  <si>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</si>
  <si>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</si>
  <si>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</si>
  <si>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</si>
  <si>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</si>
  <si>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</si>
  <si>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</si>
  <si>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</si>
  <si>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</si>
  <si>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</si>
  <si>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</si>
  <si>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</si>
  <si>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</si>
  <si>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</si>
  <si>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</si>
  <si>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</si>
  <si>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</si>
  <si>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</si>
  <si>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</si>
  <si>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</si>
  <si>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</si>
  <si>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</si>
  <si>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</si>
  <si>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</si>
  <si>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</si>
  <si>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</si>
  <si>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</si>
  <si>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</si>
  <si>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</si>
  <si>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</si>
  <si>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</si>
  <si>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</si>
  <si>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</si>
  <si>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</si>
  <si>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</si>
  <si>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</si>
  <si>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</si>
  <si>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</si>
  <si>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</si>
  <si>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</si>
  <si>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</si>
  <si>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</si>
  <si>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</si>
  <si>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</si>
  <si>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</si>
  <si>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</si>
  <si>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</si>
  <si>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</si>
  <si>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</si>
  <si>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</si>
  <si>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</si>
  <si>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</si>
  <si>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</si>
  <si>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</si>
  <si>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</si>
  <si>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</si>
  <si>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</si>
  <si>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</si>
  <si>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</si>
  <si>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</si>
  <si>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</si>
  <si>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</si>
  <si>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</si>
  <si>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</si>
  <si>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</si>
  <si>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</si>
  <si>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</si>
  <si>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</si>
  <si>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</si>
  <si>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</si>
  <si>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</si>
  <si>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</si>
  <si>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</si>
  <si>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</si>
  <si>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</si>
  <si>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</si>
  <si>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</si>
  <si>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</si>
  <si>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</si>
  <si>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</si>
  <si>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</si>
  <si>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</si>
  <si>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</si>
  <si>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</si>
  <si>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</si>
  <si>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</si>
  <si>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</si>
  <si>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</si>
  <si>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</si>
  <si>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</si>
  <si>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</si>
  <si>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</si>
  <si>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</si>
  <si>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</si>
  <si>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</si>
  <si>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</si>
  <si>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</si>
  <si>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</si>
  <si>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</si>
  <si>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</si>
  <si>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</si>
  <si>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</si>
  <si>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</si>
  <si>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</si>
  <si>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</si>
  <si>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</si>
  <si>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</si>
  <si>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</si>
  <si>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</si>
  <si>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</si>
  <si>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</si>
  <si>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</si>
  <si>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</si>
  <si>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</si>
  <si>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</si>
  <si>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</si>
  <si>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</si>
  <si>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</si>
  <si>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</si>
  <si>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</si>
  <si>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</si>
  <si>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</si>
  <si>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</si>
  <si>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</si>
  <si>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</si>
  <si>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</si>
  <si>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</si>
  <si>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</si>
  <si>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</si>
  <si>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</si>
  <si>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</si>
  <si>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</si>
  <si>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</si>
  <si>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</si>
  <si>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</si>
  <si>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</si>
  <si>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</si>
  <si>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</si>
  <si>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</si>
  <si>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</si>
  <si>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</si>
  <si>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</si>
  <si>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</si>
  <si>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</si>
  <si>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</si>
  <si>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</si>
  <si>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</si>
  <si>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</si>
  <si>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</si>
  <si>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</si>
  <si>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</si>
  <si>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</si>
  <si>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</si>
  <si>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</si>
  <si>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</si>
  <si>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</si>
  <si>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</si>
  <si>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</si>
  <si>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</si>
  <si>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</si>
  <si>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</si>
  <si>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</si>
  <si>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</si>
  <si>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</si>
  <si>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</si>
  <si>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</si>
  <si>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</si>
  <si>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</si>
  <si>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</si>
  <si>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</si>
  <si>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</si>
  <si>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</si>
  <si>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</si>
  <si>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</si>
  <si>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</si>
  <si>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</si>
  <si>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</si>
  <si>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</si>
  <si>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</si>
  <si>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</si>
  <si>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</si>
  <si>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</si>
  <si>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</si>
  <si>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</si>
  <si>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</si>
  <si>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</si>
  <si>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</si>
  <si>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</si>
  <si>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</si>
  <si>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</si>
  <si>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</si>
  <si>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</si>
  <si>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</si>
  <si>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</si>
  <si>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</si>
  <si>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</si>
  <si>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</si>
  <si>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</si>
  <si>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</si>
  <si>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</si>
  <si>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</si>
  <si>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</si>
  <si>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</si>
  <si>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</si>
  <si>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</si>
  <si>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</si>
  <si>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</si>
  <si>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</si>
  <si>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</si>
  <si>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</si>
  <si>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</si>
  <si>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</si>
  <si>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</si>
  <si>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</si>
  <si>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</si>
  <si>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</si>
  <si>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</si>
  <si>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</si>
  <si>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</si>
  <si>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</si>
  <si>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</si>
  <si>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</si>
  <si>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</si>
  <si>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</si>
  <si>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</si>
  <si>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</si>
  <si>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</si>
  <si>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</si>
  <si>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</si>
  <si>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</si>
  <si>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</si>
  <si>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</si>
  <si>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</si>
  <si>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</si>
  <si>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</si>
  <si>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</si>
  <si>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</si>
  <si>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</si>
  <si>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</si>
  <si>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</si>
  <si>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</si>
  <si>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</si>
  <si>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</si>
  <si>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</si>
  <si>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</si>
  <si>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</si>
  <si>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</si>
  <si>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</si>
  <si>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</si>
  <si>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</si>
  <si>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</si>
  <si>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</si>
  <si>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</si>
  <si>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</si>
  <si>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</si>
  <si>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</si>
  <si>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</si>
  <si>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</si>
  <si>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</si>
  <si>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</si>
  <si>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</si>
  <si>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</si>
  <si>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</si>
  <si>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</si>
  <si>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</si>
  <si>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</si>
  <si>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</si>
  <si>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</si>
  <si>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</si>
  <si>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</si>
  <si>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</si>
  <si>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</si>
  <si>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</si>
  <si>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</si>
  <si>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</si>
  <si>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</si>
  <si>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</si>
  <si>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</si>
  <si>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</si>
  <si>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</si>
  <si>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</si>
  <si>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</si>
  <si>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</si>
  <si>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</si>
  <si>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</si>
  <si>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</si>
  <si>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</si>
  <si>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</si>
  <si>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</si>
  <si>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</si>
  <si>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</si>
  <si>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</si>
  <si>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</si>
  <si>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</si>
  <si>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</si>
  <si>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</si>
  <si>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</si>
  <si>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</si>
  <si>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</si>
  <si>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</si>
  <si>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</si>
  <si>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</si>
  <si>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</si>
  <si>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</si>
  <si>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</si>
  <si>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</si>
  <si>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</si>
  <si>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</si>
  <si>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</si>
  <si>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</si>
  <si>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</si>
  <si>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</si>
  <si>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</si>
  <si>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</si>
  <si>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</si>
  <si>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</si>
  <si>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</si>
  <si>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</si>
  <si>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</si>
  <si>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</si>
  <si>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</si>
  <si>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</si>
  <si>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</si>
  <si>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</si>
  <si>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</si>
  <si>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</si>
  <si>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</si>
  <si>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</si>
  <si>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</si>
  <si>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</si>
  <si>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</si>
  <si>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</si>
  <si>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</si>
  <si>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</si>
  <si>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</si>
  <si>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</si>
  <si>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</si>
  <si>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</si>
  <si>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</si>
  <si>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</si>
  <si>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</si>
  <si>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</si>
  <si>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</si>
  <si>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</si>
  <si>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</si>
  <si>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</si>
  <si>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</si>
  <si>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</si>
  <si>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</si>
  <si>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</si>
  <si>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</si>
  <si>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</si>
  <si>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</si>
  <si>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</si>
  <si>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</si>
  <si>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</si>
  <si>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</si>
  <si>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</si>
  <si>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</si>
  <si>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</si>
  <si>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</si>
  <si>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</si>
  <si>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</si>
  <si>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</si>
  <si>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</si>
  <si>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</si>
  <si>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</si>
  <si>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</si>
  <si>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</si>
  <si>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</si>
  <si>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</si>
  <si>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</si>
  <si>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</si>
  <si>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</si>
  <si>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</si>
  <si>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</si>
  <si>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</si>
  <si>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</si>
  <si>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</si>
  <si>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</si>
  <si>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</si>
  <si>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</si>
  <si>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</si>
  <si>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</si>
  <si>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</si>
  <si>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</si>
  <si>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</si>
  <si>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</si>
  <si>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</si>
  <si>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</si>
  <si>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</si>
  <si>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</si>
  <si>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</si>
  <si>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</si>
  <si>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</si>
  <si>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</si>
  <si>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</si>
  <si>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</si>
  <si>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</si>
  <si>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</si>
  <si>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</si>
  <si>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</si>
  <si>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</si>
  <si>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</si>
  <si>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</si>
  <si>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</si>
  <si>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</si>
  <si>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</si>
  <si>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</si>
  <si>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</si>
  <si>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</si>
  <si>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</si>
  <si>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</si>
  <si>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</si>
  <si>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</si>
  <si>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</si>
  <si>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</si>
  <si>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</si>
  <si>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</si>
  <si>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</si>
  <si>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</si>
  <si>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</si>
  <si>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</si>
  <si>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</si>
  <si>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</si>
  <si>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</si>
  <si>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</si>
  <si>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</si>
  <si>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</si>
  <si>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</si>
  <si>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</si>
  <si>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</si>
  <si>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</si>
  <si>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</si>
  <si>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</si>
  <si>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</si>
  <si>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</si>
  <si>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</si>
  <si>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</si>
  <si>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</si>
  <si>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</si>
  <si>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</si>
  <si>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</si>
  <si>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</si>
  <si>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</si>
  <si>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</si>
  <si>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</si>
  <si>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</si>
  <si>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</si>
  <si>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</si>
  <si>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</si>
  <si>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</si>
  <si>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</si>
  <si>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</si>
  <si>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</si>
  <si>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</si>
  <si>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</si>
  <si>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</si>
  <si>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</si>
  <si>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</si>
  <si>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</si>
  <si>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</si>
  <si>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</si>
  <si>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</si>
  <si>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</si>
  <si>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</si>
  <si>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</si>
  <si>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</si>
  <si>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</si>
  <si>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</si>
  <si>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</si>
  <si>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</si>
  <si>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</si>
  <si>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</si>
  <si>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</si>
  <si>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</si>
  <si>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</si>
  <si>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</si>
  <si>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</si>
  <si>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</si>
  <si>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</si>
  <si>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</si>
  <si>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</si>
  <si>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</si>
  <si>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</si>
  <si>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</si>
  <si>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</si>
  <si>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</si>
  <si>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</si>
  <si>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</si>
  <si>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</si>
  <si>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</si>
  <si>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</si>
  <si>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</si>
  <si>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</si>
  <si>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</si>
  <si>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</si>
  <si>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</si>
  <si>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</si>
  <si>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</si>
  <si>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</si>
  <si>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</si>
  <si>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</si>
  <si>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</si>
  <si>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</si>
  <si>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</si>
  <si>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</si>
  <si>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</si>
  <si>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</si>
  <si>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</si>
  <si>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</si>
  <si>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</si>
  <si>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</si>
  <si>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</si>
  <si>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</si>
  <si>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</si>
  <si>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</si>
  <si>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</si>
  <si>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</si>
  <si>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</si>
  <si>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</si>
  <si>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</si>
  <si>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</si>
  <si>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</si>
  <si>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</si>
  <si>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</si>
  <si>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</si>
  <si>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</si>
  <si>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</si>
  <si>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</si>
  <si>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</si>
  <si>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</si>
  <si>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</si>
  <si>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</si>
  <si>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</si>
  <si>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</si>
  <si>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</si>
  <si>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</si>
  <si>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</si>
  <si>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</si>
  <si>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</si>
  <si>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</si>
  <si>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</si>
  <si>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</si>
  <si>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</si>
  <si>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</si>
  <si>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</si>
  <si>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</si>
  <si>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</si>
  <si>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</si>
  <si>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</si>
  <si>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</si>
  <si>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</si>
  <si>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</si>
  <si>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</si>
  <si>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</si>
  <si>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</si>
  <si>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</si>
  <si>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</si>
  <si>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</si>
  <si>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</si>
  <si>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</si>
  <si>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</si>
  <si>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</si>
  <si>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</si>
  <si>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</si>
  <si>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</si>
  <si>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</si>
  <si>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</si>
  <si>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</si>
  <si>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</si>
  <si>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</si>
  <si>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</si>
  <si>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</si>
  <si>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</si>
  <si>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</si>
  <si>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</si>
  <si>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</si>
  <si>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</si>
  <si>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</si>
  <si>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</si>
  <si>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</si>
  <si>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</si>
  <si>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</si>
  <si>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</si>
  <si>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</si>
  <si>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</si>
  <si>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JEFFERSON</t>
  </si>
  <si>
    <t>1201 BETHEL ROAD</t>
  </si>
  <si>
    <t>MT. VERNON</t>
  </si>
  <si>
    <t>ckujawa@bethelschool.net</t>
  </si>
  <si>
    <t>CRAIG KUJAWA</t>
  </si>
  <si>
    <t>618-244-8095</t>
  </si>
  <si>
    <t>618-244-8096</t>
  </si>
  <si>
    <t>Limited School Bonds, Series 1999</t>
  </si>
  <si>
    <t>General Obligaton Bonds (Alternate Revenue) Series 2011</t>
  </si>
  <si>
    <t>Alternate Revenue</t>
  </si>
  <si>
    <t>ED-Instruction-Purchased Service</t>
  </si>
  <si>
    <t>10-1000-300</t>
  </si>
  <si>
    <t>Rend Lake College</t>
  </si>
  <si>
    <t>TR-Support Services-Purchased Service</t>
  </si>
  <si>
    <t>40-2550-300</t>
  </si>
  <si>
    <t>Midwest Bus Sales Inc.</t>
  </si>
  <si>
    <t>Egyptian Area Schools Employee Benefit Trust</t>
  </si>
  <si>
    <t>Ameren Energy Marketing &amp; Nextera Energy</t>
  </si>
  <si>
    <t>Regional Office of Education #13</t>
  </si>
  <si>
    <t>Franklin-Jefferson Special Education District #801</t>
  </si>
  <si>
    <t>McClellan District #12 - Sports</t>
  </si>
  <si>
    <t xml:space="preserve">The District bookkeeper and Treasurer is the same employee, which is an inadequate segregation of accounting duties.
</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</si>
  <si>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</si>
  <si>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</si>
  <si>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</si>
  <si>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</si>
  <si>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</si>
  <si>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 xml:space="preserve">Due to the small size of the District and its limited funds, hiring additional personnel is not feasible.  The District agrees with the finding and recommendation. </t>
  </si>
  <si>
    <t>According to ILCS 115/12 a certain percentage of corporate personal property tax must be deposited in the IMRF/Social Security Fund to satisfy a lien requirement.</t>
  </si>
  <si>
    <t>The lien requirement was not satisfied according to statute.</t>
  </si>
  <si>
    <t>The District was required to deposit $9,854 in the IMRF/Social Security Fund during the fiscal year, but there wasn't any corporate personal propert tax deposited in the fund.</t>
  </si>
  <si>
    <t>The District should deposit the $9,854 in the IMRF/Social Security Fund in fiscal year 2019 to make up the deficiency and at the beginning of each fiscal year the replacement tax should be deposited, so that the lien requirement is satisfied.</t>
  </si>
  <si>
    <t>The District will make up the deficiency in fiscal year 2019, and in the future will deposit the required amount at the beginning of the fiscal year.</t>
  </si>
  <si>
    <t>When the deposits for the corporate personal property tax were made during the fiscal year, nothing was recorded in the IMRF/Social Security Fund.</t>
  </si>
  <si>
    <t>Page 10, Line 108 - Education - Miscellaneous refunds and reimbursements; Operations and Maintenance - Erate</t>
  </si>
  <si>
    <t>Page 10, Line 72 - Milk sales</t>
  </si>
  <si>
    <t>Page 12, Line 183 - REAP Grant</t>
  </si>
  <si>
    <t>Page 15, Line 41 - Extra Duty</t>
  </si>
  <si>
    <t>Page 19, Line 237 - Extra Duty Benefits</t>
  </si>
  <si>
    <t>Page 25, Line 10 - Mobile Home Tax</t>
  </si>
  <si>
    <t>Bethel GSD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</si>
</sst>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2961410</xdr:colOff>
          <xdr:row>3</xdr:row>
          <xdr:rowOff>34637</xdr:rowOff>
        </xdr:from>
        <xdr:to>
          <xdr:col>1</xdr:col>
          <xdr:colOff>3872346</xdr:colOff>
          <xdr:row>7</xdr:row>
          <xdr:rowOff>64943</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4" t="s">
        <v>425</v>
      </c>
      <c r="J1" s="2005"/>
      <c r="K1" s="2005"/>
      <c r="L1" s="2005"/>
      <c r="M1" s="2005"/>
      <c r="N1" s="2005"/>
      <c r="O1" s="2005"/>
      <c r="P1" s="2005"/>
      <c r="Q1" s="2005"/>
      <c r="R1" s="2005"/>
      <c r="S1" s="2005"/>
    </row>
    <row r="2" spans="1:28" ht="12" customHeight="1" x14ac:dyDescent="0.2">
      <c r="A2" s="47" t="s">
        <v>1684</v>
      </c>
      <c r="D2" s="48"/>
      <c r="I2" s="2006" t="s">
        <v>1036</v>
      </c>
      <c r="J2" s="2005"/>
      <c r="K2" s="2005"/>
      <c r="L2" s="2005"/>
      <c r="M2" s="2005"/>
      <c r="N2" s="2005"/>
      <c r="O2" s="2005"/>
      <c r="P2" s="2005"/>
      <c r="Q2" s="2005"/>
      <c r="R2" s="2005"/>
      <c r="S2" s="2005"/>
    </row>
    <row r="3" spans="1:28" ht="12" customHeight="1" x14ac:dyDescent="0.2">
      <c r="A3" s="155" t="s">
        <v>1685</v>
      </c>
      <c r="B3" s="156"/>
      <c r="C3" s="156"/>
      <c r="D3" s="157"/>
      <c r="I3" s="2006" t="s">
        <v>54</v>
      </c>
      <c r="J3" s="2005"/>
      <c r="K3" s="2005"/>
      <c r="L3" s="2005"/>
      <c r="M3" s="2005"/>
      <c r="N3" s="2005"/>
      <c r="O3" s="2005"/>
      <c r="P3" s="2005"/>
      <c r="Q3" s="2005"/>
      <c r="R3" s="2005"/>
      <c r="S3" s="2005"/>
    </row>
    <row r="4" spans="1:28" ht="12" customHeight="1" x14ac:dyDescent="0.2">
      <c r="A4" s="37"/>
      <c r="I4" s="2006" t="s">
        <v>545</v>
      </c>
      <c r="J4" s="2005"/>
      <c r="K4" s="2005"/>
      <c r="L4" s="2005"/>
      <c r="M4" s="2005"/>
      <c r="N4" s="2005"/>
      <c r="O4" s="2005"/>
      <c r="P4" s="2005"/>
      <c r="Q4" s="2005"/>
      <c r="R4" s="2005"/>
      <c r="S4" s="2005"/>
    </row>
    <row r="5" spans="1:28" ht="14.1" customHeight="1" x14ac:dyDescent="0.2">
      <c r="B5" s="104" t="s">
        <v>2077</v>
      </c>
      <c r="C5" s="26" t="s">
        <v>966</v>
      </c>
      <c r="D5" s="84"/>
      <c r="E5" s="84"/>
      <c r="H5" s="38"/>
      <c r="I5" s="2014" t="s">
        <v>701</v>
      </c>
      <c r="J5" s="2013"/>
      <c r="K5" s="2013"/>
      <c r="L5" s="2013"/>
      <c r="M5" s="2013"/>
      <c r="N5" s="2013"/>
      <c r="O5" s="2013"/>
      <c r="P5" s="2013"/>
      <c r="Q5" s="2013"/>
      <c r="R5" s="2013"/>
      <c r="S5" s="2013"/>
    </row>
    <row r="6" spans="1:28" ht="14.1" customHeight="1" x14ac:dyDescent="0.2">
      <c r="B6" s="104"/>
      <c r="C6" s="26" t="s">
        <v>967</v>
      </c>
      <c r="D6" s="84"/>
      <c r="E6" s="84"/>
      <c r="I6" s="2012" t="s">
        <v>938</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695</v>
      </c>
      <c r="J9" s="2010"/>
      <c r="K9" s="2010"/>
      <c r="L9" s="2010"/>
      <c r="M9" s="2010"/>
      <c r="N9" s="2010"/>
      <c r="O9" s="2010"/>
      <c r="P9" s="2010"/>
      <c r="Q9" s="2010"/>
      <c r="R9" s="2010"/>
      <c r="S9" s="2011"/>
      <c r="T9" s="2025" t="s">
        <v>554</v>
      </c>
      <c r="U9" s="2026"/>
      <c r="V9" s="2026"/>
      <c r="W9" s="2026"/>
      <c r="X9" s="2026"/>
      <c r="Y9" s="2026"/>
      <c r="Z9" s="2026"/>
      <c r="AA9" s="2027"/>
    </row>
    <row r="10" spans="1:28" ht="13.5" customHeight="1" x14ac:dyDescent="0.2">
      <c r="A10" s="2032" t="s">
        <v>696</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1012</v>
      </c>
      <c r="B11" s="2036"/>
      <c r="C11" s="2036"/>
      <c r="D11" s="2036"/>
      <c r="E11" s="2036"/>
      <c r="F11" s="2036"/>
      <c r="G11" s="2036"/>
      <c r="H11" s="2037"/>
      <c r="I11" s="27"/>
      <c r="J11" s="74"/>
      <c r="K11" s="27"/>
      <c r="O11" s="148" t="s">
        <v>2077</v>
      </c>
      <c r="P11" s="100" t="s">
        <v>210</v>
      </c>
      <c r="Q11" s="30"/>
      <c r="R11" s="28"/>
      <c r="S11" s="27"/>
      <c r="T11" s="2029"/>
      <c r="U11" s="2030"/>
      <c r="V11" s="2030"/>
      <c r="W11" s="2030"/>
      <c r="X11" s="2030"/>
      <c r="Y11" s="2030"/>
      <c r="Z11" s="2030"/>
      <c r="AA11" s="203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9">
        <v>13041082002</v>
      </c>
      <c r="B13" s="2040"/>
      <c r="C13" s="2040"/>
      <c r="D13" s="2040"/>
      <c r="E13" s="2040"/>
      <c r="F13" s="2040"/>
      <c r="G13" s="2040"/>
      <c r="H13" s="2041"/>
      <c r="I13" s="31"/>
      <c r="J13" s="30"/>
      <c r="K13" s="28"/>
      <c r="L13" s="30"/>
      <c r="M13" s="30"/>
      <c r="N13" s="30"/>
      <c r="O13" s="30"/>
      <c r="P13" s="30"/>
      <c r="Q13" s="30"/>
      <c r="R13" s="30"/>
      <c r="S13" s="30"/>
      <c r="T13" s="2044" t="s">
        <v>2078</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8" t="s">
        <v>2096</v>
      </c>
      <c r="B15" s="2042"/>
      <c r="C15" s="2042"/>
      <c r="D15" s="2042"/>
      <c r="E15" s="2042"/>
      <c r="F15" s="2042"/>
      <c r="G15" s="2042"/>
      <c r="H15" s="2043"/>
      <c r="T15" s="2048" t="s">
        <v>2079</v>
      </c>
      <c r="U15" s="1992"/>
      <c r="V15" s="1992"/>
      <c r="W15" s="1992"/>
      <c r="X15" s="1992"/>
      <c r="Y15" s="2049"/>
      <c r="Z15" s="2049"/>
      <c r="AA15" s="205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8" t="s">
        <v>2136</v>
      </c>
      <c r="B17" s="1999"/>
      <c r="C17" s="1999"/>
      <c r="D17" s="1999"/>
      <c r="E17" s="1999"/>
      <c r="F17" s="1999"/>
      <c r="G17" s="1999"/>
      <c r="H17" s="2024"/>
      <c r="T17" s="2055" t="s">
        <v>2080</v>
      </c>
      <c r="U17" s="2056"/>
      <c r="V17" s="2056"/>
      <c r="W17" s="2056"/>
      <c r="X17" s="2056"/>
      <c r="Y17" s="2056"/>
      <c r="Z17" s="2056"/>
      <c r="AA17" s="2057"/>
    </row>
    <row r="18" spans="1:27" ht="13.5" customHeight="1" x14ac:dyDescent="0.2">
      <c r="A18" s="85" t="s">
        <v>551</v>
      </c>
      <c r="B18" s="76"/>
      <c r="C18" s="72"/>
      <c r="D18" s="76"/>
      <c r="E18" s="76"/>
      <c r="F18" s="76"/>
      <c r="G18" s="76"/>
      <c r="H18" s="56"/>
      <c r="I18" s="2023" t="s">
        <v>697</v>
      </c>
      <c r="J18" s="1974"/>
      <c r="K18" s="1974"/>
      <c r="L18" s="1974"/>
      <c r="M18" s="1974"/>
      <c r="N18" s="1974"/>
      <c r="O18" s="1974"/>
      <c r="P18" s="1974"/>
      <c r="Q18" s="1974"/>
      <c r="R18" s="1974"/>
      <c r="S18" s="1975"/>
      <c r="T18" s="85" t="s">
        <v>735</v>
      </c>
      <c r="U18" s="51"/>
      <c r="V18" s="72"/>
      <c r="W18" s="50"/>
      <c r="X18" s="85" t="s">
        <v>284</v>
      </c>
      <c r="Y18" s="81"/>
      <c r="Z18" s="159" t="s">
        <v>698</v>
      </c>
      <c r="AA18" s="46"/>
    </row>
    <row r="19" spans="1:27" ht="13.5" customHeight="1" x14ac:dyDescent="0.2">
      <c r="A19" s="2038" t="s">
        <v>2097</v>
      </c>
      <c r="B19" s="1984"/>
      <c r="C19" s="1984"/>
      <c r="D19" s="1984"/>
      <c r="E19" s="1984"/>
      <c r="F19" s="1984"/>
      <c r="G19" s="1984"/>
      <c r="H19" s="1964"/>
      <c r="I19" s="30"/>
      <c r="J19" s="99"/>
      <c r="K19" s="40"/>
      <c r="L19" s="38"/>
      <c r="M19" s="112" t="s">
        <v>333</v>
      </c>
      <c r="P19" s="27"/>
      <c r="Q19" s="27"/>
      <c r="R19" s="27"/>
      <c r="S19" s="31"/>
      <c r="T19" s="2038" t="s">
        <v>2081</v>
      </c>
      <c r="U19" s="1963"/>
      <c r="V19" s="1963"/>
      <c r="W19" s="1964"/>
      <c r="X19" s="2053" t="s">
        <v>2082</v>
      </c>
      <c r="Y19" s="2054"/>
      <c r="Z19" s="2051">
        <v>62870</v>
      </c>
      <c r="AA19" s="205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2" t="s">
        <v>2098</v>
      </c>
      <c r="B21" s="1963"/>
      <c r="C21" s="1963"/>
      <c r="D21" s="1963"/>
      <c r="E21" s="1963"/>
      <c r="F21" s="1963"/>
      <c r="G21" s="1963"/>
      <c r="H21" s="1964"/>
      <c r="I21" s="2018" t="s">
        <v>699</v>
      </c>
      <c r="J21" s="2013"/>
      <c r="K21" s="2013"/>
      <c r="L21" s="2013"/>
      <c r="M21" s="2013"/>
      <c r="N21" s="2013"/>
      <c r="O21" s="2013"/>
      <c r="P21" s="2013"/>
      <c r="Q21" s="2013"/>
      <c r="R21" s="2013"/>
      <c r="S21" s="2019"/>
      <c r="T21" s="2062" t="s">
        <v>2083</v>
      </c>
      <c r="U21" s="2063"/>
      <c r="V21" s="2063"/>
      <c r="W21" s="2063"/>
      <c r="X21" s="2068" t="s">
        <v>2084</v>
      </c>
      <c r="Y21" s="2069"/>
      <c r="Z21" s="2069"/>
      <c r="AA21" s="2070"/>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5" t="s">
        <v>2099</v>
      </c>
      <c r="B23" s="2016"/>
      <c r="C23" s="2016"/>
      <c r="D23" s="2016"/>
      <c r="E23" s="2016"/>
      <c r="F23" s="2016"/>
      <c r="G23" s="2016"/>
      <c r="H23" s="2017"/>
      <c r="T23" s="1998" t="s">
        <v>2085</v>
      </c>
      <c r="U23" s="2061"/>
      <c r="V23" s="2061"/>
      <c r="W23" s="2061"/>
      <c r="X23" s="2065">
        <v>43466</v>
      </c>
      <c r="Y23" s="2066"/>
      <c r="Z23" s="2066"/>
      <c r="AA23" s="2067"/>
    </row>
    <row r="24" spans="1:27" ht="14.1" customHeight="1" x14ac:dyDescent="0.2">
      <c r="A24" s="88" t="s">
        <v>698</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552</v>
      </c>
      <c r="U24" s="106"/>
      <c r="V24" s="106"/>
      <c r="W24" s="106"/>
      <c r="X24" s="107"/>
      <c r="Y24" s="107"/>
      <c r="Z24" s="107"/>
      <c r="AA24" s="108"/>
    </row>
    <row r="25" spans="1:27" ht="14.1" customHeight="1" x14ac:dyDescent="0.2">
      <c r="A25" s="1962">
        <v>62864</v>
      </c>
      <c r="B25" s="1963"/>
      <c r="C25" s="1963"/>
      <c r="D25" s="1963"/>
      <c r="E25" s="1963"/>
      <c r="F25" s="1963"/>
      <c r="G25" s="1963"/>
      <c r="H25" s="1964"/>
      <c r="I25" s="113"/>
      <c r="J25" s="1987"/>
      <c r="K25" s="1987"/>
      <c r="L25" s="1987"/>
      <c r="M25" s="1987"/>
      <c r="N25" s="1987"/>
      <c r="O25" s="1987"/>
      <c r="P25" s="1987"/>
      <c r="Q25" s="1987"/>
      <c r="R25" s="1987"/>
      <c r="S25" s="1988"/>
      <c r="T25" s="2058" t="s">
        <v>2086</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3" t="s">
        <v>1591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8" t="s">
        <v>2100</v>
      </c>
      <c r="B38" s="1999"/>
      <c r="C38" s="1999"/>
      <c r="D38" s="1999"/>
      <c r="E38" s="1999"/>
      <c r="F38" s="1963"/>
      <c r="G38" s="1963"/>
      <c r="H38" s="1964"/>
      <c r="I38" s="1991"/>
      <c r="J38" s="1992"/>
      <c r="K38" s="1992"/>
      <c r="L38" s="1992"/>
      <c r="M38" s="1992"/>
      <c r="N38" s="1992"/>
      <c r="O38" s="1992"/>
      <c r="P38" s="1993"/>
      <c r="Q38" s="1993"/>
      <c r="R38" s="1993"/>
      <c r="S38" s="1994"/>
      <c r="T38" s="2048" t="s">
        <v>2095</v>
      </c>
      <c r="U38" s="1992"/>
      <c r="V38" s="1992"/>
      <c r="W38" s="1992"/>
      <c r="X38" s="1993"/>
      <c r="Y38" s="1993"/>
      <c r="Z38" s="1993"/>
      <c r="AA38" s="1994"/>
    </row>
    <row r="39" spans="1:27" ht="12" customHeight="1" x14ac:dyDescent="0.2">
      <c r="A39" s="1968" t="s">
        <v>552</v>
      </c>
      <c r="B39" s="1969"/>
      <c r="C39" s="72"/>
      <c r="D39" s="69"/>
      <c r="E39" s="69"/>
      <c r="F39" s="79"/>
      <c r="G39" s="69"/>
      <c r="H39" s="56"/>
      <c r="I39" s="1968" t="s">
        <v>552</v>
      </c>
      <c r="J39" s="1969"/>
      <c r="K39" s="1969"/>
      <c r="L39" s="1969"/>
      <c r="M39" s="1969"/>
      <c r="N39" s="67"/>
      <c r="O39" s="72"/>
      <c r="P39" s="72"/>
      <c r="Q39" s="78"/>
      <c r="R39" s="72"/>
      <c r="S39" s="56"/>
      <c r="T39" s="72" t="s">
        <v>552</v>
      </c>
      <c r="U39" s="51"/>
      <c r="V39" s="72"/>
      <c r="W39" s="50"/>
      <c r="X39" s="78"/>
      <c r="Y39" s="45"/>
      <c r="Z39" s="45"/>
      <c r="AA39" s="46"/>
    </row>
    <row r="40" spans="1:27" ht="13.5" customHeight="1" x14ac:dyDescent="0.2">
      <c r="A40" s="1976" t="s">
        <v>2099</v>
      </c>
      <c r="B40" s="1977"/>
      <c r="C40" s="1978"/>
      <c r="D40" s="1978"/>
      <c r="E40" s="1978"/>
      <c r="F40" s="1979"/>
      <c r="G40" s="1979"/>
      <c r="H40" s="1980"/>
      <c r="I40" s="2001"/>
      <c r="J40" s="2002"/>
      <c r="K40" s="2002"/>
      <c r="L40" s="2002"/>
      <c r="M40" s="2002"/>
      <c r="N40" s="2002"/>
      <c r="O40" s="2002"/>
      <c r="P40" s="2002"/>
      <c r="Q40" s="2002"/>
      <c r="R40" s="2002"/>
      <c r="S40" s="2003"/>
      <c r="T40" s="2001"/>
      <c r="U40" s="2064"/>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0" t="s">
        <v>2101</v>
      </c>
      <c r="B42" s="1982"/>
      <c r="C42" s="1983"/>
      <c r="D42" s="1981" t="s">
        <v>2102</v>
      </c>
      <c r="E42" s="1982"/>
      <c r="F42" s="1982"/>
      <c r="G42" s="1982"/>
      <c r="H42" s="1983"/>
      <c r="I42" s="1965"/>
      <c r="J42" s="1966"/>
      <c r="K42" s="1966"/>
      <c r="L42" s="1966"/>
      <c r="M42" s="1966"/>
      <c r="N42" s="1966"/>
      <c r="O42" s="1967"/>
      <c r="P42" s="2000"/>
      <c r="Q42" s="1966"/>
      <c r="R42" s="1966"/>
      <c r="S42" s="1967"/>
      <c r="T42" s="1965"/>
      <c r="U42" s="1966"/>
      <c r="V42" s="1966"/>
      <c r="W42" s="1967"/>
      <c r="X42" s="2000"/>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3" sqref="B3:S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4" t="s">
        <v>1905</v>
      </c>
      <c r="B2" s="1550" t="s">
        <v>2037</v>
      </c>
      <c r="C2" s="715" t="s">
        <v>1910</v>
      </c>
      <c r="D2" s="715" t="s">
        <v>1911</v>
      </c>
      <c r="E2" s="715" t="s">
        <v>1912</v>
      </c>
      <c r="F2" s="715" t="s">
        <v>1913</v>
      </c>
    </row>
    <row r="3" spans="1:6" ht="12" customHeight="1" x14ac:dyDescent="0.2">
      <c r="A3" s="2205"/>
      <c r="B3" s="1547"/>
      <c r="C3" s="1548"/>
      <c r="D3" s="1549" t="s">
        <v>274</v>
      </c>
      <c r="E3" s="1548"/>
      <c r="F3" s="1549" t="s">
        <v>275</v>
      </c>
    </row>
    <row r="4" spans="1:6" ht="13.7" customHeight="1" x14ac:dyDescent="0.2">
      <c r="A4" s="716" t="s">
        <v>1217</v>
      </c>
      <c r="B4" s="1770">
        <f>'Revenues 9-14'!C5</f>
        <v>277119</v>
      </c>
      <c r="C4" s="1546"/>
      <c r="D4" s="1773">
        <f>B4-C4</f>
        <v>277119</v>
      </c>
      <c r="E4" s="1546">
        <v>288258</v>
      </c>
      <c r="F4" s="1773">
        <f>E4-C4</f>
        <v>288258</v>
      </c>
    </row>
    <row r="5" spans="1:6" ht="13.7" customHeight="1" x14ac:dyDescent="0.2">
      <c r="A5" s="716" t="s">
        <v>925</v>
      </c>
      <c r="B5" s="1771">
        <f>'Revenues 9-14'!D5</f>
        <v>57372</v>
      </c>
      <c r="C5" s="585"/>
      <c r="D5" s="1774">
        <f t="shared" ref="D5:D18" si="0">B5-C5</f>
        <v>57372</v>
      </c>
      <c r="E5" s="585">
        <v>61353</v>
      </c>
      <c r="F5" s="1774">
        <f>E5-C5</f>
        <v>61353</v>
      </c>
    </row>
    <row r="6" spans="1:6" ht="13.7" customHeight="1" x14ac:dyDescent="0.2">
      <c r="A6" s="716" t="s">
        <v>431</v>
      </c>
      <c r="B6" s="1771">
        <f>'Revenues 9-14'!E5</f>
        <v>27687</v>
      </c>
      <c r="C6" s="585"/>
      <c r="D6" s="1774">
        <f t="shared" si="0"/>
        <v>27687</v>
      </c>
      <c r="E6" s="585">
        <v>29901</v>
      </c>
      <c r="F6" s="1774">
        <f t="shared" ref="F6:F18" si="1">E6-C6</f>
        <v>29901</v>
      </c>
    </row>
    <row r="7" spans="1:6" ht="13.7" customHeight="1" x14ac:dyDescent="0.2">
      <c r="A7" s="716" t="s">
        <v>157</v>
      </c>
      <c r="B7" s="1771">
        <f>'Revenues 9-14'!F5</f>
        <v>26709</v>
      </c>
      <c r="C7" s="585"/>
      <c r="D7" s="1774">
        <f t="shared" si="0"/>
        <v>26709</v>
      </c>
      <c r="E7" s="585">
        <v>28202</v>
      </c>
      <c r="F7" s="1774">
        <f t="shared" si="1"/>
        <v>28202</v>
      </c>
    </row>
    <row r="8" spans="1:6" ht="13.7" customHeight="1" x14ac:dyDescent="0.2">
      <c r="A8" s="716" t="s">
        <v>1241</v>
      </c>
      <c r="B8" s="1771">
        <f>'Revenues 9-14'!G5</f>
        <v>26709</v>
      </c>
      <c r="C8" s="585"/>
      <c r="D8" s="1774">
        <f t="shared" si="0"/>
        <v>26709</v>
      </c>
      <c r="E8" s="585">
        <v>28202</v>
      </c>
      <c r="F8" s="1774">
        <f t="shared" si="1"/>
        <v>28202</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9399</v>
      </c>
      <c r="C10" s="585"/>
      <c r="D10" s="1774">
        <f t="shared" si="0"/>
        <v>9399</v>
      </c>
      <c r="E10" s="585">
        <v>9899</v>
      </c>
      <c r="F10" s="1774">
        <f t="shared" si="1"/>
        <v>9899</v>
      </c>
    </row>
    <row r="11" spans="1:6" x14ac:dyDescent="0.2">
      <c r="A11" s="716" t="s">
        <v>429</v>
      </c>
      <c r="B11" s="1771">
        <f>'Revenues 9-14'!J5</f>
        <v>112764</v>
      </c>
      <c r="C11" s="585"/>
      <c r="D11" s="1774">
        <f t="shared" si="0"/>
        <v>112764</v>
      </c>
      <c r="E11" s="585">
        <v>114787</v>
      </c>
      <c r="F11" s="1774">
        <f t="shared" si="1"/>
        <v>114787</v>
      </c>
    </row>
    <row r="12" spans="1:6" ht="13.7" customHeight="1" x14ac:dyDescent="0.2">
      <c r="A12" s="716" t="s">
        <v>159</v>
      </c>
      <c r="B12" s="1771">
        <f>'Revenues 9-14'!K5</f>
        <v>10387</v>
      </c>
      <c r="C12" s="585"/>
      <c r="D12" s="1774">
        <f t="shared" si="0"/>
        <v>10387</v>
      </c>
      <c r="E12" s="585">
        <v>10886</v>
      </c>
      <c r="F12" s="1774">
        <f t="shared" si="1"/>
        <v>10886</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4552</v>
      </c>
      <c r="C14" s="585"/>
      <c r="D14" s="1774">
        <f t="shared" si="0"/>
        <v>4552</v>
      </c>
      <c r="E14" s="585">
        <v>4751</v>
      </c>
      <c r="F14" s="1774">
        <f t="shared" si="1"/>
        <v>4751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2573</v>
      </c>
      <c r="C16" s="585"/>
      <c r="D16" s="1774">
        <f t="shared" si="0"/>
        <v>2573</v>
      </c>
      <c r="E16" s="585">
        <v>2574</v>
      </c>
      <c r="F16" s="1774">
        <f t="shared" si="1"/>
        <v>2574</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555271</v>
      </c>
      <c r="C19" s="1772">
        <f>SUM(C4:C18)</f>
        <v>0</v>
      </c>
      <c r="D19" s="1772">
        <f>SUM(D4:D18)</f>
        <v>555271</v>
      </c>
      <c r="E19" s="1772">
        <f>SUM(E4:E18)</f>
        <v>578813</v>
      </c>
      <c r="F19" s="1772">
        <f>SUM(F4:F18)</f>
        <v>578813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B3" sqref="B3:S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4"/>
      <c r="C1" s="722"/>
    </row>
    <row r="2" spans="1:7" ht="33.75" x14ac:dyDescent="0.2">
      <c r="A2" s="2231" t="s">
        <v>1905</v>
      </c>
      <c r="B2" s="2232"/>
      <c r="C2" s="1907" t="s">
        <v>2038</v>
      </c>
      <c r="D2" s="724" t="s">
        <v>2045</v>
      </c>
      <c r="E2" s="724" t="s">
        <v>2046</v>
      </c>
      <c r="F2" s="1907" t="s">
        <v>2039</v>
      </c>
    </row>
    <row r="3" spans="1:7" ht="15.75" customHeight="1" x14ac:dyDescent="0.2">
      <c r="A3" s="2233" t="s">
        <v>1176</v>
      </c>
      <c r="B3" s="2234"/>
      <c r="C3" s="2227"/>
      <c r="D3" s="2228"/>
      <c r="E3" s="2228"/>
      <c r="F3" s="2229"/>
    </row>
    <row r="4" spans="1:7" ht="12.75" customHeight="1" thickBot="1" x14ac:dyDescent="0.25">
      <c r="A4" s="2221" t="s">
        <v>651</v>
      </c>
      <c r="B4" s="2222"/>
      <c r="C4" s="581"/>
      <c r="D4" s="581"/>
      <c r="E4" s="581"/>
      <c r="F4" s="1776">
        <f>SUM(C4+D4)-E4</f>
        <v>0</v>
      </c>
    </row>
    <row r="5" spans="1:7" ht="15.75" customHeight="1" thickTop="1" x14ac:dyDescent="0.2">
      <c r="A5" s="2225" t="s">
        <v>1172</v>
      </c>
      <c r="B5" s="2220"/>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7" t="s">
        <v>652</v>
      </c>
      <c r="B15" s="2218"/>
      <c r="C15" s="1776">
        <f>SUM(C6:C14)</f>
        <v>0</v>
      </c>
      <c r="D15" s="1776">
        <f>SUM(D6:D14)</f>
        <v>0</v>
      </c>
      <c r="E15" s="1776">
        <f>SUM(E6:E14)</f>
        <v>0</v>
      </c>
      <c r="F15" s="1776">
        <f>SUM(F6:F14)</f>
        <v>0</v>
      </c>
      <c r="G15" s="552"/>
    </row>
    <row r="16" spans="1:7" s="202" customFormat="1" ht="15.75" customHeight="1" thickTop="1" x14ac:dyDescent="0.2">
      <c r="A16" s="2230" t="s">
        <v>1173</v>
      </c>
      <c r="B16" s="2220"/>
      <c r="C16" s="2214"/>
      <c r="D16" s="2215"/>
      <c r="E16" s="2215"/>
      <c r="F16" s="2216"/>
    </row>
    <row r="17" spans="1:11" ht="12.75" customHeight="1" thickBot="1" x14ac:dyDescent="0.25">
      <c r="A17" s="2212" t="s">
        <v>66</v>
      </c>
      <c r="B17" s="2213"/>
      <c r="C17" s="727"/>
      <c r="D17" s="585"/>
      <c r="E17" s="727"/>
      <c r="F17" s="1776">
        <f>SUM(C17+D17)-E17</f>
        <v>0</v>
      </c>
    </row>
    <row r="18" spans="1:11" ht="12.75" customHeight="1" thickTop="1" thickBot="1" x14ac:dyDescent="0.25">
      <c r="A18" s="2212" t="s">
        <v>6</v>
      </c>
      <c r="B18" s="2213"/>
      <c r="C18" s="727"/>
      <c r="D18" s="585"/>
      <c r="E18" s="727"/>
      <c r="F18" s="1776">
        <f>SUM(C18+D18)-E18</f>
        <v>0</v>
      </c>
    </row>
    <row r="19" spans="1:11" ht="12.75" customHeight="1" thickTop="1" thickBot="1" x14ac:dyDescent="0.25">
      <c r="A19" s="2212" t="s">
        <v>406</v>
      </c>
      <c r="B19" s="2213"/>
      <c r="C19" s="727"/>
      <c r="D19" s="585"/>
      <c r="E19" s="727"/>
      <c r="F19" s="1776">
        <f>SUM(C19+D19)-E19</f>
        <v>0</v>
      </c>
    </row>
    <row r="20" spans="1:11" ht="12.75" customHeight="1" thickTop="1" thickBot="1" x14ac:dyDescent="0.25">
      <c r="A20" s="2212" t="s">
        <v>468</v>
      </c>
      <c r="B20" s="2213"/>
      <c r="C20" s="727"/>
      <c r="D20" s="585"/>
      <c r="E20" s="727"/>
      <c r="F20" s="1776">
        <f>SUM(C20+D20)-E20</f>
        <v>0</v>
      </c>
    </row>
    <row r="21" spans="1:11" ht="14.25" thickTop="1" thickBot="1" x14ac:dyDescent="0.25">
      <c r="A21" s="2217" t="s">
        <v>653</v>
      </c>
      <c r="B21" s="2218"/>
      <c r="C21" s="1776">
        <f>SUM(C17:C20)</f>
        <v>0</v>
      </c>
      <c r="D21" s="1776">
        <f>SUM(D17:D20)</f>
        <v>0</v>
      </c>
      <c r="E21" s="1776">
        <f>SUM(E17:E20)</f>
        <v>0</v>
      </c>
      <c r="F21" s="1776">
        <f>SUM(F17:F20)</f>
        <v>0</v>
      </c>
      <c r="G21" s="552"/>
    </row>
    <row r="22" spans="1:11" ht="15.75" customHeight="1" thickTop="1" x14ac:dyDescent="0.2">
      <c r="A22" s="2219" t="s">
        <v>1174</v>
      </c>
      <c r="B22" s="2220"/>
      <c r="C22" s="2214"/>
      <c r="D22" s="2215"/>
      <c r="E22" s="2215"/>
      <c r="F22" s="2216"/>
    </row>
    <row r="23" spans="1:11" ht="13.5" thickBot="1" x14ac:dyDescent="0.25">
      <c r="A23" s="2221" t="s">
        <v>654</v>
      </c>
      <c r="B23" s="2222"/>
      <c r="C23" s="581"/>
      <c r="D23" s="581"/>
      <c r="E23" s="581"/>
      <c r="F23" s="1776">
        <f>SUM(C23+D23)-E23</f>
        <v>0</v>
      </c>
      <c r="G23" s="552"/>
    </row>
    <row r="24" spans="1:11" ht="15.75" customHeight="1" thickTop="1" x14ac:dyDescent="0.2">
      <c r="A24" s="2219" t="s">
        <v>1175</v>
      </c>
      <c r="B24" s="2220"/>
      <c r="C24" s="2214"/>
      <c r="D24" s="2215"/>
      <c r="E24" s="2215"/>
      <c r="F24" s="2216"/>
    </row>
    <row r="25" spans="1:11" ht="13.5" thickBot="1" x14ac:dyDescent="0.25">
      <c r="A25" s="2221" t="s">
        <v>655</v>
      </c>
      <c r="B25" s="2222"/>
      <c r="C25" s="581"/>
      <c r="D25" s="581"/>
      <c r="E25" s="581"/>
      <c r="F25" s="1776">
        <f>SUM(C25+D25)-E25</f>
        <v>0</v>
      </c>
      <c r="G25" s="552"/>
    </row>
    <row r="26" spans="1:11" ht="15.75" customHeight="1" thickTop="1" x14ac:dyDescent="0.2">
      <c r="A26" s="2225" t="s">
        <v>678</v>
      </c>
      <c r="B26" s="2220"/>
      <c r="C26" s="728"/>
      <c r="D26" s="728"/>
      <c r="E26" s="728"/>
      <c r="F26" s="729"/>
    </row>
    <row r="27" spans="1:11" ht="13.5" thickBot="1" x14ac:dyDescent="0.25">
      <c r="A27" s="2217" t="s">
        <v>1130</v>
      </c>
      <c r="B27" s="2218"/>
      <c r="C27" s="585"/>
      <c r="D27" s="585"/>
      <c r="E27" s="585"/>
      <c r="F27" s="1776">
        <f>SUM(C27+D27)-E27</f>
        <v>0</v>
      </c>
      <c r="G27" s="552"/>
    </row>
    <row r="28" spans="1:11" ht="7.5" customHeight="1" thickTop="1" x14ac:dyDescent="0.2">
      <c r="A28" s="594"/>
    </row>
    <row r="29" spans="1:11" ht="23.25" customHeight="1" x14ac:dyDescent="0.2">
      <c r="A29" s="2223" t="s">
        <v>603</v>
      </c>
      <c r="B29" s="2224"/>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2103</v>
      </c>
      <c r="B32" s="734">
        <v>36404</v>
      </c>
      <c r="C32" s="735">
        <v>305000</v>
      </c>
      <c r="D32" s="736">
        <v>4</v>
      </c>
      <c r="E32" s="735">
        <v>55000</v>
      </c>
      <c r="F32" s="735"/>
      <c r="G32" s="735"/>
      <c r="H32" s="735">
        <v>25000</v>
      </c>
      <c r="I32" s="1777">
        <f>((E32+F32)-H32)+G32</f>
        <v>30000</v>
      </c>
      <c r="J32" s="735">
        <v>17050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2104</v>
      </c>
      <c r="B34" s="734">
        <v>40725</v>
      </c>
      <c r="C34" s="735">
        <v>225000</v>
      </c>
      <c r="D34" s="736">
        <v>7</v>
      </c>
      <c r="E34" s="735">
        <v>170000</v>
      </c>
      <c r="F34" s="735"/>
      <c r="G34" s="735"/>
      <c r="H34" s="735">
        <v>15000</v>
      </c>
      <c r="I34" s="1777">
        <f t="shared" si="1"/>
        <v>155000</v>
      </c>
      <c r="J34" s="735">
        <v>155000</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530000</v>
      </c>
      <c r="D49" s="746"/>
      <c r="E49" s="1777">
        <f t="shared" ref="E49:J49" si="2">SUM(E31:E48)</f>
        <v>225000</v>
      </c>
      <c r="F49" s="1777">
        <f t="shared" si="2"/>
        <v>0</v>
      </c>
      <c r="G49" s="1777">
        <f t="shared" si="2"/>
        <v>0</v>
      </c>
      <c r="H49" s="1777">
        <f t="shared" si="2"/>
        <v>40000</v>
      </c>
      <c r="I49" s="1777">
        <f t="shared" si="2"/>
        <v>185000</v>
      </c>
      <c r="J49" s="1777">
        <f t="shared" si="2"/>
        <v>172050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6" t="s">
        <v>605</v>
      </c>
      <c r="C52" s="2207"/>
      <c r="D52" s="2207"/>
      <c r="E52" s="750" t="s">
        <v>900</v>
      </c>
      <c r="F52" s="2208" t="s">
        <v>2105</v>
      </c>
      <c r="G52" s="2209"/>
      <c r="H52" s="737"/>
      <c r="I52" s="737"/>
      <c r="J52" s="747"/>
    </row>
    <row r="53" spans="1:11" ht="11.25" customHeight="1" x14ac:dyDescent="0.2">
      <c r="A53" s="751" t="s">
        <v>969</v>
      </c>
      <c r="B53" s="752" t="s">
        <v>1008</v>
      </c>
      <c r="C53" s="747"/>
      <c r="D53" s="738"/>
      <c r="E53" s="750" t="s">
        <v>518</v>
      </c>
      <c r="F53" s="2210"/>
      <c r="G53" s="2211"/>
      <c r="H53" s="737"/>
      <c r="I53" s="737"/>
      <c r="J53" s="747"/>
    </row>
    <row r="54" spans="1:11" ht="11.25" customHeight="1" x14ac:dyDescent="0.2">
      <c r="A54" s="753" t="s">
        <v>970</v>
      </c>
      <c r="B54" s="748" t="s">
        <v>1009</v>
      </c>
      <c r="C54" s="747"/>
      <c r="D54" s="738"/>
      <c r="E54" s="750" t="s">
        <v>519</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3" sqref="B3:S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552"/>
      <c r="I1" s="761"/>
      <c r="J1" s="433"/>
    </row>
    <row r="2" spans="1:11" ht="26.25" x14ac:dyDescent="0.2">
      <c r="A2" s="2254" t="s">
        <v>1776</v>
      </c>
      <c r="B2" s="2255"/>
      <c r="C2" s="2255"/>
      <c r="D2" s="2255"/>
      <c r="E2" s="2256"/>
      <c r="F2" s="762" t="s">
        <v>960</v>
      </c>
      <c r="G2" s="763" t="s">
        <v>1773</v>
      </c>
      <c r="H2" s="763" t="s">
        <v>430</v>
      </c>
      <c r="I2" s="763" t="s">
        <v>1220</v>
      </c>
      <c r="J2" s="763" t="s">
        <v>1919</v>
      </c>
      <c r="K2" s="763" t="s">
        <v>140</v>
      </c>
    </row>
    <row r="3" spans="1:11" x14ac:dyDescent="0.2">
      <c r="A3" s="2257" t="s">
        <v>1698</v>
      </c>
      <c r="B3" s="2258"/>
      <c r="C3" s="2258"/>
      <c r="D3" s="2258"/>
      <c r="E3" s="2259"/>
      <c r="F3" s="764"/>
      <c r="G3" s="765"/>
      <c r="H3" s="765">
        <v>0</v>
      </c>
      <c r="I3" s="765">
        <v>0</v>
      </c>
      <c r="J3" s="766">
        <v>0</v>
      </c>
      <c r="K3" s="766">
        <v>0</v>
      </c>
    </row>
    <row r="4" spans="1:11" x14ac:dyDescent="0.2">
      <c r="A4" s="2260" t="s">
        <v>387</v>
      </c>
      <c r="B4" s="2261"/>
      <c r="C4" s="2261"/>
      <c r="D4" s="2261"/>
      <c r="E4" s="2207"/>
      <c r="F4" s="767"/>
      <c r="G4" s="768"/>
      <c r="H4" s="769"/>
      <c r="I4" s="768"/>
      <c r="J4" s="770"/>
      <c r="K4" s="770"/>
    </row>
    <row r="5" spans="1:11" x14ac:dyDescent="0.2">
      <c r="A5" s="2238" t="s">
        <v>1129</v>
      </c>
      <c r="B5" s="2239"/>
      <c r="C5" s="2239"/>
      <c r="D5" s="2239"/>
      <c r="E5" s="2240"/>
      <c r="F5" s="771" t="s">
        <v>903</v>
      </c>
      <c r="G5" s="772"/>
      <c r="H5" s="765">
        <v>4552</v>
      </c>
      <c r="I5" s="773"/>
      <c r="J5" s="774"/>
      <c r="K5" s="774"/>
    </row>
    <row r="6" spans="1:11" x14ac:dyDescent="0.2">
      <c r="A6" s="775" t="s">
        <v>744</v>
      </c>
      <c r="B6" s="776"/>
      <c r="C6" s="776"/>
      <c r="D6" s="776"/>
      <c r="E6" s="777"/>
      <c r="F6" s="778" t="s">
        <v>904</v>
      </c>
      <c r="G6" s="765"/>
      <c r="H6" s="765">
        <v>6</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8" t="s">
        <v>1920</v>
      </c>
      <c r="B10" s="2239"/>
      <c r="C10" s="2239"/>
      <c r="D10" s="2239"/>
      <c r="E10" s="2241"/>
      <c r="F10" s="784" t="s">
        <v>917</v>
      </c>
      <c r="G10" s="783"/>
      <c r="H10" s="785">
        <v>41</v>
      </c>
      <c r="I10" s="765"/>
      <c r="J10" s="766"/>
      <c r="K10" s="766"/>
    </row>
    <row r="11" spans="1:11" x14ac:dyDescent="0.2">
      <c r="A11" s="2238" t="s">
        <v>162</v>
      </c>
      <c r="B11" s="2239"/>
      <c r="C11" s="2239"/>
      <c r="D11" s="2239"/>
      <c r="E11" s="2240"/>
      <c r="F11" s="771" t="s">
        <v>907</v>
      </c>
      <c r="G11" s="772"/>
      <c r="H11" s="765"/>
      <c r="I11" s="765"/>
      <c r="J11" s="766"/>
      <c r="K11" s="774"/>
    </row>
    <row r="12" spans="1:11" ht="13.5" thickBot="1" x14ac:dyDescent="0.25">
      <c r="A12" s="2265" t="s">
        <v>961</v>
      </c>
      <c r="B12" s="2266"/>
      <c r="C12" s="2266"/>
      <c r="D12" s="2266"/>
      <c r="E12" s="2267"/>
      <c r="F12" s="1778"/>
      <c r="G12" s="1779">
        <f>SUM(G5:G11)</f>
        <v>0</v>
      </c>
      <c r="H12" s="1779">
        <f>SUM(H5:H11)</f>
        <v>4599</v>
      </c>
      <c r="I12" s="1779">
        <f>SUM(I5:I11)</f>
        <v>0</v>
      </c>
      <c r="J12" s="1779">
        <f>SUM(J5:J11)</f>
        <v>0</v>
      </c>
      <c r="K12" s="1779">
        <f>SUM(K5:K11)</f>
        <v>0</v>
      </c>
    </row>
    <row r="13" spans="1:11" ht="13.5" thickTop="1" x14ac:dyDescent="0.2">
      <c r="A13" s="2262" t="s">
        <v>388</v>
      </c>
      <c r="B13" s="2263"/>
      <c r="C13" s="2263"/>
      <c r="D13" s="2263"/>
      <c r="E13" s="2264"/>
      <c r="F13" s="786"/>
      <c r="G13" s="787"/>
      <c r="H13" s="788"/>
      <c r="I13" s="789"/>
      <c r="J13" s="789"/>
      <c r="K13" s="789"/>
    </row>
    <row r="14" spans="1:11" x14ac:dyDescent="0.2">
      <c r="A14" s="2245" t="s">
        <v>476</v>
      </c>
      <c r="B14" s="2245"/>
      <c r="C14" s="2245"/>
      <c r="D14" s="2245"/>
      <c r="E14" s="2246"/>
      <c r="F14" s="790" t="s">
        <v>909</v>
      </c>
      <c r="G14" s="783"/>
      <c r="H14" s="765">
        <v>4599</v>
      </c>
      <c r="I14" s="772"/>
      <c r="J14" s="774"/>
      <c r="K14" s="766"/>
    </row>
    <row r="15" spans="1:11" x14ac:dyDescent="0.2">
      <c r="A15" s="2239" t="s">
        <v>4</v>
      </c>
      <c r="B15" s="2239"/>
      <c r="C15" s="2239"/>
      <c r="D15" s="2239"/>
      <c r="E15" s="2240"/>
      <c r="F15" s="790" t="s">
        <v>910</v>
      </c>
      <c r="G15" s="772"/>
      <c r="H15" s="765"/>
      <c r="I15" s="765"/>
      <c r="J15" s="766"/>
      <c r="K15" s="766"/>
    </row>
    <row r="16" spans="1:11" x14ac:dyDescent="0.2">
      <c r="A16" s="2239" t="s">
        <v>316</v>
      </c>
      <c r="B16" s="2239"/>
      <c r="C16" s="2239"/>
      <c r="D16" s="2239"/>
      <c r="E16" s="2240"/>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47" t="s">
        <v>1916</v>
      </c>
      <c r="B19" s="2247"/>
      <c r="C19" s="2247"/>
      <c r="D19" s="2247"/>
      <c r="E19" s="2248"/>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68" t="s">
        <v>659</v>
      </c>
      <c r="B21" s="2268"/>
      <c r="C21" s="2268"/>
      <c r="D21" s="2268"/>
      <c r="E21" s="2268"/>
      <c r="F21" s="1780"/>
      <c r="G21" s="793"/>
      <c r="H21" s="797"/>
      <c r="I21" s="797"/>
      <c r="J21" s="1781">
        <f>SUM(J18:J20)</f>
        <v>0</v>
      </c>
      <c r="K21" s="794"/>
    </row>
    <row r="22" spans="1:11" ht="13.5" thickTop="1" x14ac:dyDescent="0.2">
      <c r="A22" s="2239" t="s">
        <v>1922</v>
      </c>
      <c r="B22" s="2239"/>
      <c r="C22" s="2239"/>
      <c r="D22" s="2239"/>
      <c r="E22" s="2240"/>
      <c r="F22" s="790" t="s">
        <v>917</v>
      </c>
      <c r="G22" s="783"/>
      <c r="H22" s="765"/>
      <c r="I22" s="765"/>
      <c r="J22" s="798"/>
      <c r="K22" s="766"/>
    </row>
    <row r="23" spans="1:11" ht="13.5" thickBot="1" x14ac:dyDescent="0.25">
      <c r="A23" s="2269" t="s">
        <v>962</v>
      </c>
      <c r="B23" s="2268"/>
      <c r="C23" s="2268"/>
      <c r="D23" s="2268"/>
      <c r="E23" s="2268"/>
      <c r="F23" s="1782"/>
      <c r="G23" s="1779">
        <f>SUM(G14:G16,G21,G22)</f>
        <v>0</v>
      </c>
      <c r="H23" s="1779">
        <f>SUM(H14:H16,H21,H22)</f>
        <v>4599</v>
      </c>
      <c r="I23" s="1779">
        <f>SUM(I14:I16,I21,I22)</f>
        <v>0</v>
      </c>
      <c r="J23" s="1779">
        <f>SUM(J14:J16,J21,J22)</f>
        <v>0</v>
      </c>
      <c r="K23" s="1779">
        <f>SUM(K14:K16,K21,K22)</f>
        <v>0</v>
      </c>
    </row>
    <row r="24" spans="1:11" ht="14.25" thickTop="1" thickBot="1" x14ac:dyDescent="0.25">
      <c r="A24" s="2269" t="s">
        <v>2026</v>
      </c>
      <c r="B24" s="2268"/>
      <c r="C24" s="2268"/>
      <c r="D24" s="2268"/>
      <c r="E24" s="2268"/>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2"/>
      <c r="I31" s="2243"/>
      <c r="J31" s="2243"/>
      <c r="K31" s="2243"/>
    </row>
    <row r="32" spans="1:11" x14ac:dyDescent="0.2">
      <c r="A32" s="810"/>
      <c r="B32" s="237"/>
      <c r="C32" s="237"/>
      <c r="D32" s="237"/>
      <c r="E32" s="806"/>
      <c r="F32" s="812" t="s">
        <v>561</v>
      </c>
      <c r="G32" s="765"/>
      <c r="H32" s="2244"/>
      <c r="I32" s="2243"/>
      <c r="J32" s="2243"/>
      <c r="K32" s="2243"/>
    </row>
    <row r="33" spans="1:11" ht="1.5" customHeight="1" x14ac:dyDescent="0.2">
      <c r="A33" s="813" t="s">
        <v>1231</v>
      </c>
      <c r="B33" s="364"/>
      <c r="C33" s="364"/>
      <c r="D33" s="364"/>
      <c r="E33" s="364"/>
      <c r="F33" s="364"/>
      <c r="G33" s="814"/>
      <c r="H33" s="2244"/>
      <c r="I33" s="2243"/>
      <c r="J33" s="2243"/>
      <c r="K33" s="224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3" sqref="B3:S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2035</v>
      </c>
      <c r="B1" s="2275"/>
      <c r="C1" s="2276"/>
      <c r="D1" s="827"/>
      <c r="E1" s="828"/>
      <c r="F1" s="828"/>
      <c r="G1" s="829"/>
      <c r="H1" s="830"/>
      <c r="I1" s="831"/>
      <c r="J1" s="2272"/>
      <c r="K1" s="2273"/>
      <c r="L1" s="2273"/>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v>11500</v>
      </c>
      <c r="E5" s="842"/>
      <c r="F5" s="1781">
        <f>(C5+D5)-E5</f>
        <v>11500</v>
      </c>
      <c r="G5" s="838"/>
      <c r="H5" s="843"/>
      <c r="I5" s="843"/>
      <c r="J5" s="843"/>
      <c r="K5" s="794"/>
      <c r="L5" s="1790">
        <f>F5-K5</f>
        <v>11500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2139845</v>
      </c>
      <c r="D8" s="845"/>
      <c r="E8" s="845"/>
      <c r="F8" s="1781">
        <f>(C8+D8)-E8</f>
        <v>2139845</v>
      </c>
      <c r="G8" s="844">
        <v>50</v>
      </c>
      <c r="H8" s="766">
        <v>1079416</v>
      </c>
      <c r="I8" s="766">
        <v>27305</v>
      </c>
      <c r="J8" s="766"/>
      <c r="K8" s="1790">
        <f>(H8+I8)-J8</f>
        <v>1106721</v>
      </c>
      <c r="L8" s="1790">
        <f>F8-K8</f>
        <v>1033124</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26234</v>
      </c>
      <c r="D10" s="847"/>
      <c r="E10" s="847"/>
      <c r="F10" s="1785">
        <f>(C10+D10)-E10</f>
        <v>26234</v>
      </c>
      <c r="G10" s="844">
        <v>20</v>
      </c>
      <c r="H10" s="848">
        <v>24559</v>
      </c>
      <c r="I10" s="848">
        <v>286</v>
      </c>
      <c r="J10" s="848"/>
      <c r="K10" s="1790">
        <f>(H10+I10)-J10</f>
        <v>24845</v>
      </c>
      <c r="L10" s="1790">
        <f>F10-K10</f>
        <v>1389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654257</v>
      </c>
      <c r="D12" s="845">
        <v>2117</v>
      </c>
      <c r="E12" s="845"/>
      <c r="F12" s="1781">
        <f>(C12+D12)-E12</f>
        <v>656374</v>
      </c>
      <c r="G12" s="844">
        <v>10</v>
      </c>
      <c r="H12" s="766">
        <v>492501</v>
      </c>
      <c r="I12" s="766">
        <v>27684</v>
      </c>
      <c r="J12" s="766"/>
      <c r="K12" s="1790">
        <f>(H12+I12)-J12</f>
        <v>520185</v>
      </c>
      <c r="L12" s="1790">
        <f>F12-K12</f>
        <v>136189</v>
      </c>
    </row>
    <row r="13" spans="1:14" ht="14.25" thickTop="1" thickBot="1" x14ac:dyDescent="0.25">
      <c r="A13" s="849" t="s">
        <v>1184</v>
      </c>
      <c r="B13" s="841">
        <v>252</v>
      </c>
      <c r="C13" s="845">
        <v>5157</v>
      </c>
      <c r="D13" s="845"/>
      <c r="E13" s="845"/>
      <c r="F13" s="1781">
        <f>(C13+D13)-E13</f>
        <v>5157</v>
      </c>
      <c r="G13" s="844">
        <v>5</v>
      </c>
      <c r="H13" s="766">
        <v>860</v>
      </c>
      <c r="I13" s="766">
        <v>1031</v>
      </c>
      <c r="J13" s="766"/>
      <c r="K13" s="1790">
        <f>(H13+I13)-J13</f>
        <v>1891</v>
      </c>
      <c r="L13" s="1790">
        <f>F13-K13</f>
        <v>3266</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2825493</v>
      </c>
      <c r="D16" s="1781">
        <f>SUM(D3,D5:D6,D8:D10,D12:D15)</f>
        <v>13617</v>
      </c>
      <c r="E16" s="1781">
        <f>SUM(E3,E5:E6,E8:E10,E12:E15)</f>
        <v>0</v>
      </c>
      <c r="F16" s="1781">
        <f>SUM(F3,F5:F6,F8:F10,F12:F15)</f>
        <v>2839110</v>
      </c>
      <c r="G16" s="844"/>
      <c r="H16" s="1781">
        <f>SUM(H3,H6,H8:H10,H12:H14,)</f>
        <v>1597336</v>
      </c>
      <c r="I16" s="1781">
        <f>SUM(I3,I6,I8:I10,I12:I14,)</f>
        <v>56306</v>
      </c>
      <c r="J16" s="1781">
        <f>SUM(J3,J6,J8:J10,J12:J14,)</f>
        <v>0</v>
      </c>
      <c r="K16" s="1781">
        <f>(H16+I16)-J16</f>
        <v>1653642</v>
      </c>
      <c r="L16" s="1781">
        <f>F16-K16</f>
        <v>1185468</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56306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B3" sqref="B3:S3"/>
      <selection pane="bottomLeft" activeCell="B3" sqref="B3:S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1211259</v>
      </c>
      <c r="G8" s="866"/>
    </row>
    <row r="9" spans="1:7" x14ac:dyDescent="0.2">
      <c r="A9" s="870" t="s">
        <v>480</v>
      </c>
      <c r="B9" s="871" t="s">
        <v>1989</v>
      </c>
      <c r="C9" s="872"/>
      <c r="D9" s="870" t="s">
        <v>522</v>
      </c>
      <c r="E9" s="869"/>
      <c r="F9" s="1933">
        <f>'Expenditures 15-22'!K151</f>
        <v>102819</v>
      </c>
      <c r="G9" s="873"/>
    </row>
    <row r="10" spans="1:7" x14ac:dyDescent="0.2">
      <c r="A10" s="870" t="s">
        <v>520</v>
      </c>
      <c r="B10" s="871" t="s">
        <v>1990</v>
      </c>
      <c r="C10" s="872"/>
      <c r="D10" s="870" t="s">
        <v>522</v>
      </c>
      <c r="E10" s="869"/>
      <c r="F10" s="1933">
        <f>'Expenditures 15-22'!K174</f>
        <v>52398</v>
      </c>
      <c r="G10" s="873"/>
    </row>
    <row r="11" spans="1:7" x14ac:dyDescent="0.2">
      <c r="A11" s="870" t="s">
        <v>481</v>
      </c>
      <c r="B11" s="871" t="s">
        <v>1991</v>
      </c>
      <c r="C11" s="872"/>
      <c r="D11" s="870" t="s">
        <v>522</v>
      </c>
      <c r="E11" s="869"/>
      <c r="F11" s="1933">
        <f>'Expenditures 15-22'!K210</f>
        <v>54899</v>
      </c>
      <c r="G11" s="873"/>
    </row>
    <row r="12" spans="1:7" x14ac:dyDescent="0.2">
      <c r="A12" s="870" t="s">
        <v>482</v>
      </c>
      <c r="B12" s="871" t="s">
        <v>1992</v>
      </c>
      <c r="C12" s="872"/>
      <c r="D12" s="870" t="s">
        <v>522</v>
      </c>
      <c r="E12" s="869"/>
      <c r="F12" s="1933">
        <f>'Expenditures 15-22'!K295</f>
        <v>59879</v>
      </c>
      <c r="G12" s="873"/>
    </row>
    <row r="13" spans="1:7" x14ac:dyDescent="0.2">
      <c r="A13" s="870" t="s">
        <v>108</v>
      </c>
      <c r="B13" s="871" t="s">
        <v>1993</v>
      </c>
      <c r="C13" s="872"/>
      <c r="D13" s="870" t="s">
        <v>522</v>
      </c>
      <c r="E13" s="869"/>
      <c r="F13" s="1933">
        <f>'Expenditures 15-22'!K342</f>
        <v>114831</v>
      </c>
      <c r="G13" s="874"/>
    </row>
    <row r="14" spans="1:7" ht="12" customHeight="1" thickBot="1" x14ac:dyDescent="0.25">
      <c r="A14" s="1791"/>
      <c r="B14" s="1792"/>
      <c r="C14" s="1793"/>
      <c r="D14" s="1794" t="s">
        <v>522</v>
      </c>
      <c r="E14" s="1795" t="s">
        <v>1015</v>
      </c>
      <c r="F14" s="1796">
        <f>SUM(F8:F13)</f>
        <v>1596085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28267</v>
      </c>
      <c r="G53" s="866"/>
    </row>
    <row r="54" spans="1:7" x14ac:dyDescent="0.2">
      <c r="A54" s="870" t="s">
        <v>479</v>
      </c>
      <c r="B54" s="870" t="s">
        <v>1552</v>
      </c>
      <c r="C54" s="890" t="s">
        <v>1039</v>
      </c>
      <c r="D54" s="886" t="s">
        <v>1157</v>
      </c>
      <c r="E54" s="869"/>
      <c r="F54" s="1937">
        <f>'Expenditures 15-22'!G114</f>
        <v>2117</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11500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40000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81884</v>
      </c>
      <c r="G76" s="866"/>
    </row>
    <row r="77" spans="1:8" s="894" customFormat="1" ht="12" customHeight="1" thickTop="1" thickBot="1" x14ac:dyDescent="0.25">
      <c r="A77" s="1800"/>
      <c r="B77" s="1797"/>
      <c r="C77" s="1793"/>
      <c r="D77" s="1798" t="s">
        <v>2012</v>
      </c>
      <c r="E77" s="1795"/>
      <c r="F77" s="1801">
        <f>(F14-F76)</f>
        <v>1514201</v>
      </c>
      <c r="G77" s="870"/>
    </row>
    <row r="78" spans="1:8" s="894" customFormat="1" ht="12" customHeight="1" thickTop="1" x14ac:dyDescent="0.2">
      <c r="A78" s="1802"/>
      <c r="B78" s="1797"/>
      <c r="C78" s="1793"/>
      <c r="D78" s="1798" t="s">
        <v>2059</v>
      </c>
      <c r="E78" s="1795"/>
      <c r="F78" s="899">
        <v>161.30000000000001</v>
      </c>
      <c r="G78" s="900"/>
      <c r="H78" s="870"/>
    </row>
    <row r="79" spans="1:8" s="894" customFormat="1" ht="12" customHeight="1" thickBot="1" x14ac:dyDescent="0.25">
      <c r="A79" s="1803"/>
      <c r="B79" s="1797"/>
      <c r="C79" s="1793"/>
      <c r="D79" s="1798" t="s">
        <v>2013</v>
      </c>
      <c r="E79" s="1795" t="s">
        <v>1015</v>
      </c>
      <c r="F79" s="1804">
        <f>IF(F78&gt;0,F77/F78," Complete Line 78")</f>
        <v>9387.4829510229374</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548</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1055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1665</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627</v>
      </c>
      <c r="G104" s="913"/>
    </row>
    <row r="105" spans="1:7" x14ac:dyDescent="0.2">
      <c r="A105" s="909" t="s">
        <v>524</v>
      </c>
      <c r="B105" s="909" t="s">
        <v>842</v>
      </c>
      <c r="C105" s="914">
        <v>3100</v>
      </c>
      <c r="D105" s="920" t="str">
        <f>'Revenues 9-14'!A131</f>
        <v>Total Special Education</v>
      </c>
      <c r="E105" s="907"/>
      <c r="F105" s="1810">
        <f>SUM('Revenues 9-14'!C131:D131,'Revenues 9-14'!F131)</f>
        <v>38511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2508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23078</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21573</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134026</v>
      </c>
      <c r="G129" s="931"/>
    </row>
    <row r="130" spans="1:7" x14ac:dyDescent="0.2">
      <c r="A130" s="928" t="s">
        <v>689</v>
      </c>
      <c r="B130" s="928" t="s">
        <v>804</v>
      </c>
      <c r="C130" s="933">
        <v>4300</v>
      </c>
      <c r="D130" s="934" t="str">
        <f>'Revenues 9-14'!A211</f>
        <v>Total Title I</v>
      </c>
      <c r="E130" s="907"/>
      <c r="F130" s="1810">
        <f>SUM('Revenues 9-14'!C211,'Revenues 9-14'!D211,'Revenues 9-14'!F211,'Revenues 9-14'!G211)</f>
        <v>84472</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1839</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14983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5449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3663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36244</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370241</v>
      </c>
    </row>
    <row r="179" spans="1:7" ht="12" customHeight="1" x14ac:dyDescent="0.2">
      <c r="A179" s="1791"/>
      <c r="B179" s="1805"/>
      <c r="C179" s="1806"/>
      <c r="D179" s="1807" t="s">
        <v>2015</v>
      </c>
      <c r="E179" s="1808"/>
      <c r="F179" s="1810">
        <f>'PCTC-OEPP 27-28'!F77-F178</f>
        <v>1143960</v>
      </c>
    </row>
    <row r="180" spans="1:7" ht="12" customHeight="1" x14ac:dyDescent="0.2">
      <c r="A180" s="1791"/>
      <c r="B180" s="1805"/>
      <c r="C180" s="1806"/>
      <c r="D180" s="1807" t="s">
        <v>1924</v>
      </c>
      <c r="E180" s="1808"/>
      <c r="F180" s="1810">
        <f>'Cap Outlay Deprec 26'!I18</f>
        <v>56306</v>
      </c>
    </row>
    <row r="181" spans="1:7" ht="12" customHeight="1" x14ac:dyDescent="0.2">
      <c r="A181" s="1791"/>
      <c r="B181" s="1805"/>
      <c r="C181" s="1806"/>
      <c r="D181" s="1807" t="s">
        <v>2016</v>
      </c>
      <c r="E181" s="1808"/>
      <c r="F181" s="1810">
        <f>F179+F180</f>
        <v>1200266</v>
      </c>
    </row>
    <row r="182" spans="1:7" ht="12" customHeight="1" x14ac:dyDescent="0.2">
      <c r="A182" s="1791"/>
      <c r="B182" s="1811"/>
      <c r="C182" s="1806"/>
      <c r="D182" s="1807" t="str">
        <f>D78</f>
        <v>9 Month ADA from District Average Daily Attendance/Prior General State Aid Inquiry 2017-2018</v>
      </c>
      <c r="E182" s="1808"/>
      <c r="F182" s="1812">
        <f>'PCTC-OEPP 27-28'!F78</f>
        <v>161.30000000000001</v>
      </c>
      <c r="G182" s="931"/>
    </row>
    <row r="183" spans="1:7" ht="12" customHeight="1" thickBot="1" x14ac:dyDescent="0.25">
      <c r="A183" s="1791"/>
      <c r="B183" s="1811"/>
      <c r="C183" s="1806"/>
      <c r="D183" s="1807" t="s">
        <v>2017</v>
      </c>
      <c r="E183" s="1808" t="s">
        <v>1626</v>
      </c>
      <c r="F183" s="1813">
        <f>F181/F182</f>
        <v>7441.2027278363294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B3" sqref="B3:S3"/>
      <selection pane="bottomLeft" activeCell="B3" sqref="B3:S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6" t="s">
        <v>1926</v>
      </c>
      <c r="B6" s="1557"/>
      <c r="C6" s="1557"/>
      <c r="D6" s="1557"/>
      <c r="E6" s="1557"/>
      <c r="F6" s="1557"/>
      <c r="G6" s="1558"/>
    </row>
    <row r="7" spans="1:7" ht="30.75" customHeight="1" x14ac:dyDescent="0.25">
      <c r="A7" s="2297" t="s">
        <v>2075</v>
      </c>
      <c r="B7" s="2298"/>
      <c r="C7" s="2298"/>
      <c r="D7" s="2298"/>
      <c r="E7" s="2298"/>
      <c r="F7" s="2298"/>
      <c r="G7" s="2299"/>
    </row>
    <row r="8" spans="1:7" ht="15.75" customHeight="1" x14ac:dyDescent="0.25">
      <c r="A8" s="2300" t="s">
        <v>2024</v>
      </c>
      <c r="B8" s="2301"/>
      <c r="C8" s="2301"/>
      <c r="D8" s="2301"/>
      <c r="E8" s="2301"/>
      <c r="F8" s="2301"/>
      <c r="G8" s="2302"/>
    </row>
    <row r="9" spans="1:7" ht="35.25" customHeight="1" x14ac:dyDescent="0.25">
      <c r="A9" s="2297" t="s">
        <v>2023</v>
      </c>
      <c r="B9" s="2298"/>
      <c r="C9" s="2298"/>
      <c r="D9" s="2298"/>
      <c r="E9" s="2298"/>
      <c r="F9" s="2298"/>
      <c r="G9" s="2299"/>
    </row>
    <row r="10" spans="1:7" ht="15" customHeight="1" x14ac:dyDescent="0.25">
      <c r="A10" s="1559" t="s">
        <v>1927</v>
      </c>
      <c r="B10" s="1560"/>
      <c r="C10" s="1560"/>
      <c r="D10" s="1560"/>
      <c r="E10" s="1560"/>
      <c r="F10" s="1560"/>
      <c r="G10" s="1561"/>
    </row>
    <row r="11" spans="1:7" ht="17.25" customHeight="1" x14ac:dyDescent="0.25">
      <c r="A11" s="2297" t="s">
        <v>1941</v>
      </c>
      <c r="B11" s="2298"/>
      <c r="C11" s="2298"/>
      <c r="D11" s="2298"/>
      <c r="E11" s="2298"/>
      <c r="F11" s="2298"/>
      <c r="G11" s="2299"/>
    </row>
    <row r="12" spans="1:7" ht="15" customHeight="1" x14ac:dyDescent="0.25">
      <c r="A12" s="1559" t="s">
        <v>1932</v>
      </c>
      <c r="B12" s="1560"/>
      <c r="C12" s="1560"/>
      <c r="D12" s="1560"/>
      <c r="E12" s="1560"/>
      <c r="F12" s="1560"/>
      <c r="G12" s="1561"/>
    </row>
    <row r="13" spans="1:7" ht="32.25" customHeight="1" x14ac:dyDescent="0.25">
      <c r="A13" s="2288" t="s">
        <v>1933</v>
      </c>
      <c r="B13" s="2289"/>
      <c r="C13" s="2289"/>
      <c r="D13" s="2289"/>
      <c r="E13" s="2289"/>
      <c r="F13" s="2289"/>
      <c r="G13" s="2290"/>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2106</v>
      </c>
      <c r="B17" s="1960" t="s">
        <v>2107</v>
      </c>
      <c r="C17" s="1961" t="s">
        <v>2108</v>
      </c>
      <c r="D17" s="1865">
        <v>6000</v>
      </c>
      <c r="E17" s="1562">
        <f t="shared" ref="E17:E30" si="1">IF(D17&lt;=25000,D17,IF(D17&gt;25000,25000,0))</f>
        <v>6000</v>
      </c>
      <c r="F17" s="1814">
        <f t="shared" si="0"/>
        <v>6000</v>
      </c>
      <c r="G17" s="1815">
        <f>IF(F17=0,0,D17-F17)</f>
        <v>0</v>
      </c>
      <c r="H17" s="1669"/>
    </row>
    <row r="18" spans="1:8" x14ac:dyDescent="0.25">
      <c r="A18" s="1959" t="s">
        <v>2109</v>
      </c>
      <c r="B18" s="1960" t="s">
        <v>2110</v>
      </c>
      <c r="C18" s="1961" t="s">
        <v>2111</v>
      </c>
      <c r="D18" s="1865">
        <v>19081</v>
      </c>
      <c r="E18" s="1562">
        <f t="shared" ref="E18:E29" si="2">IF(D18&lt;=25000,D18,IF(D18&gt;25000,25000,0))</f>
        <v>19081</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19081</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25081</v>
      </c>
      <c r="E30" s="1563">
        <f t="shared" si="1"/>
        <v>25000</v>
      </c>
      <c r="F30" s="1816">
        <f>SUM(F17:F29)</f>
        <v>25081</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B3" sqref="B3:S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61801</v>
      </c>
      <c r="F10" s="975"/>
      <c r="G10" s="976"/>
      <c r="H10" s="162"/>
      <c r="I10" s="162"/>
    </row>
    <row r="11" spans="1:9" s="669" customFormat="1" ht="22.5" customHeight="1" x14ac:dyDescent="0.2">
      <c r="A11" s="2308" t="s">
        <v>1945</v>
      </c>
      <c r="B11" s="2309"/>
      <c r="C11" s="2309"/>
      <c r="D11" s="2310"/>
      <c r="E11" s="978">
        <v>8400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933270</v>
      </c>
      <c r="F19" s="1821"/>
      <c r="G19" s="1823">
        <f>'Expenditures 15-22'!K33-SUM('Expenditures 15-22'!G33,'Expenditures 15-22'!I33)+'Expenditures 15-22'!D229</f>
        <v>933270</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22343</v>
      </c>
      <c r="F21" s="1824"/>
      <c r="G21" s="1827">
        <f>'Expenditures 15-22'!K42-SUM('Expenditures 15-22'!G42,'Expenditures 15-22'!I42)+'Expenditures 15-22'!K120-SUM('Expenditures 15-22'!G120,'Expenditures 15-22'!I120)+'Expenditures 15-22'!K180-SUM('Expenditures 15-22'!G180,'Expenditures 15-22'!I180)+'Expenditures 15-22'!D238</f>
        <v>22343</v>
      </c>
      <c r="H21" s="988"/>
      <c r="I21" s="162"/>
    </row>
    <row r="22" spans="1:9" s="669" customFormat="1" ht="12" customHeight="1" x14ac:dyDescent="0.2">
      <c r="A22" s="995" t="s">
        <v>585</v>
      </c>
      <c r="B22" s="996"/>
      <c r="C22" s="994">
        <v>2200</v>
      </c>
      <c r="D22" s="1824"/>
      <c r="E22" s="1826">
        <f>'Expenditures 15-22'!K47-SUM('Expenditures 15-22'!G47,'Expenditures 15-22'!I47)+'Expenditures 15-22'!D243</f>
        <v>19108</v>
      </c>
      <c r="F22" s="1824"/>
      <c r="G22" s="1827">
        <f>'Expenditures 15-22'!K47-SUM('Expenditures 15-22'!G47,'Expenditures 15-22'!I47)+'Expenditures 15-22'!D243</f>
        <v>19108</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185535</v>
      </c>
      <c r="F23" s="1824"/>
      <c r="G23" s="1826">
        <f>'Expenditures 15-22'!K53-SUM('Expenditures 15-22'!G53,'Expenditures 15-22'!I53)+'Expenditures 15-22'!D257+'Expenditures 15-22'!K330-SUM('Expenditures 15-22'!G330,'Expenditures 15-22'!I330)</f>
        <v>185535</v>
      </c>
      <c r="H23" s="988"/>
      <c r="I23" s="162"/>
    </row>
    <row r="24" spans="1:9" s="669" customFormat="1" ht="12" customHeight="1" x14ac:dyDescent="0.2">
      <c r="A24" s="995" t="s">
        <v>587</v>
      </c>
      <c r="B24" s="996"/>
      <c r="C24" s="994">
        <v>2400</v>
      </c>
      <c r="D24" s="1824"/>
      <c r="E24" s="1826">
        <f>'Expenditures 15-22'!K57-SUM('Expenditures 15-22'!G57,'Expenditures 15-22'!I57)+'Expenditures 15-22'!D261</f>
        <v>60120</v>
      </c>
      <c r="F24" s="1824"/>
      <c r="G24" s="1827">
        <f>'Expenditures 15-22'!K57-SUM('Expenditures 15-22'!G57,'Expenditures 15-22'!I57)+'Expenditures 15-22'!D261</f>
        <v>60120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17933</v>
      </c>
      <c r="E27" s="1826">
        <f>E8</f>
        <v>0</v>
      </c>
      <c r="F27" s="1826">
        <f>'Expenditures 15-22'!K60-SUM('Expenditures 15-22'!G60,'Expenditures 15-22'!I60)+'Expenditures 15-22'!D264-E8</f>
        <v>17933</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100584</v>
      </c>
      <c r="F28" s="1828">
        <f>'Expenditures 15-22'!K61-SUM('Expenditures 15-22'!G61,'Expenditures 15-22'!I61)+'Expenditures 15-22'!K124-SUM('Expenditures 15-22'!G124,'Expenditures 15-22'!I124)+'Expenditures 15-22'!D266-E9</f>
        <v>100584</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59964</v>
      </c>
      <c r="F29" s="1824"/>
      <c r="G29" s="1827">
        <f>'Expenditures 15-22'!K62-SUM('Expenditures 15-22'!G62,'Expenditures 15-22'!I62)+'Expenditures 15-22'!K125-SUM('Expenditures 15-22'!G125,'Expenditures 15-22'!I125)+'Expenditures 15-22'!K182-SUM('Expenditures 15-22'!G182,'Expenditures 15-22'!I182)+'Expenditures 15-22'!D267</f>
        <v>59964</v>
      </c>
      <c r="H29" s="986"/>
    </row>
    <row r="30" spans="1:9" ht="12" customHeight="1" x14ac:dyDescent="0.2">
      <c r="A30" s="995" t="s">
        <v>102</v>
      </c>
      <c r="B30" s="998"/>
      <c r="C30" s="994">
        <v>2560</v>
      </c>
      <c r="D30" s="1824"/>
      <c r="E30" s="1826">
        <f>'Expenditures 15-22'!K63-SUM('Expenditures 15-22'!G63,'Expenditures 15-22'!I63)+'Expenditures 15-22'!D268-E10</f>
        <v>41145</v>
      </c>
      <c r="F30" s="1824"/>
      <c r="G30" s="1826">
        <f>'Expenditures 15-22'!K63-SUM('Expenditures 15-22'!G63,'Expenditures 15-22'!I63)+'Expenditures 15-22'!D268-E10</f>
        <v>41145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17933</v>
      </c>
      <c r="E41" s="1828">
        <f>SUM(E19:E40)</f>
        <v>1422069</v>
      </c>
      <c r="F41" s="1828">
        <f>SUM(F19:F39)</f>
        <v>118517</v>
      </c>
      <c r="G41" s="1828">
        <f>SUM(G19:G40)</f>
        <v>1321485</v>
      </c>
    </row>
    <row r="42" spans="1:7" x14ac:dyDescent="0.2">
      <c r="A42" s="988"/>
      <c r="B42" s="162"/>
      <c r="C42" s="1002"/>
      <c r="D42" s="2306" t="s">
        <v>543</v>
      </c>
      <c r="E42" s="2307"/>
      <c r="F42" s="1003" t="s">
        <v>544</v>
      </c>
      <c r="G42" s="1004"/>
    </row>
    <row r="43" spans="1:7" ht="12" customHeight="1" x14ac:dyDescent="0.2">
      <c r="A43" s="988"/>
      <c r="B43" s="162"/>
      <c r="C43" s="1002"/>
      <c r="D43" s="1829" t="s">
        <v>493</v>
      </c>
      <c r="E43" s="1830">
        <f>D41</f>
        <v>17933</v>
      </c>
      <c r="F43" s="1829" t="s">
        <v>495</v>
      </c>
      <c r="G43" s="1830">
        <f>F41</f>
        <v>118517</v>
      </c>
    </row>
    <row r="44" spans="1:7" ht="12" customHeight="1" x14ac:dyDescent="0.2">
      <c r="A44" s="988"/>
      <c r="B44" s="162"/>
      <c r="C44" s="1002"/>
      <c r="D44" s="1829" t="s">
        <v>494</v>
      </c>
      <c r="E44" s="1830">
        <f>E41</f>
        <v>1422069</v>
      </c>
      <c r="F44" s="1829" t="s">
        <v>494</v>
      </c>
      <c r="G44" s="1830">
        <f>G41</f>
        <v>1321485</v>
      </c>
    </row>
    <row r="45" spans="1:7" ht="12" customHeight="1" x14ac:dyDescent="0.2">
      <c r="A45" s="988"/>
      <c r="B45" s="162"/>
      <c r="C45" s="162"/>
      <c r="D45" s="1831" t="s">
        <v>1063</v>
      </c>
      <c r="E45" s="1832">
        <f>(E43/E44)</f>
        <v>1.2610499209250746E-2</v>
      </c>
      <c r="F45" s="1831" t="s">
        <v>1063</v>
      </c>
      <c r="G45" s="1832">
        <f>(G43/G44)</f>
        <v>8.9684710760999931E-2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3" sqref="B3:S3"/>
      <selection pane="bottomLeft" activeCell="B3" sqref="B3:S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5" t="s">
        <v>1446</v>
      </c>
      <c r="B1" s="2325"/>
      <c r="C1" s="2325"/>
      <c r="D1" s="2325"/>
      <c r="E1" s="2325"/>
      <c r="F1" s="2325"/>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6" t="s">
        <v>1627</v>
      </c>
      <c r="B5" s="2327"/>
      <c r="C5" s="2328"/>
      <c r="D5" s="2328"/>
      <c r="E5" s="2328"/>
      <c r="F5" s="2328"/>
    </row>
    <row r="6" spans="1:10" ht="12" customHeight="1" x14ac:dyDescent="0.25">
      <c r="A6" s="1873"/>
      <c r="B6" s="1874"/>
      <c r="C6" s="2329" t="str">
        <f>COVER!A17</f>
        <v>Bethel GSD 82</v>
      </c>
      <c r="D6" s="2329"/>
      <c r="E6" s="2329"/>
      <c r="F6" s="1875"/>
    </row>
    <row r="7" spans="1:10" ht="11.25" customHeight="1" thickBot="1" x14ac:dyDescent="0.3">
      <c r="A7" s="1873"/>
      <c r="B7" s="1874"/>
      <c r="C7" s="2330">
        <f>COVER!A13</f>
        <v>13041082002</v>
      </c>
      <c r="D7" s="2330"/>
      <c r="E7" s="2330"/>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2087</v>
      </c>
      <c r="D14" s="1888" t="s">
        <v>2087</v>
      </c>
      <c r="E14" s="1891" t="s">
        <v>2087</v>
      </c>
      <c r="F14" s="1890" t="s">
        <v>2112</v>
      </c>
      <c r="H14" s="1901">
        <f t="shared" si="0"/>
        <v>5</v>
      </c>
      <c r="I14" s="1901">
        <f t="shared" si="1"/>
        <v>5</v>
      </c>
      <c r="J14" s="1901">
        <f t="shared" si="2"/>
        <v>5</v>
      </c>
    </row>
    <row r="15" spans="1:10" ht="12" customHeight="1" x14ac:dyDescent="0.2">
      <c r="A15" s="1886" t="s">
        <v>1454</v>
      </c>
      <c r="B15" s="1887"/>
      <c r="C15" s="1888" t="s">
        <v>2087</v>
      </c>
      <c r="D15" s="1888" t="s">
        <v>2087</v>
      </c>
      <c r="E15" s="1891" t="s">
        <v>2087</v>
      </c>
      <c r="F15" s="1890" t="s">
        <v>2113</v>
      </c>
      <c r="H15" s="1901">
        <f t="shared" si="0"/>
        <v>5</v>
      </c>
      <c r="I15" s="1901">
        <f t="shared" si="1"/>
        <v>5</v>
      </c>
      <c r="J15" s="1901">
        <f t="shared" si="2"/>
        <v>5</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2087</v>
      </c>
      <c r="D24" s="1888" t="s">
        <v>2087</v>
      </c>
      <c r="E24" s="1891" t="s">
        <v>2087</v>
      </c>
      <c r="F24" s="1890" t="s">
        <v>2114</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2115</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2087</v>
      </c>
      <c r="D28" s="1888" t="s">
        <v>2087</v>
      </c>
      <c r="E28" s="1891" t="s">
        <v>2087</v>
      </c>
      <c r="F28" s="1890" t="s">
        <v>2114</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2087</v>
      </c>
      <c r="D32" s="1888" t="s">
        <v>2087</v>
      </c>
      <c r="E32" s="1891" t="s">
        <v>2087</v>
      </c>
      <c r="F32" s="1890" t="s">
        <v>2116</v>
      </c>
      <c r="H32" s="1901">
        <f t="shared" si="0"/>
        <v>5</v>
      </c>
      <c r="I32" s="1901">
        <f t="shared" si="1"/>
        <v>5</v>
      </c>
      <c r="J32" s="1901">
        <f t="shared" si="2"/>
        <v>5</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30</v>
      </c>
      <c r="I34" s="1901">
        <f>SUM(I11:I32)</f>
        <v>30</v>
      </c>
      <c r="J34" s="1901">
        <f>SUM(J11:J32)</f>
        <v>30</v>
      </c>
      <c r="K34" s="1901">
        <f>SUM(H34:J34)</f>
        <v>90</v>
      </c>
    </row>
    <row r="35" spans="1:11" ht="12" customHeight="1" x14ac:dyDescent="0.2">
      <c r="A35" s="1894" t="s">
        <v>1459</v>
      </c>
      <c r="B35" s="1895"/>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6"/>
      <c r="B39" s="1896"/>
      <c r="C39" s="1896"/>
      <c r="D39" s="1896"/>
      <c r="E39" s="1896"/>
      <c r="F39" s="1896"/>
    </row>
    <row r="40" spans="1:11" s="1893" customFormat="1" ht="12" customHeight="1" x14ac:dyDescent="0.25">
      <c r="A40" s="1897" t="s">
        <v>1458</v>
      </c>
      <c r="B40" s="1898"/>
      <c r="C40" s="2320"/>
      <c r="D40" s="2320"/>
      <c r="E40" s="2320"/>
      <c r="F40" s="2321"/>
      <c r="H40" s="1902"/>
      <c r="I40" s="1902"/>
      <c r="J40" s="1902"/>
      <c r="K40" s="1902"/>
    </row>
    <row r="41" spans="1:11" s="1893" customFormat="1" ht="12" customHeight="1" x14ac:dyDescent="0.25">
      <c r="A41" s="2322"/>
      <c r="B41" s="2323"/>
      <c r="C41" s="2323"/>
      <c r="D41" s="2323"/>
      <c r="E41" s="2323"/>
      <c r="F41" s="2324"/>
      <c r="H41" s="1902"/>
      <c r="I41" s="1902"/>
      <c r="J41" s="1902"/>
      <c r="K41" s="1902"/>
    </row>
    <row r="42" spans="1:11" s="1893" customFormat="1" ht="12" customHeight="1" x14ac:dyDescent="0.25">
      <c r="A42" s="2322"/>
      <c r="B42" s="2323"/>
      <c r="C42" s="2323"/>
      <c r="D42" s="2323"/>
      <c r="E42" s="2323"/>
      <c r="F42" s="2324"/>
      <c r="H42" s="1902"/>
      <c r="I42" s="1902"/>
      <c r="J42" s="1902"/>
      <c r="K42" s="1902"/>
    </row>
    <row r="43" spans="1:11" s="1893" customFormat="1" ht="15" x14ac:dyDescent="0.25">
      <c r="A43" s="2311"/>
      <c r="B43" s="2312"/>
      <c r="C43" s="2312"/>
      <c r="D43" s="2312"/>
      <c r="E43" s="2312"/>
      <c r="F43" s="2313"/>
      <c r="H43" s="1902"/>
      <c r="I43" s="1902"/>
      <c r="J43" s="1902"/>
      <c r="K43" s="1902"/>
    </row>
    <row r="44" spans="1:11" s="1893" customFormat="1" ht="12" hidden="1" customHeight="1" x14ac:dyDescent="0.25">
      <c r="A44" s="2311"/>
      <c r="B44" s="2312"/>
      <c r="C44" s="2312"/>
      <c r="D44" s="2312"/>
      <c r="E44" s="2312"/>
      <c r="F44" s="231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 sqref="B3:S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8" t="str">
        <f>COVER!A17</f>
        <v>Bethel GSD 82</v>
      </c>
      <c r="J6" s="2339"/>
      <c r="Q6" s="1685"/>
    </row>
    <row r="7" spans="1:17" x14ac:dyDescent="0.2">
      <c r="A7" s="2340" t="s">
        <v>924</v>
      </c>
      <c r="B7" s="2341"/>
      <c r="C7" s="2341"/>
      <c r="D7" s="2341"/>
      <c r="E7" s="2342"/>
      <c r="F7" s="1018"/>
      <c r="G7" s="1010"/>
      <c r="H7" s="1017" t="s">
        <v>390</v>
      </c>
      <c r="I7" s="2343">
        <f>COVER!A13</f>
        <v>13041082002</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56410</v>
      </c>
      <c r="F12" s="1040"/>
      <c r="G12" s="1833">
        <f t="shared" ref="G12:G18" si="0">SUM(E12:F12)</f>
        <v>56410</v>
      </c>
      <c r="H12" s="1041">
        <v>58400</v>
      </c>
      <c r="I12" s="1040"/>
      <c r="J12" s="1833">
        <f t="shared" ref="J12:J18" si="1">SUM(H12:I12)</f>
        <v>58400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7" t="s">
        <v>7</v>
      </c>
      <c r="C18" s="2348"/>
      <c r="D18" s="2349"/>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56410</v>
      </c>
      <c r="F19" s="1835">
        <f t="shared" si="2"/>
        <v>0</v>
      </c>
      <c r="G19" s="1835">
        <f t="shared" si="2"/>
        <v>56410</v>
      </c>
      <c r="H19" s="1835">
        <f t="shared" si="2"/>
        <v>58400</v>
      </c>
      <c r="I19" s="1835">
        <f t="shared" si="2"/>
        <v>0</v>
      </c>
      <c r="J19" s="1835">
        <f t="shared" si="2"/>
        <v>58400</v>
      </c>
    </row>
    <row r="20" spans="1:10" ht="13.5" thickTop="1" x14ac:dyDescent="0.2">
      <c r="A20" s="1036">
        <v>9</v>
      </c>
      <c r="B20" s="2350" t="s">
        <v>1703</v>
      </c>
      <c r="C20" s="2350"/>
      <c r="D20" s="2351"/>
      <c r="E20" s="1047"/>
      <c r="F20" s="1047"/>
      <c r="G20" s="1047"/>
      <c r="H20" s="1047"/>
      <c r="I20" s="1047"/>
      <c r="J20" s="1836">
        <f>IF(AND(G19&gt;0,J19&gt;0),(((J19-G19)/G19)),"Enter Budget Data")</f>
        <v>3.527743307924127E-2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1944</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6" sqref="A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2130</v>
      </c>
    </row>
    <row r="6" spans="1:2" x14ac:dyDescent="0.2">
      <c r="A6" s="1069"/>
    </row>
    <row r="7" spans="1:2" x14ac:dyDescent="0.2">
      <c r="A7" s="1069">
        <v>2</v>
      </c>
      <c r="B7" s="329" t="s">
        <v>2131</v>
      </c>
    </row>
    <row r="8" spans="1:2" x14ac:dyDescent="0.2">
      <c r="A8" s="1069"/>
    </row>
    <row r="9" spans="1:2" x14ac:dyDescent="0.2">
      <c r="A9" s="1070">
        <v>3</v>
      </c>
      <c r="B9" s="329" t="s">
        <v>2132</v>
      </c>
    </row>
    <row r="10" spans="1:2" x14ac:dyDescent="0.2">
      <c r="A10" s="1070"/>
    </row>
    <row r="11" spans="1:2" x14ac:dyDescent="0.2">
      <c r="A11" s="1070">
        <v>4</v>
      </c>
      <c r="B11" s="329" t="s">
        <v>2133</v>
      </c>
    </row>
    <row r="12" spans="1:2" x14ac:dyDescent="0.2">
      <c r="A12" s="1070"/>
    </row>
    <row r="13" spans="1:2" x14ac:dyDescent="0.2">
      <c r="A13" s="1070">
        <v>5</v>
      </c>
      <c r="B13" s="329" t="s">
        <v>2134</v>
      </c>
    </row>
    <row r="14" spans="1:2" x14ac:dyDescent="0.2">
      <c r="A14" s="1070"/>
    </row>
    <row r="15" spans="1:2" x14ac:dyDescent="0.2">
      <c r="A15" s="1070">
        <v>6</v>
      </c>
      <c r="B15" s="329" t="s">
        <v>2135</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Bethel GSD 82</v>
      </c>
    </row>
    <row r="65" spans="2:2" x14ac:dyDescent="0.2">
      <c r="B65" s="1071">
        <f>COVER!A13</f>
        <v>13041082002</v>
      </c>
    </row>
  </sheetData>
  <phoneticPr fontId="14"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B3" sqref="B3:S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3" sqref="B3:S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8" sqref="E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2962275</xdr:colOff>
                <xdr:row>3</xdr:row>
                <xdr:rowOff>38100</xdr:rowOff>
              </from>
              <to>
                <xdr:col>1</xdr:col>
                <xdr:colOff>3876675</xdr:colOff>
                <xdr:row>7</xdr:row>
                <xdr:rowOff>66675</xdr:rowOff>
              </to>
            </anchor>
          </objectPr>
        </oleObject>
      </mc:Choice>
      <mc:Fallback>
        <oleObject progId="Acrobat Document" dvAspect="DVASPECT_ICON" shapeId="3789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S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2056</v>
      </c>
      <c r="B4" s="2378"/>
      <c r="C4" s="2378"/>
      <c r="D4" s="2378"/>
      <c r="E4" s="2378"/>
      <c r="F4" s="2379"/>
      <c r="G4" s="1075"/>
      <c r="H4" s="1075"/>
    </row>
    <row r="5" spans="1:8" ht="14.25" customHeight="1" x14ac:dyDescent="0.2">
      <c r="A5" s="2380" t="s">
        <v>2057</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1365143</v>
      </c>
      <c r="C8" s="1837">
        <f>'Acct Summary 7-8'!D8</f>
        <v>114134</v>
      </c>
      <c r="D8" s="1837">
        <f>'Acct Summary 7-8'!F8</f>
        <v>66894</v>
      </c>
      <c r="E8" s="1837">
        <f>'Acct Summary 7-8'!I8</f>
        <v>9501</v>
      </c>
      <c r="F8" s="1837">
        <f>SUM(B8:E8)</f>
        <v>1555672</v>
      </c>
    </row>
    <row r="9" spans="1:8" s="1080" customFormat="1" ht="14.25" customHeight="1" thickBot="1" x14ac:dyDescent="0.25">
      <c r="A9" s="1079" t="s">
        <v>1436</v>
      </c>
      <c r="B9" s="1838">
        <f>'Acct Summary 7-8'!C17</f>
        <v>1211259</v>
      </c>
      <c r="C9" s="1838">
        <f>'Acct Summary 7-8'!D17</f>
        <v>102819</v>
      </c>
      <c r="D9" s="1838">
        <f>'Acct Summary 7-8'!F17</f>
        <v>54899</v>
      </c>
      <c r="E9" s="1837"/>
      <c r="F9" s="1837">
        <f>SUM(B9:E9)</f>
        <v>1368977</v>
      </c>
    </row>
    <row r="10" spans="1:8" s="1080" customFormat="1" ht="14.25" thickTop="1" thickBot="1" x14ac:dyDescent="0.25">
      <c r="A10" s="1081" t="s">
        <v>1437</v>
      </c>
      <c r="B10" s="1839">
        <f>(B8-B9)</f>
        <v>153884</v>
      </c>
      <c r="C10" s="1839">
        <f>(C8-C9)</f>
        <v>11315</v>
      </c>
      <c r="D10" s="1839">
        <f>(D8-D9)</f>
        <v>11995</v>
      </c>
      <c r="E10" s="1838">
        <f>(E8-E9)</f>
        <v>9501</v>
      </c>
      <c r="F10" s="1840">
        <f>SUM(F8-F9)</f>
        <v>186695</v>
      </c>
    </row>
    <row r="11" spans="1:8" s="1080" customFormat="1" ht="14.25" thickTop="1" thickBot="1" x14ac:dyDescent="0.25">
      <c r="A11" s="1082" t="s">
        <v>1785</v>
      </c>
      <c r="B11" s="1841">
        <f>'Acct Summary 7-8'!C81</f>
        <v>962894</v>
      </c>
      <c r="C11" s="1841">
        <f>'Acct Summary 7-8'!D81</f>
        <v>48655</v>
      </c>
      <c r="D11" s="1841">
        <f>'Acct Summary 7-8'!F81</f>
        <v>30559</v>
      </c>
      <c r="E11" s="1841">
        <f>'Acct Summary 7-8'!I81</f>
        <v>0</v>
      </c>
      <c r="F11" s="1842">
        <f>SUM(B11:E11)</f>
        <v>1042108</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5" colorId="8" zoomScale="110" zoomScaleNormal="110" workbookViewId="0">
      <selection activeCell="A3" sqref="A3:S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13041082002</v>
      </c>
    </row>
    <row r="3" spans="1:2" x14ac:dyDescent="0.2">
      <c r="A3" t="s">
        <v>1013</v>
      </c>
      <c r="B3" s="138" t="str">
        <f>COVER!A15</f>
        <v>JEFFERSON</v>
      </c>
    </row>
    <row r="4" spans="1:2" x14ac:dyDescent="0.2">
      <c r="A4" t="s">
        <v>1064</v>
      </c>
      <c r="B4" s="138" t="str">
        <f>COVER!A17</f>
        <v>Bethel GSD 82</v>
      </c>
    </row>
    <row r="5" spans="1:2" x14ac:dyDescent="0.2">
      <c r="A5" t="s">
        <v>728</v>
      </c>
      <c r="B5" s="138" t="str">
        <f>COVER!A38</f>
        <v>CRAIG KUJAWA</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Yes</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962894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962894</v>
      </c>
      <c r="D92" s="2" t="str">
        <f t="shared" si="0"/>
        <v>Error?</v>
      </c>
    </row>
    <row r="93" spans="1:4" x14ac:dyDescent="0.2">
      <c r="A93" s="5">
        <v>32</v>
      </c>
      <c r="B93" s="138">
        <f>'Assets-Liab 5-6'!C41</f>
        <v>962894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48655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48655</v>
      </c>
      <c r="D123" s="2" t="str">
        <f t="shared" si="0"/>
        <v>Error?</v>
      </c>
    </row>
    <row r="124" spans="1:4" x14ac:dyDescent="0.2">
      <c r="A124" s="5">
        <v>63</v>
      </c>
      <c r="B124" s="138">
        <f>'Assets-Liab 5-6'!D41</f>
        <v>48655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12500</v>
      </c>
      <c r="C139" s="2" t="s">
        <v>594</v>
      </c>
      <c r="D139" s="2" t="str">
        <f t="shared" si="1"/>
        <v>Error?</v>
      </c>
    </row>
    <row r="140" spans="1:4" x14ac:dyDescent="0.2">
      <c r="A140" s="5">
        <v>79</v>
      </c>
      <c r="B140" s="138">
        <f>'Assets-Liab 5-6'!E39</f>
        <v>450</v>
      </c>
      <c r="D140" s="2" t="str">
        <f t="shared" si="1"/>
        <v>Error?</v>
      </c>
    </row>
    <row r="141" spans="1:4" x14ac:dyDescent="0.2">
      <c r="A141" s="5">
        <v>80</v>
      </c>
      <c r="B141" s="138">
        <f>'Assets-Liab 5-6'!E41</f>
        <v>12950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30559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30559</v>
      </c>
      <c r="D170" s="2" t="str">
        <f t="shared" si="1"/>
        <v>Error?</v>
      </c>
    </row>
    <row r="171" spans="1:4" x14ac:dyDescent="0.2">
      <c r="A171" s="5">
        <v>110</v>
      </c>
      <c r="B171" s="138">
        <f>'Assets-Liab 5-6'!F41</f>
        <v>30559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32511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24076</v>
      </c>
      <c r="D189" s="2" t="str">
        <f t="shared" si="1"/>
        <v>Error?</v>
      </c>
    </row>
    <row r="190" spans="1:4" x14ac:dyDescent="0.2">
      <c r="A190" s="5">
        <v>129</v>
      </c>
      <c r="B190" s="138">
        <f>'Assets-Liab 5-6'!G41</f>
        <v>32511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v>
      </c>
      <c r="D212" s="2" t="str">
        <f t="shared" si="2"/>
        <v>Error?</v>
      </c>
    </row>
    <row r="213" spans="1:4" x14ac:dyDescent="0.2">
      <c r="A213" s="12">
        <v>152</v>
      </c>
      <c r="B213" s="138">
        <f>'Assets-Liab 5-6'!H41</f>
        <v>15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11500</v>
      </c>
      <c r="D273" s="2" t="str">
        <f t="shared" si="3"/>
        <v>Error?</v>
      </c>
    </row>
    <row r="274" spans="1:4" x14ac:dyDescent="0.2">
      <c r="A274" s="5">
        <v>213</v>
      </c>
      <c r="B274" s="138">
        <f>'Assets-Liab 5-6'!M17</f>
        <v>2139845</v>
      </c>
      <c r="D274" s="2" t="str">
        <f t="shared" si="3"/>
        <v>Error?</v>
      </c>
    </row>
    <row r="275" spans="1:4" x14ac:dyDescent="0.2">
      <c r="A275" s="5">
        <v>214</v>
      </c>
      <c r="B275" s="138">
        <f>'Assets-Liab 5-6'!M18</f>
        <v>26234</v>
      </c>
      <c r="D275" s="2" t="str">
        <f t="shared" si="3"/>
        <v>Error?</v>
      </c>
    </row>
    <row r="276" spans="1:4" x14ac:dyDescent="0.2">
      <c r="A276" s="5">
        <v>215</v>
      </c>
      <c r="B276" s="138">
        <f>'Assets-Liab 5-6'!M19</f>
        <v>661531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2839110</v>
      </c>
      <c r="C279" s="2" t="s">
        <v>594</v>
      </c>
      <c r="D279" s="2" t="str">
        <f t="shared" si="3"/>
        <v>Error?</v>
      </c>
    </row>
    <row r="280" spans="1:4" x14ac:dyDescent="0.2">
      <c r="A280" s="5">
        <v>219</v>
      </c>
      <c r="B280" s="138">
        <f>'Assets-Liab 5-6'!M40</f>
        <v>2839110</v>
      </c>
      <c r="D280" s="2" t="str">
        <f t="shared" si="3"/>
        <v>Error?</v>
      </c>
    </row>
    <row r="281" spans="1:4" x14ac:dyDescent="0.2">
      <c r="A281" s="5">
        <v>220</v>
      </c>
      <c r="B281" s="138">
        <f>'Assets-Liab 5-6'!M41</f>
        <v>2839110</v>
      </c>
      <c r="C281" s="2" t="s">
        <v>594</v>
      </c>
      <c r="D281" s="2" t="str">
        <f t="shared" si="3"/>
        <v>Error?</v>
      </c>
    </row>
    <row r="282" spans="1:4" x14ac:dyDescent="0.2">
      <c r="A282" s="5">
        <v>221</v>
      </c>
      <c r="B282" s="138">
        <f>'Assets-Liab 5-6'!N21</f>
        <v>12950</v>
      </c>
      <c r="D282" s="2" t="str">
        <f t="shared" si="3"/>
        <v>Error?</v>
      </c>
    </row>
    <row r="283" spans="1:4" x14ac:dyDescent="0.2">
      <c r="A283" s="5">
        <v>222</v>
      </c>
      <c r="B283" s="138">
        <f>'Assets-Liab 5-6'!N22</f>
        <v>172050</v>
      </c>
      <c r="D283" s="2" t="str">
        <f t="shared" si="3"/>
        <v>Error?</v>
      </c>
    </row>
    <row r="284" spans="1:4" x14ac:dyDescent="0.2">
      <c r="A284" s="5">
        <v>223</v>
      </c>
      <c r="B284" s="138">
        <f>'Assets-Liab 5-6'!N23</f>
        <v>185000</v>
      </c>
      <c r="C284" s="2" t="s">
        <v>594</v>
      </c>
      <c r="D284" s="2" t="str">
        <f t="shared" si="3"/>
        <v>Error?</v>
      </c>
    </row>
    <row r="285" spans="1:4" x14ac:dyDescent="0.2">
      <c r="A285" s="5">
        <v>224</v>
      </c>
      <c r="B285" s="138">
        <f>'Assets-Liab 5-6'!N36</f>
        <v>185000</v>
      </c>
      <c r="D285" s="2" t="str">
        <f t="shared" si="3"/>
        <v>Error?</v>
      </c>
    </row>
    <row r="286" spans="1:4" x14ac:dyDescent="0.2">
      <c r="A286" s="10">
        <v>225</v>
      </c>
      <c r="D286" s="2" t="str">
        <f t="shared" si="3"/>
        <v>OK</v>
      </c>
    </row>
    <row r="287" spans="1:4" x14ac:dyDescent="0.2">
      <c r="A287" s="5">
        <v>226</v>
      </c>
      <c r="B287" s="138">
        <f>'Assets-Liab 5-6'!N37</f>
        <v>185000</v>
      </c>
      <c r="C287" s="2" t="s">
        <v>594</v>
      </c>
      <c r="D287" s="2" t="str">
        <f t="shared" si="3"/>
        <v>Error?</v>
      </c>
    </row>
    <row r="288" spans="1:4" x14ac:dyDescent="0.2">
      <c r="A288" s="5">
        <v>227</v>
      </c>
      <c r="B288" s="138">
        <f>'Assets-Liab 5-6'!N41</f>
        <v>185000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9501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480647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10644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711910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2850</v>
      </c>
      <c r="D726" s="2" t="str">
        <f t="shared" si="10"/>
        <v>Error?</v>
      </c>
    </row>
    <row r="727" spans="1:4" x14ac:dyDescent="0.2">
      <c r="A727" s="5">
        <v>666</v>
      </c>
      <c r="B727" s="138">
        <f>'Expenditures 15-22'!C42</f>
        <v>2850</v>
      </c>
      <c r="C727" s="2" t="s">
        <v>594</v>
      </c>
      <c r="D727" s="2" t="str">
        <f t="shared" si="10"/>
        <v>Error?</v>
      </c>
    </row>
    <row r="728" spans="1:4" x14ac:dyDescent="0.2">
      <c r="A728" s="5">
        <v>667</v>
      </c>
      <c r="B728" s="138">
        <f>'Expenditures 15-22'!C44</f>
        <v>1000</v>
      </c>
      <c r="D728" s="2" t="str">
        <f t="shared" si="10"/>
        <v>Error?</v>
      </c>
    </row>
    <row r="729" spans="1:4" x14ac:dyDescent="0.2">
      <c r="A729" s="5">
        <v>668</v>
      </c>
      <c r="B729" s="138">
        <f>'Expenditures 15-22'!C45</f>
        <v>1350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2350</v>
      </c>
      <c r="C731" s="2" t="s">
        <v>594</v>
      </c>
      <c r="D731" s="2" t="str">
        <f t="shared" si="10"/>
        <v>Error?</v>
      </c>
    </row>
    <row r="732" spans="1:4" x14ac:dyDescent="0.2">
      <c r="A732" s="5">
        <v>671</v>
      </c>
      <c r="B732" s="138">
        <f>'Expenditures 15-22'!C49</f>
        <v>1000</v>
      </c>
      <c r="D732" s="2" t="str">
        <f t="shared" si="10"/>
        <v>Error?</v>
      </c>
    </row>
    <row r="733" spans="1:4" x14ac:dyDescent="0.2">
      <c r="A733" s="5">
        <v>672</v>
      </c>
      <c r="B733" s="138">
        <f>'Expenditures 15-22'!C50</f>
        <v>48930</v>
      </c>
      <c r="D733" s="2" t="str">
        <f t="shared" si="10"/>
        <v>Error?</v>
      </c>
    </row>
    <row r="734" spans="1:4" x14ac:dyDescent="0.2">
      <c r="A734" s="5">
        <v>673</v>
      </c>
      <c r="B734" s="138">
        <f>'Expenditures 15-22'!C53</f>
        <v>49930</v>
      </c>
      <c r="C734" s="2" t="s">
        <v>594</v>
      </c>
      <c r="D734" s="2" t="str">
        <f t="shared" si="10"/>
        <v>Error?</v>
      </c>
    </row>
    <row r="735" spans="1:4" x14ac:dyDescent="0.2">
      <c r="A735" s="5">
        <v>674</v>
      </c>
      <c r="B735" s="138">
        <f>'Expenditures 15-22'!C55</f>
        <v>50587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50587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14000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26137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40137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145854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857764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95773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116471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299</v>
      </c>
      <c r="D784" s="2" t="str">
        <f t="shared" si="11"/>
        <v>Error?</v>
      </c>
    </row>
    <row r="785" spans="1:4" x14ac:dyDescent="0.2">
      <c r="A785" s="5">
        <v>724</v>
      </c>
      <c r="B785" s="138">
        <f>'Expenditures 15-22'!D42</f>
        <v>299</v>
      </c>
      <c r="C785" s="2" t="s">
        <v>594</v>
      </c>
      <c r="D785" s="2" t="str">
        <f t="shared" si="11"/>
        <v>Error?</v>
      </c>
    </row>
    <row r="786" spans="1:4" x14ac:dyDescent="0.2">
      <c r="A786" s="5">
        <v>725</v>
      </c>
      <c r="B786" s="138">
        <f>'Expenditures 15-22'!D44</f>
        <v>4457</v>
      </c>
      <c r="D786" s="2" t="str">
        <f t="shared" si="11"/>
        <v>Error?</v>
      </c>
    </row>
    <row r="787" spans="1:4" x14ac:dyDescent="0.2">
      <c r="A787" s="5">
        <v>726</v>
      </c>
      <c r="B787" s="138">
        <f>'Expenditures 15-22'!D45</f>
        <v>140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4597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6231</v>
      </c>
      <c r="D791" s="2" t="str">
        <f t="shared" si="11"/>
        <v>Error?</v>
      </c>
    </row>
    <row r="792" spans="1:4" x14ac:dyDescent="0.2">
      <c r="A792" s="5">
        <v>731</v>
      </c>
      <c r="B792" s="138">
        <f>'Expenditures 15-22'!D53</f>
        <v>6231</v>
      </c>
      <c r="C792" s="2" t="s">
        <v>594</v>
      </c>
      <c r="D792" s="2" t="str">
        <f t="shared" si="11"/>
        <v>Error?</v>
      </c>
    </row>
    <row r="793" spans="1:4" x14ac:dyDescent="0.2">
      <c r="A793" s="5">
        <v>732</v>
      </c>
      <c r="B793" s="138">
        <f>'Expenditures 15-22'!D55</f>
        <v>3198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3198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16898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133369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16460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20030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14137</v>
      </c>
      <c r="D841" s="2" t="str">
        <f t="shared" si="12"/>
        <v>Error?</v>
      </c>
    </row>
    <row r="842" spans="1:4" x14ac:dyDescent="0.2">
      <c r="A842" s="5">
        <v>781</v>
      </c>
      <c r="B842" s="138">
        <f>'Expenditures 15-22'!E41</f>
        <v>2148</v>
      </c>
      <c r="D842" s="2" t="str">
        <f t="shared" si="12"/>
        <v>Error?</v>
      </c>
    </row>
    <row r="843" spans="1:4" x14ac:dyDescent="0.2">
      <c r="A843" s="5">
        <v>782</v>
      </c>
      <c r="B843" s="138">
        <f>'Expenditures 15-22'!E42</f>
        <v>16285</v>
      </c>
      <c r="C843" s="2" t="s">
        <v>594</v>
      </c>
      <c r="D843" s="2" t="str">
        <f t="shared" si="12"/>
        <v>Error?</v>
      </c>
    </row>
    <row r="844" spans="1:4" x14ac:dyDescent="0.2">
      <c r="A844" s="5">
        <v>783</v>
      </c>
      <c r="B844" s="138">
        <f>'Expenditures 15-22'!E44</f>
        <v>4264</v>
      </c>
      <c r="D844" s="2" t="str">
        <f t="shared" si="12"/>
        <v>Error?</v>
      </c>
    </row>
    <row r="845" spans="1:4" x14ac:dyDescent="0.2">
      <c r="A845" s="5">
        <v>784</v>
      </c>
      <c r="B845" s="138">
        <f>'Expenditures 15-22'!E45</f>
        <v>7689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11953</v>
      </c>
      <c r="C847" s="2" t="s">
        <v>594</v>
      </c>
      <c r="D847" s="2" t="str">
        <f t="shared" si="12"/>
        <v>Error?</v>
      </c>
    </row>
    <row r="848" spans="1:4" x14ac:dyDescent="0.2">
      <c r="A848" s="5">
        <v>787</v>
      </c>
      <c r="B848" s="138">
        <f>'Expenditures 15-22'!E49</f>
        <v>6953</v>
      </c>
      <c r="D848" s="2" t="str">
        <f t="shared" si="12"/>
        <v>Error?</v>
      </c>
    </row>
    <row r="849" spans="1:4" x14ac:dyDescent="0.2">
      <c r="A849" s="5">
        <v>788</v>
      </c>
      <c r="B849" s="138">
        <f>'Expenditures 15-22'!E50</f>
        <v>412</v>
      </c>
      <c r="D849" s="2" t="str">
        <f t="shared" si="12"/>
        <v>Error?</v>
      </c>
    </row>
    <row r="850" spans="1:4" x14ac:dyDescent="0.2">
      <c r="A850" s="5">
        <v>789</v>
      </c>
      <c r="B850" s="138">
        <f>'Expenditures 15-22'!E53</f>
        <v>7365</v>
      </c>
      <c r="C850" s="2" t="s">
        <v>594</v>
      </c>
      <c r="D850" s="2" t="str">
        <f t="shared" si="12"/>
        <v>Error?</v>
      </c>
    </row>
    <row r="851" spans="1:4" x14ac:dyDescent="0.2">
      <c r="A851" s="5">
        <v>790</v>
      </c>
      <c r="B851" s="138">
        <f>'Expenditures 15-22'!E55</f>
        <v>1067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1067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69444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69919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106589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129931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35476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5979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53445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1722</v>
      </c>
      <c r="D900" s="2" t="str">
        <f t="shared" si="13"/>
        <v>Error?</v>
      </c>
    </row>
    <row r="901" spans="1:4" x14ac:dyDescent="0.2">
      <c r="A901" s="5">
        <v>840</v>
      </c>
      <c r="B901" s="138">
        <f>'Expenditures 15-22'!F42</f>
        <v>2146</v>
      </c>
      <c r="C901" s="2" t="s">
        <v>594</v>
      </c>
      <c r="D901" s="2" t="str">
        <f t="shared" si="13"/>
        <v>Error?</v>
      </c>
    </row>
    <row r="902" spans="1:4" x14ac:dyDescent="0.2">
      <c r="A902" s="5">
        <v>841</v>
      </c>
      <c r="B902" s="138">
        <f>'Expenditures 15-22'!F44</f>
        <v>48</v>
      </c>
      <c r="D902" s="2" t="str">
        <f t="shared" si="13"/>
        <v>Error?</v>
      </c>
    </row>
    <row r="903" spans="1:4" x14ac:dyDescent="0.2">
      <c r="A903" s="5">
        <v>842</v>
      </c>
      <c r="B903" s="138">
        <f>'Expenditures 15-22'!F45</f>
        <v>125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173</v>
      </c>
      <c r="C905" s="2" t="s">
        <v>594</v>
      </c>
      <c r="D905" s="2" t="str">
        <f t="shared" si="13"/>
        <v>Error?</v>
      </c>
    </row>
    <row r="906" spans="1:4" x14ac:dyDescent="0.2">
      <c r="A906" s="5">
        <v>845</v>
      </c>
      <c r="B906" s="138">
        <f>'Expenditures 15-22'!F49</f>
        <v>1818</v>
      </c>
      <c r="D906" s="2" t="str">
        <f t="shared" si="13"/>
        <v>Error?</v>
      </c>
    </row>
    <row r="907" spans="1:4" x14ac:dyDescent="0.2">
      <c r="A907" s="5">
        <v>846</v>
      </c>
      <c r="B907" s="138">
        <f>'Expenditures 15-22'!F50</f>
        <v>53</v>
      </c>
      <c r="D907" s="2" t="str">
        <f t="shared" si="13"/>
        <v>Error?</v>
      </c>
    </row>
    <row r="908" spans="1:4" x14ac:dyDescent="0.2">
      <c r="A908" s="5">
        <v>847</v>
      </c>
      <c r="B908" s="138">
        <f>'Expenditures 15-22'!F53</f>
        <v>1871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58610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2117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2117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3489</v>
      </c>
      <c r="D1022" s="2" t="str">
        <f t="shared" si="14"/>
        <v>Error?</v>
      </c>
    </row>
    <row r="1023" spans="1:4" x14ac:dyDescent="0.2">
      <c r="A1023" s="5">
        <v>962</v>
      </c>
      <c r="B1023" s="138">
        <f>'Expenditures 15-22'!H50</f>
        <v>784</v>
      </c>
      <c r="D1023" s="2" t="str">
        <f t="shared" ref="D1023:D1086" si="15">IF(ISBLANK(B1023),"OK",IF(A1023-B1023=0,"OK","Error?"))</f>
        <v>Error?</v>
      </c>
    </row>
    <row r="1024" spans="1:4" x14ac:dyDescent="0.2">
      <c r="A1024" s="5">
        <v>963</v>
      </c>
      <c r="B1024" s="138">
        <f>'Expenditures 15-22'!H53</f>
        <v>4273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24955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29468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630473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17433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904213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424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14137</v>
      </c>
      <c r="C1113" s="2" t="s">
        <v>594</v>
      </c>
      <c r="D1113" s="2" t="str">
        <f t="shared" si="16"/>
        <v>Error?</v>
      </c>
    </row>
    <row r="1114" spans="1:4" x14ac:dyDescent="0.2">
      <c r="A1114" s="5">
        <v>1053</v>
      </c>
      <c r="B1114" s="138">
        <f>'Expenditures 15-22'!K41</f>
        <v>7019</v>
      </c>
      <c r="C1114" s="2" t="s">
        <v>594</v>
      </c>
      <c r="D1114" s="2" t="str">
        <f t="shared" si="16"/>
        <v>Error?</v>
      </c>
    </row>
    <row r="1115" spans="1:4" x14ac:dyDescent="0.2">
      <c r="A1115" s="5">
        <v>1054</v>
      </c>
      <c r="B1115" s="138">
        <f>'Expenditures 15-22'!K42</f>
        <v>21580</v>
      </c>
      <c r="C1115" s="2" t="s">
        <v>594</v>
      </c>
      <c r="D1115" s="2" t="str">
        <f t="shared" si="16"/>
        <v>Error?</v>
      </c>
    </row>
    <row r="1116" spans="1:4" x14ac:dyDescent="0.2">
      <c r="A1116" s="5">
        <v>1055</v>
      </c>
      <c r="B1116" s="138">
        <f>'Expenditures 15-22'!K44</f>
        <v>9769</v>
      </c>
      <c r="C1116" s="2" t="s">
        <v>594</v>
      </c>
      <c r="D1116" s="2" t="str">
        <f t="shared" si="16"/>
        <v>Error?</v>
      </c>
    </row>
    <row r="1117" spans="1:4" x14ac:dyDescent="0.2">
      <c r="A1117" s="5">
        <v>1056</v>
      </c>
      <c r="B1117" s="138">
        <f>'Expenditures 15-22'!K45</f>
        <v>9304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19073</v>
      </c>
      <c r="C1119" s="2" t="s">
        <v>594</v>
      </c>
      <c r="D1119" s="2" t="str">
        <f t="shared" si="16"/>
        <v>Error?</v>
      </c>
    </row>
    <row r="1120" spans="1:4" x14ac:dyDescent="0.2">
      <c r="A1120" s="5">
        <v>1059</v>
      </c>
      <c r="B1120" s="138">
        <f>'Expenditures 15-22'!K49</f>
        <v>13260</v>
      </c>
      <c r="C1120" s="2" t="s">
        <v>594</v>
      </c>
      <c r="D1120" s="2" t="str">
        <f t="shared" si="16"/>
        <v>Error?</v>
      </c>
    </row>
    <row r="1121" spans="1:4" x14ac:dyDescent="0.2">
      <c r="A1121" s="5">
        <v>1060</v>
      </c>
      <c r="B1121" s="138">
        <f>'Expenditures 15-22'!K50</f>
        <v>56410</v>
      </c>
      <c r="C1121" s="2" t="s">
        <v>594</v>
      </c>
      <c r="D1121" s="2" t="str">
        <f t="shared" si="16"/>
        <v>Error?</v>
      </c>
    </row>
    <row r="1122" spans="1:4" x14ac:dyDescent="0.2">
      <c r="A1122" s="5">
        <v>1061</v>
      </c>
      <c r="B1122" s="138">
        <f>'Expenditures 15-22'!K53</f>
        <v>69670</v>
      </c>
      <c r="C1122" s="2" t="s">
        <v>594</v>
      </c>
      <c r="D1122" s="2" t="str">
        <f t="shared" si="16"/>
        <v>Error?</v>
      </c>
    </row>
    <row r="1123" spans="1:4" x14ac:dyDescent="0.2">
      <c r="A1123" s="5">
        <v>1062</v>
      </c>
      <c r="B1123" s="138">
        <f>'Expenditures 15-22'!K55</f>
        <v>54852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54852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15450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98154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113604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278779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28267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1211259</v>
      </c>
      <c r="C1152" s="2" t="s">
        <v>594</v>
      </c>
      <c r="D1152" s="2" t="str">
        <f t="shared" si="17"/>
        <v>Error?</v>
      </c>
    </row>
    <row r="1153" spans="1:4" x14ac:dyDescent="0.2">
      <c r="A1153" s="5">
        <v>1092</v>
      </c>
      <c r="B1153" s="138">
        <f>'Expenditures 15-22'!K115</f>
        <v>153884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40479</v>
      </c>
      <c r="D1221" s="2" t="str">
        <f t="shared" si="18"/>
        <v>Error?</v>
      </c>
    </row>
    <row r="1222" spans="1:4" x14ac:dyDescent="0.2">
      <c r="A1222" s="10">
        <v>1161</v>
      </c>
      <c r="D1222" s="2" t="str">
        <f t="shared" si="18"/>
        <v>OK</v>
      </c>
    </row>
    <row r="1223" spans="1:4" x14ac:dyDescent="0.2">
      <c r="A1223" s="5">
        <v>1162</v>
      </c>
      <c r="B1223" s="138">
        <f>'Expenditures 15-22'!C127</f>
        <v>40479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40479</v>
      </c>
      <c r="C1225" s="2" t="s">
        <v>594</v>
      </c>
      <c r="D1225" s="2" t="str">
        <f t="shared" si="18"/>
        <v>Error?</v>
      </c>
    </row>
    <row r="1226" spans="1:4" x14ac:dyDescent="0.2">
      <c r="A1226" s="5">
        <v>1165</v>
      </c>
      <c r="B1226" s="138">
        <f>'Expenditures 15-22'!C151</f>
        <v>40479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40537</v>
      </c>
      <c r="D1237" s="2" t="str">
        <f t="shared" si="18"/>
        <v>Error?</v>
      </c>
    </row>
    <row r="1238" spans="1:4" x14ac:dyDescent="0.2">
      <c r="A1238" s="10">
        <v>1177</v>
      </c>
      <c r="D1238" s="2" t="str">
        <f t="shared" si="18"/>
        <v>OK</v>
      </c>
    </row>
    <row r="1239" spans="1:4" x14ac:dyDescent="0.2">
      <c r="A1239" s="5">
        <v>1178</v>
      </c>
      <c r="B1239" s="138">
        <f>'Expenditures 15-22'!E127</f>
        <v>40537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40537</v>
      </c>
      <c r="C1241" s="2" t="s">
        <v>594</v>
      </c>
      <c r="D1241" s="2" t="str">
        <f t="shared" si="18"/>
        <v>Error?</v>
      </c>
    </row>
    <row r="1242" spans="1:4" x14ac:dyDescent="0.2">
      <c r="A1242" s="5">
        <v>1181</v>
      </c>
      <c r="B1242" s="138">
        <f>'Expenditures 15-22'!E151</f>
        <v>40537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10303</v>
      </c>
      <c r="D1245" s="2" t="str">
        <f t="shared" si="18"/>
        <v>Error?</v>
      </c>
    </row>
    <row r="1246" spans="1:4" x14ac:dyDescent="0.2">
      <c r="A1246" s="10">
        <v>1185</v>
      </c>
      <c r="D1246" s="2" t="str">
        <f t="shared" si="18"/>
        <v>OK</v>
      </c>
    </row>
    <row r="1247" spans="1:4" x14ac:dyDescent="0.2">
      <c r="A1247" s="5">
        <v>1186</v>
      </c>
      <c r="B1247" s="138">
        <f>'Expenditures 15-22'!F127</f>
        <v>10303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10303</v>
      </c>
      <c r="C1249" s="2" t="s">
        <v>594</v>
      </c>
      <c r="D1249" s="2" t="str">
        <f t="shared" si="18"/>
        <v>Error?</v>
      </c>
    </row>
    <row r="1250" spans="1:4" x14ac:dyDescent="0.2">
      <c r="A1250" s="5">
        <v>1189</v>
      </c>
      <c r="B1250" s="138">
        <f>'Expenditures 15-22'!F151</f>
        <v>10303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11500</v>
      </c>
      <c r="C1258" s="2" t="s">
        <v>594</v>
      </c>
      <c r="D1258" s="2" t="str">
        <f t="shared" si="18"/>
        <v>Error?</v>
      </c>
    </row>
    <row r="1259" spans="1:4" x14ac:dyDescent="0.2">
      <c r="A1259" s="5">
        <v>1198</v>
      </c>
      <c r="B1259" s="138">
        <f>'Expenditures 15-22'!G151</f>
        <v>11500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102819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102819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102819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102819</v>
      </c>
      <c r="C1288" s="2" t="s">
        <v>594</v>
      </c>
      <c r="D1288" s="2" t="str">
        <f t="shared" si="19"/>
        <v>Error?</v>
      </c>
    </row>
    <row r="1289" spans="1:4" x14ac:dyDescent="0.2">
      <c r="A1289" s="5">
        <v>1228</v>
      </c>
      <c r="B1289" s="138">
        <f>'Expenditures 15-22'!K152</f>
        <v>11315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52398</v>
      </c>
      <c r="C1317" s="2" t="s">
        <v>594</v>
      </c>
      <c r="D1317" s="2" t="str">
        <f t="shared" si="19"/>
        <v>Error?</v>
      </c>
    </row>
    <row r="1318" spans="1:4" x14ac:dyDescent="0.2">
      <c r="A1318" s="5">
        <v>1257</v>
      </c>
      <c r="B1318" s="138">
        <f>'Expenditures 15-22'!H174</f>
        <v>52398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12398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52398</v>
      </c>
      <c r="C1331" s="2" t="s">
        <v>594</v>
      </c>
      <c r="D1331" s="2" t="str">
        <f t="shared" si="19"/>
        <v>Error?</v>
      </c>
    </row>
    <row r="1332" spans="1:4" x14ac:dyDescent="0.2">
      <c r="A1332" s="5">
        <v>1271</v>
      </c>
      <c r="B1332" s="138">
        <f>'Expenditures 15-22'!K174</f>
        <v>52398</v>
      </c>
      <c r="C1332" s="2" t="s">
        <v>594</v>
      </c>
      <c r="D1332" s="2" t="str">
        <f t="shared" si="19"/>
        <v>Error?</v>
      </c>
    </row>
    <row r="1333" spans="1:4" x14ac:dyDescent="0.2">
      <c r="A1333" s="5">
        <v>1272</v>
      </c>
      <c r="B1333" s="138">
        <f>'Expenditures 15-22'!K175</f>
        <v>211</v>
      </c>
      <c r="C1333" s="2" t="s">
        <v>594</v>
      </c>
      <c r="D1333" s="2" t="str">
        <f t="shared" si="19"/>
        <v>Error?</v>
      </c>
    </row>
    <row r="1334" spans="1:4" x14ac:dyDescent="0.2">
      <c r="A1334" s="10">
        <v>1273</v>
      </c>
      <c r="D1334" s="2" t="str">
        <f t="shared" si="19"/>
        <v>OK</v>
      </c>
    </row>
    <row r="1335" spans="1:4" x14ac:dyDescent="0.2">
      <c r="A1335" s="5">
        <v>1274</v>
      </c>
      <c r="B1335" s="138">
        <f>'Expenditures 15-22'!C182</f>
        <v>26555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26555</v>
      </c>
      <c r="C1339" s="2" t="s">
        <v>594</v>
      </c>
      <c r="D1339" s="2" t="str">
        <f t="shared" si="19"/>
        <v>Error?</v>
      </c>
    </row>
    <row r="1340" spans="1:4" x14ac:dyDescent="0.2">
      <c r="A1340" s="5">
        <v>1279</v>
      </c>
      <c r="B1340" s="138">
        <f>'Expenditures 15-22'!C210</f>
        <v>26555</v>
      </c>
      <c r="C1340" s="2" t="s">
        <v>594</v>
      </c>
      <c r="D1340" s="2" t="str">
        <f t="shared" si="19"/>
        <v>Error?</v>
      </c>
    </row>
    <row r="1341" spans="1:4" x14ac:dyDescent="0.2">
      <c r="A1341" s="5">
        <v>1280</v>
      </c>
      <c r="B1341" s="138">
        <f>'Expenditures 15-22'!D182</f>
        <v>649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649</v>
      </c>
      <c r="C1345" s="2" t="s">
        <v>594</v>
      </c>
      <c r="D1345" s="2" t="str">
        <f t="shared" si="20"/>
        <v>Error?</v>
      </c>
    </row>
    <row r="1346" spans="1:4" x14ac:dyDescent="0.2">
      <c r="A1346" s="5">
        <v>1285</v>
      </c>
      <c r="B1346" s="138">
        <f>'Expenditures 15-22'!D210</f>
        <v>649</v>
      </c>
      <c r="C1346" s="2" t="s">
        <v>594</v>
      </c>
      <c r="D1346" s="2" t="str">
        <f t="shared" si="20"/>
        <v>Error?</v>
      </c>
    </row>
    <row r="1347" spans="1:4" x14ac:dyDescent="0.2">
      <c r="A1347" s="5">
        <v>1286</v>
      </c>
      <c r="B1347" s="138">
        <f>'Expenditures 15-22'!E182</f>
        <v>24084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24084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24084</v>
      </c>
      <c r="C1353" s="2" t="s">
        <v>594</v>
      </c>
      <c r="D1353" s="2" t="str">
        <f t="shared" si="20"/>
        <v>Error?</v>
      </c>
    </row>
    <row r="1354" spans="1:4" x14ac:dyDescent="0.2">
      <c r="A1354" s="5">
        <v>1293</v>
      </c>
      <c r="B1354" s="138">
        <f>'Expenditures 15-22'!F182</f>
        <v>3611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3611</v>
      </c>
      <c r="C1358" s="2" t="s">
        <v>594</v>
      </c>
      <c r="D1358" s="2" t="str">
        <f t="shared" si="20"/>
        <v>Error?</v>
      </c>
    </row>
    <row r="1359" spans="1:4" x14ac:dyDescent="0.2">
      <c r="A1359" s="5">
        <v>1298</v>
      </c>
      <c r="B1359" s="138">
        <f>'Expenditures 15-22'!F210</f>
        <v>3611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54899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54899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54899</v>
      </c>
      <c r="C1388" s="2" t="s">
        <v>594</v>
      </c>
      <c r="D1388" s="2" t="str">
        <f t="shared" si="20"/>
        <v>Error?</v>
      </c>
    </row>
    <row r="1389" spans="1:4" x14ac:dyDescent="0.2">
      <c r="A1389" s="5">
        <v>1328</v>
      </c>
      <c r="B1389" s="138">
        <f>'Expenditures 15-22'!K211</f>
        <v>11995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31174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124</v>
      </c>
      <c r="D1416" s="2" t="str">
        <f t="shared" si="21"/>
        <v>Error?</v>
      </c>
    </row>
    <row r="1417" spans="1:4" x14ac:dyDescent="0.2">
      <c r="A1417" s="5">
        <v>1356</v>
      </c>
      <c r="B1417" s="138">
        <f>'Expenditures 15-22'!D238</f>
        <v>763</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v>
      </c>
      <c r="C1421" s="2" t="s">
        <v>594</v>
      </c>
      <c r="D1421" s="2" t="str">
        <f t="shared" si="21"/>
        <v>Error?</v>
      </c>
    </row>
    <row r="1422" spans="1:4" x14ac:dyDescent="0.2">
      <c r="A1422" s="5">
        <v>1361</v>
      </c>
      <c r="B1422" s="138">
        <f>'Expenditures 15-22'!D245</f>
        <v>177</v>
      </c>
      <c r="D1422" s="2" t="str">
        <f t="shared" si="21"/>
        <v>Error?</v>
      </c>
    </row>
    <row r="1423" spans="1:4" x14ac:dyDescent="0.2">
      <c r="A1423" s="5">
        <v>1362</v>
      </c>
      <c r="B1423" s="138">
        <f>'Expenditures 15-22'!D246</f>
        <v>857</v>
      </c>
      <c r="D1423" s="2" t="str">
        <f t="shared" si="21"/>
        <v>Error?</v>
      </c>
    </row>
    <row r="1424" spans="1:4" x14ac:dyDescent="0.2">
      <c r="A1424" s="5">
        <v>1363</v>
      </c>
      <c r="B1424" s="138">
        <f>'Expenditures 15-22'!D257</f>
        <v>1034</v>
      </c>
      <c r="C1424" s="2" t="s">
        <v>594</v>
      </c>
      <c r="D1424" s="2" t="str">
        <f t="shared" si="21"/>
        <v>Error?</v>
      </c>
    </row>
    <row r="1425" spans="1:4" x14ac:dyDescent="0.2">
      <c r="A1425" s="5">
        <v>1364</v>
      </c>
      <c r="B1425" s="138">
        <f>'Expenditures 15-22'!D259</f>
        <v>5268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9265</v>
      </c>
      <c r="D1431" s="2" t="str">
        <f t="shared" si="21"/>
        <v>Error?</v>
      </c>
    </row>
    <row r="1432" spans="1:4" x14ac:dyDescent="0.2">
      <c r="A1432" s="5">
        <v>1371</v>
      </c>
      <c r="B1432" s="138">
        <f>'Expenditures 15-22'!D267</f>
        <v>5065</v>
      </c>
      <c r="D1432" s="2" t="str">
        <f t="shared" si="21"/>
        <v>Error?</v>
      </c>
    </row>
    <row r="1433" spans="1:4" x14ac:dyDescent="0.2">
      <c r="A1433" s="5">
        <v>1372</v>
      </c>
      <c r="B1433" s="138">
        <f>'Expenditures 15-22'!D268</f>
        <v>4792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21605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28705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59879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31174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639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124</v>
      </c>
      <c r="C1480" s="2" t="s">
        <v>594</v>
      </c>
      <c r="D1480" s="2" t="str">
        <f t="shared" si="22"/>
        <v>Error?</v>
      </c>
    </row>
    <row r="1481" spans="1:4" x14ac:dyDescent="0.2">
      <c r="A1481" s="5">
        <v>1420</v>
      </c>
      <c r="B1481" s="138">
        <f>'Expenditures 15-22'!K238</f>
        <v>763</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20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v>
      </c>
      <c r="C1485" s="2" t="s">
        <v>594</v>
      </c>
      <c r="D1485" s="2" t="str">
        <f t="shared" si="22"/>
        <v>Error?</v>
      </c>
    </row>
    <row r="1486" spans="1:4" x14ac:dyDescent="0.2">
      <c r="A1486" s="5">
        <v>1425</v>
      </c>
      <c r="B1486" s="138">
        <f>'Expenditures 15-22'!K245</f>
        <v>177</v>
      </c>
      <c r="C1486" s="2" t="s">
        <v>594</v>
      </c>
      <c r="D1486" s="2" t="str">
        <f t="shared" si="22"/>
        <v>Error?</v>
      </c>
    </row>
    <row r="1487" spans="1:4" x14ac:dyDescent="0.2">
      <c r="A1487" s="5">
        <v>1426</v>
      </c>
      <c r="B1487" s="138">
        <f>'Expenditures 15-22'!K246</f>
        <v>857</v>
      </c>
      <c r="C1487" s="2" t="s">
        <v>594</v>
      </c>
      <c r="D1487" s="2" t="str">
        <f t="shared" si="22"/>
        <v>Error?</v>
      </c>
    </row>
    <row r="1488" spans="1:4" x14ac:dyDescent="0.2">
      <c r="A1488" s="5">
        <v>1427</v>
      </c>
      <c r="B1488" s="138">
        <f>'Expenditures 15-22'!K257</f>
        <v>1034</v>
      </c>
      <c r="C1488" s="2" t="s">
        <v>594</v>
      </c>
      <c r="D1488" s="2" t="str">
        <f t="shared" si="22"/>
        <v>Error?</v>
      </c>
    </row>
    <row r="1489" spans="1:4" x14ac:dyDescent="0.2">
      <c r="A1489" s="5">
        <v>1428</v>
      </c>
      <c r="B1489" s="138">
        <f>'Expenditures 15-22'!K259</f>
        <v>5268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2483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9265</v>
      </c>
      <c r="C1495" s="2" t="s">
        <v>594</v>
      </c>
      <c r="D1495" s="2" t="str">
        <f t="shared" si="22"/>
        <v>Error?</v>
      </c>
    </row>
    <row r="1496" spans="1:4" x14ac:dyDescent="0.2">
      <c r="A1496" s="5">
        <v>1435</v>
      </c>
      <c r="B1496" s="138">
        <f>'Expenditures 15-22'!K267</f>
        <v>5065</v>
      </c>
      <c r="C1496" s="2" t="s">
        <v>594</v>
      </c>
      <c r="D1496" s="2" t="str">
        <f t="shared" si="22"/>
        <v>Error?</v>
      </c>
    </row>
    <row r="1497" spans="1:4" x14ac:dyDescent="0.2">
      <c r="A1497" s="5">
        <v>1436</v>
      </c>
      <c r="B1497" s="138">
        <f>'Expenditures 15-22'!K268</f>
        <v>4792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21605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28705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59879</v>
      </c>
      <c r="C1517" s="2" t="s">
        <v>594</v>
      </c>
      <c r="D1517" s="2" t="str">
        <f t="shared" si="22"/>
        <v>Error?</v>
      </c>
    </row>
    <row r="1518" spans="1:4" x14ac:dyDescent="0.2">
      <c r="A1518" s="5">
        <v>1457</v>
      </c>
      <c r="B1518" s="138">
        <f>'Expenditures 15-22'!K296</f>
        <v>-23645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3665</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3665</v>
      </c>
      <c r="C1560" s="2" t="s">
        <v>594</v>
      </c>
      <c r="D1560" s="2" t="str">
        <f t="shared" si="23"/>
        <v>Error?</v>
      </c>
    </row>
    <row r="1561" spans="1:4" x14ac:dyDescent="0.2">
      <c r="A1561" s="5">
        <v>1500</v>
      </c>
      <c r="B1561" s="138">
        <f>'Expenditures 15-22'!K313</f>
        <v>-3661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799509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962894</v>
      </c>
      <c r="C1630" s="2" t="s">
        <v>594</v>
      </c>
      <c r="D1630" s="2" t="str">
        <f t="shared" si="24"/>
        <v>Error?</v>
      </c>
    </row>
    <row r="1631" spans="1:4" x14ac:dyDescent="0.2">
      <c r="A1631" s="5">
        <v>1570</v>
      </c>
      <c r="B1631" s="138">
        <f>'Acct Summary 7-8'!D79</f>
        <v>37340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48655</v>
      </c>
      <c r="C1644" s="2" t="s">
        <v>594</v>
      </c>
      <c r="D1644" s="2" t="str">
        <f t="shared" si="24"/>
        <v>Error?</v>
      </c>
    </row>
    <row r="1645" spans="1:4" x14ac:dyDescent="0.2">
      <c r="A1645" s="5">
        <v>1584</v>
      </c>
      <c r="B1645" s="138">
        <f>'Acct Summary 7-8'!E79</f>
        <v>239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450</v>
      </c>
      <c r="C1658" s="2" t="s">
        <v>594</v>
      </c>
      <c r="D1658" s="2" t="str">
        <f t="shared" si="24"/>
        <v>Error?</v>
      </c>
    </row>
    <row r="1659" spans="1:4" x14ac:dyDescent="0.2">
      <c r="A1659" s="5">
        <v>1598</v>
      </c>
      <c r="B1659" s="138">
        <f>'Acct Summary 7-8'!F79</f>
        <v>18564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30559</v>
      </c>
      <c r="C1672" s="2" t="s">
        <v>594</v>
      </c>
      <c r="D1672" s="2" t="str">
        <f t="shared" si="25"/>
        <v>Error?</v>
      </c>
    </row>
    <row r="1673" spans="1:4" x14ac:dyDescent="0.2">
      <c r="A1673" s="5">
        <v>1612</v>
      </c>
      <c r="B1673" s="138">
        <f>'Acct Summary 7-8'!G79</f>
        <v>56156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32511</v>
      </c>
      <c r="C1686" s="2" t="s">
        <v>594</v>
      </c>
      <c r="D1686" s="2" t="str">
        <f t="shared" si="25"/>
        <v>Error?</v>
      </c>
    </row>
    <row r="1687" spans="1:4" x14ac:dyDescent="0.2">
      <c r="A1687" s="5">
        <v>1626</v>
      </c>
      <c r="B1687" s="138">
        <f>'Acct Summary 7-8'!H79</f>
        <v>3676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277119</v>
      </c>
      <c r="C1744" s="2" t="s">
        <v>594</v>
      </c>
      <c r="D1744" s="2" t="str">
        <f t="shared" si="26"/>
        <v>Error?</v>
      </c>
    </row>
    <row r="1745" spans="1:5" x14ac:dyDescent="0.2">
      <c r="A1745" s="5">
        <v>1684</v>
      </c>
      <c r="B1745" s="138">
        <f>'Tax Sched 23'!B5</f>
        <v>57372</v>
      </c>
      <c r="C1745" s="2" t="s">
        <v>594</v>
      </c>
      <c r="D1745" s="2" t="str">
        <f t="shared" si="26"/>
        <v>Error?</v>
      </c>
    </row>
    <row r="1746" spans="1:5" x14ac:dyDescent="0.2">
      <c r="A1746" s="5">
        <v>1685</v>
      </c>
      <c r="B1746" s="138">
        <f>'Tax Sched 23'!B6</f>
        <v>27687</v>
      </c>
      <c r="C1746" s="2" t="s">
        <v>594</v>
      </c>
      <c r="D1746" s="2" t="str">
        <f t="shared" si="26"/>
        <v>Error?</v>
      </c>
    </row>
    <row r="1747" spans="1:5" x14ac:dyDescent="0.2">
      <c r="A1747" s="5">
        <v>1686</v>
      </c>
      <c r="B1747" s="138">
        <f>'Tax Sched 23'!B7</f>
        <v>26709</v>
      </c>
      <c r="C1747" s="2" t="s">
        <v>594</v>
      </c>
      <c r="D1747" s="2" t="str">
        <f t="shared" si="26"/>
        <v>Error?</v>
      </c>
    </row>
    <row r="1748" spans="1:5" x14ac:dyDescent="0.2">
      <c r="A1748" s="5">
        <v>1687</v>
      </c>
      <c r="B1748" s="138">
        <f>'Tax Sched 23'!B8</f>
        <v>26709</v>
      </c>
      <c r="C1748" s="2" t="s">
        <v>594</v>
      </c>
      <c r="D1748" s="2" t="str">
        <f t="shared" si="26"/>
        <v>Error?</v>
      </c>
    </row>
    <row r="1749" spans="1:5" x14ac:dyDescent="0.2">
      <c r="A1749" s="5">
        <v>1688</v>
      </c>
      <c r="B1749" s="138">
        <f>'Tax Sched 23'!B10</f>
        <v>9399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112764</v>
      </c>
      <c r="C1752" s="2" t="s">
        <v>594</v>
      </c>
      <c r="D1752" s="2" t="str">
        <f t="shared" si="26"/>
        <v>Error?</v>
      </c>
    </row>
    <row r="1753" spans="1:5" x14ac:dyDescent="0.2">
      <c r="A1753" s="5">
        <v>1692</v>
      </c>
      <c r="B1753" s="138">
        <f>'Tax Sched 23'!B12</f>
        <v>10387</v>
      </c>
      <c r="C1753" s="2" t="s">
        <v>594</v>
      </c>
      <c r="D1753" s="2" t="str">
        <f t="shared" si="26"/>
        <v>Error?</v>
      </c>
    </row>
    <row r="1754" spans="1:5" x14ac:dyDescent="0.2">
      <c r="A1754" s="5">
        <v>1693</v>
      </c>
      <c r="B1754" s="138">
        <f>'Tax Sched 23'!B14</f>
        <v>4552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555271</v>
      </c>
      <c r="C1759" s="2" t="s">
        <v>594</v>
      </c>
      <c r="D1759" s="2" t="str">
        <f t="shared" si="26"/>
        <v>Error?</v>
      </c>
    </row>
    <row r="1760" spans="1:5" x14ac:dyDescent="0.2">
      <c r="A1760" s="5">
        <v>1699</v>
      </c>
      <c r="B1760" s="138">
        <f>'Tax Sched 23'!D4</f>
        <v>277119</v>
      </c>
      <c r="C1760" s="2" t="s">
        <v>594</v>
      </c>
      <c r="D1760" s="2" t="str">
        <f t="shared" si="26"/>
        <v>Error?</v>
      </c>
    </row>
    <row r="1761" spans="1:5" x14ac:dyDescent="0.2">
      <c r="A1761" s="5">
        <v>1700</v>
      </c>
      <c r="B1761" s="138">
        <f>'Tax Sched 23'!D5</f>
        <v>57372</v>
      </c>
      <c r="C1761" s="2" t="s">
        <v>594</v>
      </c>
      <c r="D1761" s="2" t="str">
        <f t="shared" si="26"/>
        <v>Error?</v>
      </c>
    </row>
    <row r="1762" spans="1:5" s="8" customFormat="1" x14ac:dyDescent="0.2">
      <c r="A1762" s="5">
        <v>1701</v>
      </c>
      <c r="B1762" s="138">
        <f>'Tax Sched 23'!D6</f>
        <v>27687</v>
      </c>
      <c r="C1762" s="2" t="s">
        <v>594</v>
      </c>
      <c r="D1762" s="2" t="str">
        <f t="shared" si="26"/>
        <v>Error?</v>
      </c>
      <c r="E1762" s="9"/>
    </row>
    <row r="1763" spans="1:5" x14ac:dyDescent="0.2">
      <c r="A1763" s="5">
        <v>1702</v>
      </c>
      <c r="B1763" s="138">
        <f>'Tax Sched 23'!D7</f>
        <v>26709</v>
      </c>
      <c r="C1763" s="2" t="s">
        <v>594</v>
      </c>
      <c r="D1763" s="2" t="str">
        <f t="shared" si="26"/>
        <v>Error?</v>
      </c>
    </row>
    <row r="1764" spans="1:5" x14ac:dyDescent="0.2">
      <c r="A1764" s="5">
        <v>1703</v>
      </c>
      <c r="B1764" s="138">
        <f>'Tax Sched 23'!D8</f>
        <v>26709</v>
      </c>
      <c r="C1764" s="2" t="s">
        <v>594</v>
      </c>
      <c r="D1764" s="2" t="str">
        <f t="shared" si="26"/>
        <v>Error?</v>
      </c>
    </row>
    <row r="1765" spans="1:5" x14ac:dyDescent="0.2">
      <c r="A1765" s="5">
        <v>1704</v>
      </c>
      <c r="B1765" s="138">
        <f>'Tax Sched 23'!D10</f>
        <v>9399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112764</v>
      </c>
      <c r="C1768" s="2" t="s">
        <v>594</v>
      </c>
      <c r="D1768" s="2" t="str">
        <f t="shared" si="26"/>
        <v>Error?</v>
      </c>
    </row>
    <row r="1769" spans="1:5" x14ac:dyDescent="0.2">
      <c r="A1769" s="5">
        <v>1708</v>
      </c>
      <c r="B1769" s="138">
        <f>'Tax Sched 23'!D12</f>
        <v>10387</v>
      </c>
      <c r="C1769" s="2" t="s">
        <v>594</v>
      </c>
      <c r="D1769" s="2" t="str">
        <f t="shared" si="26"/>
        <v>Error?</v>
      </c>
    </row>
    <row r="1770" spans="1:5" x14ac:dyDescent="0.2">
      <c r="A1770" s="5">
        <v>1709</v>
      </c>
      <c r="B1770" s="138">
        <f>'Tax Sched 23'!D14</f>
        <v>4552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555271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288258</v>
      </c>
      <c r="C1792" s="2" t="s">
        <v>594</v>
      </c>
      <c r="D1792" s="2" t="str">
        <f t="shared" si="27"/>
        <v>Error?</v>
      </c>
    </row>
    <row r="1793" spans="1:4" x14ac:dyDescent="0.2">
      <c r="A1793" s="5">
        <v>1732</v>
      </c>
      <c r="B1793" s="138">
        <f>'Tax Sched 23'!F5</f>
        <v>61353</v>
      </c>
      <c r="C1793" s="2" t="s">
        <v>594</v>
      </c>
      <c r="D1793" s="2" t="str">
        <f t="shared" si="27"/>
        <v>Error?</v>
      </c>
    </row>
    <row r="1794" spans="1:4" x14ac:dyDescent="0.2">
      <c r="A1794" s="5">
        <v>1733</v>
      </c>
      <c r="B1794" s="138">
        <f>'Tax Sched 23'!F6</f>
        <v>29901</v>
      </c>
      <c r="C1794" s="2" t="s">
        <v>594</v>
      </c>
      <c r="D1794" s="2" t="str">
        <f t="shared" si="27"/>
        <v>Error?</v>
      </c>
    </row>
    <row r="1795" spans="1:4" x14ac:dyDescent="0.2">
      <c r="A1795" s="5">
        <v>1734</v>
      </c>
      <c r="B1795" s="138">
        <f>'Tax Sched 23'!F7</f>
        <v>28202</v>
      </c>
      <c r="C1795" s="2" t="s">
        <v>594</v>
      </c>
      <c r="D1795" s="2" t="str">
        <f t="shared" si="27"/>
        <v>Error?</v>
      </c>
    </row>
    <row r="1796" spans="1:4" x14ac:dyDescent="0.2">
      <c r="A1796" s="5">
        <v>1735</v>
      </c>
      <c r="B1796" s="138">
        <f>'Tax Sched 23'!F8</f>
        <v>28202</v>
      </c>
      <c r="C1796" s="2" t="s">
        <v>594</v>
      </c>
      <c r="D1796" s="2" t="str">
        <f t="shared" si="27"/>
        <v>Error?</v>
      </c>
    </row>
    <row r="1797" spans="1:4" x14ac:dyDescent="0.2">
      <c r="A1797" s="5">
        <v>1736</v>
      </c>
      <c r="B1797" s="138">
        <f>'Tax Sched 23'!F10</f>
        <v>9899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114787</v>
      </c>
      <c r="C1800" s="2" t="s">
        <v>594</v>
      </c>
      <c r="D1800" s="2" t="str">
        <f t="shared" si="27"/>
        <v>Error?</v>
      </c>
    </row>
    <row r="1801" spans="1:4" x14ac:dyDescent="0.2">
      <c r="A1801" s="5">
        <v>1740</v>
      </c>
      <c r="B1801" s="138">
        <f>'Tax Sched 23'!F12</f>
        <v>10886</v>
      </c>
      <c r="C1801" s="2" t="s">
        <v>594</v>
      </c>
      <c r="D1801" s="2" t="str">
        <f t="shared" si="27"/>
        <v>Error?</v>
      </c>
    </row>
    <row r="1802" spans="1:4" x14ac:dyDescent="0.2">
      <c r="A1802" s="5">
        <v>1741</v>
      </c>
      <c r="B1802" s="138">
        <f>'Tax Sched 23'!F14</f>
        <v>4751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578813</v>
      </c>
      <c r="C1807" s="2" t="s">
        <v>594</v>
      </c>
      <c r="D1807" s="2" t="str">
        <f t="shared" si="27"/>
        <v>Error?</v>
      </c>
    </row>
    <row r="1808" spans="1:4" x14ac:dyDescent="0.2">
      <c r="A1808" s="5">
        <v>1747</v>
      </c>
      <c r="B1808" s="138">
        <f>'Tax Sched 23'!E4</f>
        <v>288258</v>
      </c>
      <c r="D1808" s="2" t="str">
        <f t="shared" si="27"/>
        <v>Error?</v>
      </c>
    </row>
    <row r="1809" spans="1:4" x14ac:dyDescent="0.2">
      <c r="A1809" s="5">
        <v>1748</v>
      </c>
      <c r="B1809" s="138">
        <f>'Tax Sched 23'!E5</f>
        <v>61353</v>
      </c>
      <c r="D1809" s="2" t="str">
        <f t="shared" si="27"/>
        <v>Error?</v>
      </c>
    </row>
    <row r="1810" spans="1:4" x14ac:dyDescent="0.2">
      <c r="A1810" s="5">
        <v>1749</v>
      </c>
      <c r="B1810" s="138">
        <f>'Tax Sched 23'!E6</f>
        <v>29901</v>
      </c>
      <c r="D1810" s="2" t="str">
        <f t="shared" si="27"/>
        <v>Error?</v>
      </c>
    </row>
    <row r="1811" spans="1:4" x14ac:dyDescent="0.2">
      <c r="A1811" s="5">
        <v>1750</v>
      </c>
      <c r="B1811" s="138">
        <f>'Tax Sched 23'!E7</f>
        <v>28202</v>
      </c>
      <c r="D1811" s="2" t="str">
        <f t="shared" si="27"/>
        <v>Error?</v>
      </c>
    </row>
    <row r="1812" spans="1:4" x14ac:dyDescent="0.2">
      <c r="A1812" s="5">
        <v>1751</v>
      </c>
      <c r="B1812" s="138">
        <f>'Tax Sched 23'!E8</f>
        <v>28202</v>
      </c>
      <c r="D1812" s="2" t="str">
        <f t="shared" si="27"/>
        <v>Error?</v>
      </c>
    </row>
    <row r="1813" spans="1:4" x14ac:dyDescent="0.2">
      <c r="A1813" s="5">
        <v>1752</v>
      </c>
      <c r="B1813" s="138">
        <f>'Tax Sched 23'!E10</f>
        <v>9899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114787</v>
      </c>
      <c r="D1816" s="2" t="str">
        <f t="shared" si="27"/>
        <v>Error?</v>
      </c>
    </row>
    <row r="1817" spans="1:4" x14ac:dyDescent="0.2">
      <c r="A1817" s="5">
        <v>1756</v>
      </c>
      <c r="B1817" s="138">
        <f>'Tax Sched 23'!E12</f>
        <v>10886</v>
      </c>
      <c r="D1817" s="2" t="str">
        <f t="shared" si="27"/>
        <v>Error?</v>
      </c>
    </row>
    <row r="1818" spans="1:4" x14ac:dyDescent="0.2">
      <c r="A1818" s="5">
        <v>1757</v>
      </c>
      <c r="B1818" s="138">
        <f>'Tax Sched 23'!E14</f>
        <v>4751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578813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4552</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41</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4599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4599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2139845</v>
      </c>
      <c r="D2009" s="2" t="str">
        <f t="shared" si="30"/>
        <v>Error?</v>
      </c>
    </row>
    <row r="2010" spans="1:4" x14ac:dyDescent="0.2">
      <c r="A2010" s="5">
        <v>1949</v>
      </c>
      <c r="B2010" s="138">
        <f>'Cap Outlay Deprec 26'!C10</f>
        <v>26234</v>
      </c>
      <c r="D2010" s="2" t="str">
        <f t="shared" si="30"/>
        <v>Error?</v>
      </c>
    </row>
    <row r="2011" spans="1:4" x14ac:dyDescent="0.2">
      <c r="A2011" s="5">
        <v>1950</v>
      </c>
      <c r="B2011" s="138">
        <f>'Cap Outlay Deprec 26'!C12</f>
        <v>654257</v>
      </c>
      <c r="D2011" s="2" t="str">
        <f t="shared" si="30"/>
        <v>Error?</v>
      </c>
    </row>
    <row r="2012" spans="1:4" x14ac:dyDescent="0.2">
      <c r="A2012" s="5">
        <v>1951</v>
      </c>
      <c r="B2012" s="138">
        <f>'Cap Outlay Deprec 26'!C13</f>
        <v>5157</v>
      </c>
      <c r="D2012" s="2" t="str">
        <f t="shared" si="30"/>
        <v>Error?</v>
      </c>
    </row>
    <row r="2013" spans="1:4" x14ac:dyDescent="0.2">
      <c r="A2013" s="5">
        <v>1952</v>
      </c>
      <c r="B2013" s="138">
        <f>'Cap Outlay Deprec 26'!C16</f>
        <v>2825493</v>
      </c>
      <c r="C2013" s="2" t="s">
        <v>594</v>
      </c>
      <c r="D2013" s="2" t="str">
        <f t="shared" si="30"/>
        <v>Error?</v>
      </c>
    </row>
    <row r="2014" spans="1:4" x14ac:dyDescent="0.2">
      <c r="A2014" s="5">
        <v>1953</v>
      </c>
      <c r="B2014" s="138">
        <f>'Cap Outlay Deprec 26'!D5</f>
        <v>11500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13617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11500</v>
      </c>
      <c r="C2026" s="2" t="s">
        <v>594</v>
      </c>
      <c r="D2026" s="2" t="str">
        <f t="shared" si="30"/>
        <v>Error?</v>
      </c>
    </row>
    <row r="2027" spans="1:4" x14ac:dyDescent="0.2">
      <c r="A2027" s="5">
        <v>1966</v>
      </c>
      <c r="B2027" s="138">
        <f>'Cap Outlay Deprec 26'!F8</f>
        <v>2139845</v>
      </c>
      <c r="C2027" s="2" t="s">
        <v>594</v>
      </c>
      <c r="D2027" s="2" t="str">
        <f t="shared" si="30"/>
        <v>Error?</v>
      </c>
    </row>
    <row r="2028" spans="1:4" x14ac:dyDescent="0.2">
      <c r="A2028" s="5">
        <v>1967</v>
      </c>
      <c r="B2028" s="138">
        <f>'Cap Outlay Deprec 26'!F10</f>
        <v>26234</v>
      </c>
      <c r="C2028" s="2" t="s">
        <v>594</v>
      </c>
      <c r="D2028" s="2" t="str">
        <f t="shared" si="30"/>
        <v>Error?</v>
      </c>
    </row>
    <row r="2029" spans="1:4" x14ac:dyDescent="0.2">
      <c r="A2029" s="5">
        <v>1968</v>
      </c>
      <c r="B2029" s="138">
        <f>'Cap Outlay Deprec 26'!F12</f>
        <v>656374</v>
      </c>
      <c r="C2029" s="2" t="s">
        <v>594</v>
      </c>
      <c r="D2029" s="2" t="str">
        <f t="shared" si="30"/>
        <v>Error?</v>
      </c>
    </row>
    <row r="2030" spans="1:4" x14ac:dyDescent="0.2">
      <c r="A2030" s="5">
        <v>1969</v>
      </c>
      <c r="B2030" s="138">
        <f>'Cap Outlay Deprec 26'!F13</f>
        <v>5157</v>
      </c>
      <c r="C2030" s="2" t="s">
        <v>594</v>
      </c>
      <c r="D2030" s="2" t="str">
        <f t="shared" si="30"/>
        <v>Error?</v>
      </c>
    </row>
    <row r="2031" spans="1:4" x14ac:dyDescent="0.2">
      <c r="A2031" s="5">
        <v>1970</v>
      </c>
      <c r="B2031" s="138">
        <f>'Cap Outlay Deprec 26'!F16</f>
        <v>2839110</v>
      </c>
      <c r="C2031" s="2" t="s">
        <v>594</v>
      </c>
      <c r="D2031" s="2" t="str">
        <f t="shared" si="30"/>
        <v>Error?</v>
      </c>
    </row>
    <row r="2032" spans="1:4" x14ac:dyDescent="0.2">
      <c r="A2032" s="10">
        <v>1971</v>
      </c>
      <c r="D2032" s="2" t="str">
        <f t="shared" si="30"/>
        <v>OK</v>
      </c>
    </row>
    <row r="2033" spans="1:4" x14ac:dyDescent="0.2">
      <c r="A2033" s="5">
        <v>1972</v>
      </c>
      <c r="B2033" s="138">
        <f>'Cap Outlay Deprec 26'!H8</f>
        <v>1079416</v>
      </c>
      <c r="D2033" s="2" t="str">
        <f t="shared" si="30"/>
        <v>Error?</v>
      </c>
    </row>
    <row r="2034" spans="1:4" x14ac:dyDescent="0.2">
      <c r="A2034" s="5">
        <v>1973</v>
      </c>
      <c r="B2034" s="138">
        <f>'Cap Outlay Deprec 26'!H10</f>
        <v>24559</v>
      </c>
      <c r="D2034" s="2" t="str">
        <f t="shared" si="30"/>
        <v>Error?</v>
      </c>
    </row>
    <row r="2035" spans="1:4" x14ac:dyDescent="0.2">
      <c r="A2035" s="5">
        <v>1974</v>
      </c>
      <c r="B2035" s="138">
        <f>'Cap Outlay Deprec 26'!H12</f>
        <v>492501</v>
      </c>
      <c r="D2035" s="2" t="str">
        <f t="shared" si="30"/>
        <v>Error?</v>
      </c>
    </row>
    <row r="2036" spans="1:4" x14ac:dyDescent="0.2">
      <c r="A2036" s="5">
        <v>1975</v>
      </c>
      <c r="B2036" s="138">
        <f>'Cap Outlay Deprec 26'!H13</f>
        <v>860</v>
      </c>
      <c r="D2036" s="2" t="str">
        <f t="shared" si="30"/>
        <v>Error?</v>
      </c>
    </row>
    <row r="2037" spans="1:4" x14ac:dyDescent="0.2">
      <c r="A2037" s="5">
        <v>1976</v>
      </c>
      <c r="B2037" s="138">
        <f>'Cap Outlay Deprec 26'!H16</f>
        <v>1597336</v>
      </c>
      <c r="C2037" s="2" t="s">
        <v>594</v>
      </c>
      <c r="D2037" s="2" t="str">
        <f t="shared" si="30"/>
        <v>Error?</v>
      </c>
    </row>
    <row r="2038" spans="1:4" x14ac:dyDescent="0.2">
      <c r="A2038" s="10">
        <v>1977</v>
      </c>
      <c r="D2038" s="2" t="str">
        <f t="shared" si="30"/>
        <v>OK</v>
      </c>
    </row>
    <row r="2039" spans="1:4" x14ac:dyDescent="0.2">
      <c r="A2039" s="5">
        <v>1978</v>
      </c>
      <c r="B2039" s="138">
        <f>'Cap Outlay Deprec 26'!I8</f>
        <v>27305</v>
      </c>
      <c r="D2039" s="2" t="str">
        <f t="shared" si="30"/>
        <v>Error?</v>
      </c>
    </row>
    <row r="2040" spans="1:4" x14ac:dyDescent="0.2">
      <c r="A2040" s="5">
        <v>1979</v>
      </c>
      <c r="B2040" s="138">
        <f>'Cap Outlay Deprec 26'!I10</f>
        <v>286</v>
      </c>
      <c r="D2040" s="2" t="str">
        <f t="shared" si="30"/>
        <v>Error?</v>
      </c>
    </row>
    <row r="2041" spans="1:4" x14ac:dyDescent="0.2">
      <c r="A2041" s="5">
        <v>1980</v>
      </c>
      <c r="B2041" s="138">
        <f>'Cap Outlay Deprec 26'!I12</f>
        <v>27684</v>
      </c>
      <c r="D2041" s="2" t="str">
        <f t="shared" si="30"/>
        <v>Error?</v>
      </c>
    </row>
    <row r="2042" spans="1:4" x14ac:dyDescent="0.2">
      <c r="A2042" s="5">
        <v>1981</v>
      </c>
      <c r="B2042" s="138">
        <f>'Cap Outlay Deprec 26'!I13</f>
        <v>1031</v>
      </c>
      <c r="D2042" s="2" t="str">
        <f t="shared" si="30"/>
        <v>Error?</v>
      </c>
    </row>
    <row r="2043" spans="1:4" x14ac:dyDescent="0.2">
      <c r="A2043" s="5">
        <v>1982</v>
      </c>
      <c r="B2043" s="138">
        <f>'Cap Outlay Deprec 26'!I16</f>
        <v>56306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1106721</v>
      </c>
      <c r="C2051" s="2" t="s">
        <v>594</v>
      </c>
      <c r="D2051" s="2" t="str">
        <f t="shared" si="31"/>
        <v>Error?</v>
      </c>
    </row>
    <row r="2052" spans="1:4" x14ac:dyDescent="0.2">
      <c r="A2052" s="5">
        <v>1991</v>
      </c>
      <c r="B2052" s="138">
        <f>'Cap Outlay Deprec 26'!K10</f>
        <v>24845</v>
      </c>
      <c r="C2052" s="2" t="s">
        <v>594</v>
      </c>
      <c r="D2052" s="2" t="str">
        <f t="shared" si="31"/>
        <v>Error?</v>
      </c>
    </row>
    <row r="2053" spans="1:4" x14ac:dyDescent="0.2">
      <c r="A2053" s="5">
        <v>1992</v>
      </c>
      <c r="B2053" s="138">
        <f>'Cap Outlay Deprec 26'!K12</f>
        <v>520185</v>
      </c>
      <c r="C2053" s="2" t="s">
        <v>594</v>
      </c>
      <c r="D2053" s="2" t="str">
        <f t="shared" si="31"/>
        <v>Error?</v>
      </c>
    </row>
    <row r="2054" spans="1:4" x14ac:dyDescent="0.2">
      <c r="A2054" s="5">
        <v>1993</v>
      </c>
      <c r="B2054" s="138">
        <f>'Cap Outlay Deprec 26'!K13</f>
        <v>1891</v>
      </c>
      <c r="C2054" s="2" t="s">
        <v>594</v>
      </c>
      <c r="D2054" s="2" t="str">
        <f t="shared" si="31"/>
        <v>Error?</v>
      </c>
    </row>
    <row r="2055" spans="1:4" x14ac:dyDescent="0.2">
      <c r="A2055" s="5">
        <v>1994</v>
      </c>
      <c r="B2055" s="138">
        <f>'Cap Outlay Deprec 26'!K16</f>
        <v>1653642</v>
      </c>
      <c r="C2055" s="2" t="s">
        <v>594</v>
      </c>
      <c r="D2055" s="2" t="str">
        <f t="shared" si="31"/>
        <v>Error?</v>
      </c>
    </row>
    <row r="2056" spans="1:4" x14ac:dyDescent="0.2">
      <c r="A2056" s="5">
        <v>1995</v>
      </c>
      <c r="B2056" s="138">
        <f>'Cap Outlay Deprec 26'!L5</f>
        <v>11500</v>
      </c>
      <c r="C2056" s="2" t="s">
        <v>594</v>
      </c>
      <c r="D2056" s="2" t="str">
        <f t="shared" si="31"/>
        <v>Error?</v>
      </c>
    </row>
    <row r="2057" spans="1:4" x14ac:dyDescent="0.2">
      <c r="A2057" s="5">
        <v>1996</v>
      </c>
      <c r="B2057" s="138">
        <f>'Cap Outlay Deprec 26'!L8</f>
        <v>1033124</v>
      </c>
      <c r="C2057" s="2" t="s">
        <v>594</v>
      </c>
      <c r="D2057" s="2" t="str">
        <f t="shared" si="31"/>
        <v>Error?</v>
      </c>
    </row>
    <row r="2058" spans="1:4" x14ac:dyDescent="0.2">
      <c r="A2058" s="5">
        <v>1997</v>
      </c>
      <c r="B2058" s="138">
        <f>'Cap Outlay Deprec 26'!L10</f>
        <v>1389</v>
      </c>
      <c r="C2058" s="2" t="s">
        <v>594</v>
      </c>
      <c r="D2058" s="2" t="str">
        <f t="shared" si="31"/>
        <v>Error?</v>
      </c>
    </row>
    <row r="2059" spans="1:4" x14ac:dyDescent="0.2">
      <c r="A2059" s="5">
        <v>1998</v>
      </c>
      <c r="B2059" s="138">
        <f>'Cap Outlay Deprec 26'!L12</f>
        <v>136189</v>
      </c>
      <c r="C2059" s="2" t="s">
        <v>594</v>
      </c>
      <c r="D2059" s="2" t="str">
        <f t="shared" si="31"/>
        <v>Error?</v>
      </c>
    </row>
    <row r="2060" spans="1:4" x14ac:dyDescent="0.2">
      <c r="A2060" s="5">
        <v>1999</v>
      </c>
      <c r="B2060" s="138">
        <f>'Cap Outlay Deprec 26'!L13</f>
        <v>3266</v>
      </c>
      <c r="C2060" s="2" t="s">
        <v>594</v>
      </c>
      <c r="D2060" s="2" t="str">
        <f t="shared" si="31"/>
        <v>Error?</v>
      </c>
    </row>
    <row r="2061" spans="1:4" x14ac:dyDescent="0.2">
      <c r="A2061" s="5">
        <v>2000</v>
      </c>
      <c r="B2061" s="138">
        <f>'Cap Outlay Deprec 26'!L16</f>
        <v>1185468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3312</v>
      </c>
      <c r="C2088" s="2" t="s">
        <v>594</v>
      </c>
      <c r="D2088" s="2" t="str">
        <f t="shared" si="31"/>
        <v>Error?</v>
      </c>
    </row>
    <row r="2089" spans="1:4" x14ac:dyDescent="0.2">
      <c r="A2089" s="5">
        <v>2028</v>
      </c>
      <c r="B2089" s="138">
        <f>'Expenditures 15-22'!K92</f>
        <v>24955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3665</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9501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8435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397810</v>
      </c>
      <c r="C2551" s="2" t="s">
        <v>594</v>
      </c>
      <c r="D2551" s="2" t="str">
        <f t="shared" si="38"/>
        <v>Error?</v>
      </c>
    </row>
    <row r="2552" spans="1:4" x14ac:dyDescent="0.2">
      <c r="A2552" s="10">
        <v>2491</v>
      </c>
      <c r="D2552" s="2" t="str">
        <f t="shared" si="38"/>
        <v>OK</v>
      </c>
    </row>
    <row r="2553" spans="1:4" x14ac:dyDescent="0.2">
      <c r="A2553" s="5">
        <v>2492</v>
      </c>
      <c r="B2553" s="138">
        <f>'Acct Summary 7-8'!C6</f>
        <v>671584</v>
      </c>
      <c r="C2553" s="2" t="s">
        <v>594</v>
      </c>
      <c r="D2553" s="2" t="str">
        <f t="shared" si="38"/>
        <v>Error?</v>
      </c>
    </row>
    <row r="2554" spans="1:4" x14ac:dyDescent="0.2">
      <c r="A2554" s="5">
        <v>2493</v>
      </c>
      <c r="B2554" s="138">
        <f>'Acct Summary 7-8'!C7</f>
        <v>295749</v>
      </c>
      <c r="C2554" s="2" t="s">
        <v>594</v>
      </c>
      <c r="D2554" s="2" t="str">
        <f t="shared" si="38"/>
        <v>Error?</v>
      </c>
    </row>
    <row r="2555" spans="1:4" x14ac:dyDescent="0.2">
      <c r="A2555" s="5">
        <v>2494</v>
      </c>
      <c r="B2555" s="138">
        <f>'Acct Summary 7-8'!C8</f>
        <v>1365143</v>
      </c>
      <c r="C2555" s="2" t="s">
        <v>594</v>
      </c>
      <c r="D2555" s="2" t="str">
        <f t="shared" si="38"/>
        <v>Error?</v>
      </c>
    </row>
    <row r="2556" spans="1:4" x14ac:dyDescent="0.2">
      <c r="A2556" s="5">
        <v>2495</v>
      </c>
      <c r="B2556" s="138">
        <f>'Acct Summary 7-8'!C12</f>
        <v>904213</v>
      </c>
      <c r="C2556" s="2" t="s">
        <v>594</v>
      </c>
      <c r="D2556" s="2" t="str">
        <f t="shared" si="38"/>
        <v>Error?</v>
      </c>
    </row>
    <row r="2557" spans="1:4" x14ac:dyDescent="0.2">
      <c r="A2557" s="5">
        <v>2496</v>
      </c>
      <c r="B2557" s="138">
        <f>'Acct Summary 7-8'!C13</f>
        <v>278779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28267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1211259</v>
      </c>
      <c r="C2561" s="2" t="s">
        <v>594</v>
      </c>
      <c r="D2561" s="2" t="str">
        <f t="shared" si="39"/>
        <v>Error?</v>
      </c>
    </row>
    <row r="2562" spans="1:4" x14ac:dyDescent="0.2">
      <c r="A2562" s="5">
        <v>2501</v>
      </c>
      <c r="B2562" s="138">
        <f>'Acct Summary 7-8'!C20</f>
        <v>153884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64134</v>
      </c>
      <c r="C2564" s="2" t="s">
        <v>594</v>
      </c>
      <c r="D2564" s="2" t="str">
        <f t="shared" si="39"/>
        <v>Error?</v>
      </c>
    </row>
    <row r="2565" spans="1:4" x14ac:dyDescent="0.2">
      <c r="A2565" s="10">
        <v>2504</v>
      </c>
      <c r="D2565" s="2" t="str">
        <f t="shared" si="39"/>
        <v>OK</v>
      </c>
    </row>
    <row r="2566" spans="1:4" x14ac:dyDescent="0.2">
      <c r="A2566" s="5">
        <v>2505</v>
      </c>
      <c r="B2566" s="138">
        <f>'Acct Summary 7-8'!D6</f>
        <v>50000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114134</v>
      </c>
      <c r="C2568" s="2" t="s">
        <v>594</v>
      </c>
      <c r="D2568" s="2" t="str">
        <f t="shared" si="39"/>
        <v>Error?</v>
      </c>
    </row>
    <row r="2569" spans="1:4" x14ac:dyDescent="0.2">
      <c r="A2569" s="5">
        <v>2508</v>
      </c>
      <c r="B2569" s="138">
        <f>'Acct Summary 7-8'!D13</f>
        <v>102819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102819</v>
      </c>
      <c r="C2573" s="2" t="s">
        <v>594</v>
      </c>
      <c r="D2573" s="2" t="str">
        <f t="shared" si="39"/>
        <v>Error?</v>
      </c>
    </row>
    <row r="2574" spans="1:4" x14ac:dyDescent="0.2">
      <c r="A2574" s="5">
        <v>2513</v>
      </c>
      <c r="B2574" s="138">
        <f>'Acct Summary 7-8'!D20</f>
        <v>11315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28816</v>
      </c>
      <c r="C2591" s="2" t="s">
        <v>594</v>
      </c>
      <c r="D2591" s="2" t="str">
        <f t="shared" si="39"/>
        <v>Error?</v>
      </c>
    </row>
    <row r="2592" spans="1:4" x14ac:dyDescent="0.2">
      <c r="A2592" s="10">
        <v>2531</v>
      </c>
      <c r="D2592" s="2" t="str">
        <f t="shared" si="39"/>
        <v>OK</v>
      </c>
    </row>
    <row r="2593" spans="1:4" x14ac:dyDescent="0.2">
      <c r="A2593" s="5">
        <v>2532</v>
      </c>
      <c r="B2593" s="138">
        <f>'Acct Summary 7-8'!F6</f>
        <v>38078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66894</v>
      </c>
      <c r="C2595" s="2" t="s">
        <v>594</v>
      </c>
      <c r="D2595" s="2" t="str">
        <f t="shared" si="39"/>
        <v>Error?</v>
      </c>
    </row>
    <row r="2596" spans="1:4" x14ac:dyDescent="0.2">
      <c r="A2596" s="5">
        <v>2535</v>
      </c>
      <c r="B2596" s="138">
        <f>'Acct Summary 7-8'!F13</f>
        <v>54899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54899</v>
      </c>
      <c r="C2600" s="2" t="s">
        <v>594</v>
      </c>
      <c r="D2600" s="2" t="str">
        <f t="shared" si="39"/>
        <v>Error?</v>
      </c>
    </row>
    <row r="2601" spans="1:4" x14ac:dyDescent="0.2">
      <c r="A2601" s="5">
        <v>2540</v>
      </c>
      <c r="B2601" s="138">
        <f>'Acct Summary 7-8'!F20</f>
        <v>11995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29734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6500</v>
      </c>
      <c r="C2605" s="2" t="s">
        <v>594</v>
      </c>
      <c r="D2605" s="2" t="str">
        <f t="shared" si="39"/>
        <v>Error?</v>
      </c>
    </row>
    <row r="2606" spans="1:4" x14ac:dyDescent="0.2">
      <c r="A2606" s="5">
        <v>2545</v>
      </c>
      <c r="B2606" s="138">
        <f>'Acct Summary 7-8'!G8</f>
        <v>36234</v>
      </c>
      <c r="C2606" s="2" t="s">
        <v>594</v>
      </c>
      <c r="D2606" s="2" t="str">
        <f t="shared" si="39"/>
        <v>Error?</v>
      </c>
    </row>
    <row r="2607" spans="1:4" x14ac:dyDescent="0.2">
      <c r="A2607" s="5">
        <v>2546</v>
      </c>
      <c r="B2607" s="138">
        <f>'Acct Summary 7-8'!G12</f>
        <v>31174</v>
      </c>
      <c r="C2607" s="2" t="s">
        <v>594</v>
      </c>
      <c r="D2607" s="2" t="str">
        <f t="shared" si="39"/>
        <v>Error?</v>
      </c>
    </row>
    <row r="2608" spans="1:4" x14ac:dyDescent="0.2">
      <c r="A2608" s="5">
        <v>2547</v>
      </c>
      <c r="B2608" s="138">
        <f>'Acct Summary 7-8'!G13</f>
        <v>28705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59879</v>
      </c>
      <c r="C2612" s="2" t="s">
        <v>594</v>
      </c>
      <c r="D2612" s="2" t="str">
        <f t="shared" si="39"/>
        <v>Error?</v>
      </c>
    </row>
    <row r="2613" spans="1:4" x14ac:dyDescent="0.2">
      <c r="A2613" s="5">
        <v>2552</v>
      </c>
      <c r="B2613" s="138">
        <f>'Acct Summary 7-8'!G20</f>
        <v>-23645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27984</v>
      </c>
      <c r="C2630" s="2" t="s">
        <v>594</v>
      </c>
      <c r="D2630" s="2" t="str">
        <f t="shared" si="40"/>
        <v>Error?</v>
      </c>
    </row>
    <row r="2631" spans="1:4" x14ac:dyDescent="0.2">
      <c r="A2631" s="5">
        <v>2570</v>
      </c>
      <c r="B2631" s="138">
        <f>'Acct Summary 7-8'!E6</f>
        <v>24625</v>
      </c>
      <c r="C2631" s="2" t="s">
        <v>594</v>
      </c>
      <c r="D2631" s="2" t="str">
        <f t="shared" si="40"/>
        <v>Error?</v>
      </c>
    </row>
    <row r="2632" spans="1:4" x14ac:dyDescent="0.2">
      <c r="A2632" s="5">
        <v>2571</v>
      </c>
      <c r="B2632" s="138">
        <f>'Acct Summary 7-8'!E8</f>
        <v>52609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52398</v>
      </c>
      <c r="C2634" s="2" t="s">
        <v>594</v>
      </c>
      <c r="D2634" s="2" t="str">
        <f t="shared" si="40"/>
        <v>Error?</v>
      </c>
    </row>
    <row r="2635" spans="1:4" x14ac:dyDescent="0.2">
      <c r="A2635" s="5">
        <v>2574</v>
      </c>
      <c r="B2635" s="138">
        <f>'Acct Summary 7-8'!E17</f>
        <v>52398</v>
      </c>
      <c r="C2635" s="2" t="s">
        <v>594</v>
      </c>
      <c r="D2635" s="2" t="str">
        <f t="shared" si="40"/>
        <v>Error?</v>
      </c>
    </row>
    <row r="2636" spans="1:4" x14ac:dyDescent="0.2">
      <c r="A2636" s="5">
        <v>2575</v>
      </c>
      <c r="B2636" s="138">
        <f>'Acct Summary 7-8'!E20</f>
        <v>211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3665</v>
      </c>
      <c r="C2660" s="2" t="s">
        <v>594</v>
      </c>
      <c r="D2660" s="2" t="str">
        <f t="shared" si="40"/>
        <v>Error?</v>
      </c>
    </row>
    <row r="2661" spans="1:4" x14ac:dyDescent="0.2">
      <c r="A2661" s="5">
        <v>2600</v>
      </c>
      <c r="B2661" s="138">
        <f>'Acct Summary 7-8'!H17</f>
        <v>3665</v>
      </c>
      <c r="C2661" s="2" t="s">
        <v>594</v>
      </c>
      <c r="D2661" s="2" t="str">
        <f t="shared" si="40"/>
        <v>Error?</v>
      </c>
    </row>
    <row r="2662" spans="1:4" x14ac:dyDescent="0.2">
      <c r="A2662" s="5">
        <v>2601</v>
      </c>
      <c r="B2662" s="138">
        <f>'Acct Summary 7-8'!H20</f>
        <v>-3661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3312</v>
      </c>
      <c r="C2789" s="2" t="s">
        <v>594</v>
      </c>
      <c r="D2789" s="2" t="str">
        <f t="shared" si="42"/>
        <v>Error?</v>
      </c>
    </row>
    <row r="2790" spans="1:4" x14ac:dyDescent="0.2">
      <c r="A2790" s="5">
        <v>2729</v>
      </c>
      <c r="B2790" s="138">
        <f>'Expenditures 15-22'!E102</f>
        <v>3312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23649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23649</v>
      </c>
      <c r="D2914" s="2" t="str">
        <f t="shared" si="44"/>
        <v>Error?</v>
      </c>
    </row>
    <row r="2915" spans="1:4" x14ac:dyDescent="0.2">
      <c r="A2915" s="10">
        <v>2854</v>
      </c>
      <c r="D2915" s="2" t="str">
        <f t="shared" si="44"/>
        <v>OK</v>
      </c>
    </row>
    <row r="2916" spans="1:4" x14ac:dyDescent="0.2">
      <c r="A2916" s="5">
        <v>2855</v>
      </c>
      <c r="B2916" s="138">
        <f>'Assets-Liab 5-6'!L34</f>
        <v>23649</v>
      </c>
      <c r="C2916" s="2" t="s">
        <v>594</v>
      </c>
      <c r="D2916" s="2" t="str">
        <f t="shared" si="44"/>
        <v>Error?</v>
      </c>
    </row>
    <row r="2917" spans="1:4" x14ac:dyDescent="0.2">
      <c r="A2917" s="5">
        <v>2856</v>
      </c>
      <c r="B2917" s="138">
        <f>'Assets-Liab 5-6'!L41</f>
        <v>23649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73407</v>
      </c>
      <c r="D3055" s="2" t="str">
        <f t="shared" si="46"/>
        <v>Error?</v>
      </c>
    </row>
    <row r="3056" spans="1:4" x14ac:dyDescent="0.2">
      <c r="A3056" s="5">
        <v>2995</v>
      </c>
      <c r="B3056" s="138">
        <f>'Expenditures 15-22'!D10</f>
        <v>1175</v>
      </c>
      <c r="D3056" s="2" t="str">
        <f t="shared" si="46"/>
        <v>Error?</v>
      </c>
    </row>
    <row r="3057" spans="1:4" x14ac:dyDescent="0.2">
      <c r="A3057" s="5">
        <v>2996</v>
      </c>
      <c r="B3057" s="138">
        <f>'Expenditures 15-22'!E10</f>
        <v>3112</v>
      </c>
      <c r="D3057" s="2" t="str">
        <f t="shared" si="46"/>
        <v>Error?</v>
      </c>
    </row>
    <row r="3058" spans="1:4" x14ac:dyDescent="0.2">
      <c r="A3058" s="5">
        <v>2997</v>
      </c>
      <c r="B3058" s="138">
        <f>'Expenditures 15-22'!F10</f>
        <v>10884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88578</v>
      </c>
      <c r="C3062" s="2" t="s">
        <v>594</v>
      </c>
      <c r="D3062" s="2" t="str">
        <f t="shared" si="46"/>
        <v>Error?</v>
      </c>
    </row>
    <row r="3063" spans="1:4" x14ac:dyDescent="0.2">
      <c r="A3063" s="10">
        <v>3002</v>
      </c>
      <c r="D3063" s="2" t="str">
        <f t="shared" si="46"/>
        <v>OK</v>
      </c>
    </row>
    <row r="3064" spans="1:4" x14ac:dyDescent="0.2">
      <c r="A3064" s="5">
        <v>3003</v>
      </c>
      <c r="B3064" s="138">
        <f>'Expenditures 15-22'!D219</f>
        <v>11739</v>
      </c>
      <c r="D3064" s="2" t="str">
        <f t="shared" si="46"/>
        <v>Error?</v>
      </c>
    </row>
    <row r="3065" spans="1:4" x14ac:dyDescent="0.2">
      <c r="A3065" s="5">
        <v>3004</v>
      </c>
      <c r="B3065" s="138">
        <f>'Expenditures 15-22'!K219</f>
        <v>11739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9501</v>
      </c>
      <c r="C3225" s="2" t="s">
        <v>594</v>
      </c>
      <c r="D3225" s="2" t="str">
        <f t="shared" si="49"/>
        <v>Error?</v>
      </c>
    </row>
    <row r="3226" spans="1:4" x14ac:dyDescent="0.2">
      <c r="A3226" s="5">
        <v>3165</v>
      </c>
      <c r="B3226" s="138">
        <f>'Acct Summary 7-8'!I8</f>
        <v>9501</v>
      </c>
      <c r="C3226" s="2" t="s">
        <v>594</v>
      </c>
      <c r="D3226" s="2" t="str">
        <f t="shared" si="49"/>
        <v>Error?</v>
      </c>
    </row>
    <row r="3227" spans="1:4" x14ac:dyDescent="0.2">
      <c r="A3227" s="5">
        <v>3166</v>
      </c>
      <c r="B3227" s="138">
        <f>'Acct Summary 7-8'!I20</f>
        <v>9501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9501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9501</v>
      </c>
      <c r="C3232" s="2" t="s">
        <v>594</v>
      </c>
      <c r="D3232" s="2" t="str">
        <f t="shared" si="49"/>
        <v>Error?</v>
      </c>
    </row>
    <row r="3233" spans="1:4" x14ac:dyDescent="0.2">
      <c r="A3233" s="5">
        <v>3172</v>
      </c>
      <c r="B3233" s="138">
        <f>'Acct Summary 7-8'!C78</f>
        <v>163385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11315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11995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-23645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-3661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9501</v>
      </c>
      <c r="C3318" s="2" t="s">
        <v>594</v>
      </c>
      <c r="D3318" s="2" t="str">
        <f t="shared" si="50"/>
        <v>Error?</v>
      </c>
    </row>
    <row r="3319" spans="1:4" x14ac:dyDescent="0.2">
      <c r="A3319" s="5">
        <v>3258</v>
      </c>
      <c r="B3319" s="138">
        <f>'Acct Summary 7-8'!I77</f>
        <v>-9501</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147212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167729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7646</v>
      </c>
      <c r="D3387" s="2" t="str">
        <f t="shared" si="51"/>
        <v>Error?</v>
      </c>
    </row>
    <row r="3388" spans="1:4" x14ac:dyDescent="0.2">
      <c r="A3388" s="5">
        <v>3327</v>
      </c>
      <c r="B3388" s="138">
        <f>'Expenditures 15-22'!D217</f>
        <v>10613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7646</v>
      </c>
      <c r="C3390" s="2" t="s">
        <v>594</v>
      </c>
      <c r="D3390" s="2" t="str">
        <f t="shared" si="51"/>
        <v>Error?</v>
      </c>
    </row>
    <row r="3391" spans="1:4" x14ac:dyDescent="0.2">
      <c r="A3391" s="5">
        <v>3330</v>
      </c>
      <c r="B3391" s="138">
        <f>'Expenditures 15-22'!K217</f>
        <v>10613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950394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12950</v>
      </c>
      <c r="D3417" s="2" t="str">
        <f t="shared" si="52"/>
        <v>Error?</v>
      </c>
    </row>
    <row r="3418" spans="1:4" x14ac:dyDescent="0.2">
      <c r="A3418" s="10">
        <v>3357</v>
      </c>
      <c r="D3418" s="2" t="str">
        <f t="shared" si="52"/>
        <v>OK</v>
      </c>
    </row>
    <row r="3419" spans="1:4" x14ac:dyDescent="0.2">
      <c r="A3419" s="5">
        <v>3358</v>
      </c>
      <c r="B3419" s="138">
        <f>'Assets-Liab 5-6'!F4</f>
        <v>30559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32511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23649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2573</v>
      </c>
      <c r="C3446" s="2" t="s">
        <v>594</v>
      </c>
      <c r="D3446" s="2" t="str">
        <f t="shared" si="52"/>
        <v>Error?</v>
      </c>
    </row>
    <row r="3447" spans="1:4" x14ac:dyDescent="0.2">
      <c r="A3447" s="5">
        <v>3386</v>
      </c>
      <c r="B3447" s="138">
        <f>'Tax Sched 23'!D16</f>
        <v>2573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2574</v>
      </c>
      <c r="C3449" s="2" t="s">
        <v>594</v>
      </c>
      <c r="D3449" s="2" t="str">
        <f t="shared" si="52"/>
        <v>Error?</v>
      </c>
    </row>
    <row r="3450" spans="1:4" x14ac:dyDescent="0.2">
      <c r="A3450" s="5">
        <v>3389</v>
      </c>
      <c r="B3450" s="138">
        <f>'Tax Sched 23'!E16</f>
        <v>2574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66169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66169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66169</v>
      </c>
      <c r="D3567" s="2" t="str">
        <f t="shared" si="54"/>
        <v>Error?</v>
      </c>
    </row>
    <row r="3568" spans="1:4" x14ac:dyDescent="0.2">
      <c r="A3568" s="5">
        <v>3507</v>
      </c>
      <c r="B3568" s="138">
        <f>'Assets-Liab 5-6'!K41</f>
        <v>66169</v>
      </c>
      <c r="C3568" s="2" t="s">
        <v>594</v>
      </c>
      <c r="D3568" s="2" t="str">
        <f t="shared" si="54"/>
        <v>Error?</v>
      </c>
    </row>
    <row r="3569" spans="1:4" x14ac:dyDescent="0.2">
      <c r="A3569" s="5">
        <v>3508</v>
      </c>
      <c r="B3569" s="138">
        <f>'Acct Summary 7-8'!K4</f>
        <v>10572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10572</v>
      </c>
      <c r="C3571" s="2" t="s">
        <v>594</v>
      </c>
      <c r="D3571" s="2" t="str">
        <f t="shared" si="54"/>
        <v>Error?</v>
      </c>
    </row>
    <row r="3572" spans="1:4" x14ac:dyDescent="0.2">
      <c r="A3572" s="5">
        <v>3511</v>
      </c>
      <c r="B3572" s="138">
        <f>'Acct Summary 7-8'!K13</f>
        <v>1824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1824</v>
      </c>
      <c r="C3575" s="2" t="s">
        <v>594</v>
      </c>
      <c r="D3575" s="2" t="str">
        <f t="shared" si="54"/>
        <v>Error?</v>
      </c>
    </row>
    <row r="3576" spans="1:4" x14ac:dyDescent="0.2">
      <c r="A3576" s="5">
        <v>3515</v>
      </c>
      <c r="B3576" s="138">
        <f>'Acct Summary 7-8'!K20</f>
        <v>8748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8748</v>
      </c>
      <c r="C3588" s="2" t="s">
        <v>594</v>
      </c>
      <c r="D3588" s="2" t="str">
        <f t="shared" si="55"/>
        <v>Error?</v>
      </c>
    </row>
    <row r="3589" spans="1:4" x14ac:dyDescent="0.2">
      <c r="A3589" s="5">
        <v>3528</v>
      </c>
      <c r="B3589" s="138">
        <f>'Acct Summary 7-8'!K79</f>
        <v>57421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66169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354</v>
      </c>
      <c r="D3631" s="2" t="str">
        <f t="shared" si="55"/>
        <v>Error?</v>
      </c>
    </row>
    <row r="3632" spans="1:4" x14ac:dyDescent="0.2">
      <c r="A3632" s="5">
        <v>3571</v>
      </c>
      <c r="B3632" s="138">
        <f>'Expenditures 15-22'!E349</f>
        <v>1470</v>
      </c>
      <c r="D3632" s="2" t="str">
        <f t="shared" si="55"/>
        <v>Error?</v>
      </c>
    </row>
    <row r="3633" spans="1:4" x14ac:dyDescent="0.2">
      <c r="A3633" s="5">
        <v>3572</v>
      </c>
      <c r="B3633" s="138">
        <f>'Expenditures 15-22'!E350</f>
        <v>1824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1824</v>
      </c>
      <c r="C3635" s="2" t="s">
        <v>594</v>
      </c>
      <c r="D3635" s="2" t="str">
        <f t="shared" si="55"/>
        <v>Error?</v>
      </c>
    </row>
    <row r="3636" spans="1:4" x14ac:dyDescent="0.2">
      <c r="A3636" s="5">
        <v>3575</v>
      </c>
      <c r="B3636" s="138">
        <f>'Expenditures 15-22'!E367</f>
        <v>1824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354</v>
      </c>
      <c r="C3668" s="2" t="s">
        <v>594</v>
      </c>
      <c r="D3668" s="2" t="str">
        <f t="shared" si="56"/>
        <v>Error?</v>
      </c>
    </row>
    <row r="3669" spans="1:4" x14ac:dyDescent="0.2">
      <c r="A3669" s="5">
        <v>3608</v>
      </c>
      <c r="B3669" s="138">
        <f>'Expenditures 15-22'!K349</f>
        <v>1470</v>
      </c>
      <c r="C3669" s="2" t="s">
        <v>594</v>
      </c>
      <c r="D3669" s="2" t="str">
        <f t="shared" si="56"/>
        <v>Error?</v>
      </c>
    </row>
    <row r="3670" spans="1:4" x14ac:dyDescent="0.2">
      <c r="A3670" s="5">
        <v>3609</v>
      </c>
      <c r="B3670" s="138">
        <f>'Expenditures 15-22'!K350</f>
        <v>1824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1824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1824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8748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3665</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61801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536704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1901847</v>
      </c>
      <c r="C4122" s="2" t="s">
        <v>594</v>
      </c>
      <c r="D4122" s="2" t="str">
        <f t="shared" si="63"/>
        <v>Error?</v>
      </c>
    </row>
    <row r="4123" spans="1:4" x14ac:dyDescent="0.2">
      <c r="A4123" s="5">
        <v>4062</v>
      </c>
      <c r="B4123" s="138">
        <f>'Acct Summary 7-8'!D10</f>
        <v>114134</v>
      </c>
      <c r="C4123" s="2" t="s">
        <v>594</v>
      </c>
      <c r="D4123" s="2" t="str">
        <f t="shared" si="63"/>
        <v>Error?</v>
      </c>
    </row>
    <row r="4124" spans="1:4" x14ac:dyDescent="0.2">
      <c r="A4124" s="5">
        <v>4063</v>
      </c>
      <c r="B4124" s="138">
        <f>'Acct Summary 7-8'!E10</f>
        <v>52609</v>
      </c>
      <c r="C4124" s="2" t="s">
        <v>594</v>
      </c>
      <c r="D4124" s="2" t="str">
        <f t="shared" si="63"/>
        <v>Error?</v>
      </c>
    </row>
    <row r="4125" spans="1:4" x14ac:dyDescent="0.2">
      <c r="A4125" s="5">
        <v>4064</v>
      </c>
      <c r="B4125" s="138">
        <f>'Acct Summary 7-8'!F10</f>
        <v>66894</v>
      </c>
      <c r="C4125" s="2" t="s">
        <v>594</v>
      </c>
      <c r="D4125" s="2" t="str">
        <f t="shared" si="63"/>
        <v>Error?</v>
      </c>
    </row>
    <row r="4126" spans="1:4" x14ac:dyDescent="0.2">
      <c r="A4126" s="5">
        <v>4065</v>
      </c>
      <c r="B4126" s="138">
        <f>'Acct Summary 7-8'!G10</f>
        <v>36234</v>
      </c>
      <c r="C4126" s="2" t="s">
        <v>594</v>
      </c>
      <c r="D4126" s="2" t="str">
        <f t="shared" si="63"/>
        <v>Error?</v>
      </c>
    </row>
    <row r="4127" spans="1:4" x14ac:dyDescent="0.2">
      <c r="A4127" s="5">
        <v>4066</v>
      </c>
      <c r="B4127" s="138">
        <f>'Acct Summary 7-8'!H10</f>
        <v>4</v>
      </c>
      <c r="C4127" s="2" t="s">
        <v>594</v>
      </c>
      <c r="D4127" s="2" t="str">
        <f t="shared" si="63"/>
        <v>Error?</v>
      </c>
    </row>
    <row r="4128" spans="1:4" x14ac:dyDescent="0.2">
      <c r="A4128" s="5">
        <v>4067</v>
      </c>
      <c r="B4128" s="138">
        <f>'Acct Summary 7-8'!I10</f>
        <v>9501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10572</v>
      </c>
      <c r="C4130" s="2" t="s">
        <v>594</v>
      </c>
      <c r="D4130" s="2" t="str">
        <f t="shared" si="63"/>
        <v>Error?</v>
      </c>
    </row>
    <row r="4131" spans="1:4" x14ac:dyDescent="0.2">
      <c r="A4131" s="5">
        <v>4070</v>
      </c>
      <c r="B4131" s="138">
        <f>'Acct Summary 7-8'!C18</f>
        <v>536704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1747963</v>
      </c>
      <c r="C4136" s="2" t="s">
        <v>594</v>
      </c>
      <c r="D4136" s="2" t="str">
        <f t="shared" si="63"/>
        <v>Error?</v>
      </c>
    </row>
    <row r="4137" spans="1:4" x14ac:dyDescent="0.2">
      <c r="A4137" s="5">
        <v>4076</v>
      </c>
      <c r="B4137" s="138">
        <f>'Acct Summary 7-8'!D19</f>
        <v>102819</v>
      </c>
      <c r="C4137" s="2" t="s">
        <v>594</v>
      </c>
      <c r="D4137" s="2" t="str">
        <f t="shared" si="63"/>
        <v>Error?</v>
      </c>
    </row>
    <row r="4138" spans="1:4" x14ac:dyDescent="0.2">
      <c r="A4138" s="5">
        <v>4077</v>
      </c>
      <c r="B4138" s="138">
        <f>'Acct Summary 7-8'!E19</f>
        <v>52398</v>
      </c>
      <c r="C4138" s="2" t="s">
        <v>594</v>
      </c>
      <c r="D4138" s="2" t="str">
        <f t="shared" si="63"/>
        <v>Error?</v>
      </c>
    </row>
    <row r="4139" spans="1:4" x14ac:dyDescent="0.2">
      <c r="A4139" s="5">
        <v>4078</v>
      </c>
      <c r="B4139" s="138">
        <f>'Acct Summary 7-8'!F19</f>
        <v>54899</v>
      </c>
      <c r="C4139" s="2" t="s">
        <v>594</v>
      </c>
      <c r="D4139" s="2" t="str">
        <f t="shared" si="63"/>
        <v>Error?</v>
      </c>
    </row>
    <row r="4140" spans="1:4" x14ac:dyDescent="0.2">
      <c r="A4140" s="5">
        <v>4079</v>
      </c>
      <c r="B4140" s="138">
        <f>'Acct Summary 7-8'!G19</f>
        <v>59879</v>
      </c>
      <c r="C4140" s="2" t="s">
        <v>594</v>
      </c>
      <c r="D4140" s="2" t="str">
        <f t="shared" si="63"/>
        <v>Error?</v>
      </c>
    </row>
    <row r="4141" spans="1:4" x14ac:dyDescent="0.2">
      <c r="A4141" s="5">
        <v>4080</v>
      </c>
      <c r="B4141" s="138">
        <f>'Acct Summary 7-8'!H19</f>
        <v>3665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1824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185000</v>
      </c>
      <c r="C4171" s="2" t="s">
        <v>594</v>
      </c>
      <c r="D4171" s="2" t="str">
        <f t="shared" si="64"/>
        <v>Error?</v>
      </c>
    </row>
    <row r="4172" spans="1:4" x14ac:dyDescent="0.2">
      <c r="A4172" s="5">
        <v>4111</v>
      </c>
      <c r="B4172" s="138">
        <f>'Short-Term Long-Term Debt 24'!J49</f>
        <v>172050</v>
      </c>
      <c r="C4172" s="2" t="s">
        <v>594</v>
      </c>
      <c r="D4172" s="2" t="str">
        <f t="shared" si="64"/>
        <v>Error?</v>
      </c>
    </row>
    <row r="4173" spans="1:4" x14ac:dyDescent="0.2">
      <c r="A4173" s="5">
        <v>4112</v>
      </c>
      <c r="B4173" s="138">
        <f>'Short-Term Long-Term Debt 24'!H49</f>
        <v>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1382.81</v>
      </c>
      <c r="C4265" s="2" t="s">
        <v>594</v>
      </c>
      <c r="D4265" s="2" t="str">
        <f t="shared" si="65"/>
        <v>Error?</v>
      </c>
      <c r="E4265" s="128"/>
    </row>
    <row r="4266" spans="1:5" x14ac:dyDescent="0.2">
      <c r="A4266" s="12">
        <v>4205</v>
      </c>
      <c r="B4266" s="138">
        <f>('FP Info 3'!F10)*100000</f>
        <v>294.32</v>
      </c>
      <c r="C4266" s="2" t="s">
        <v>594</v>
      </c>
      <c r="D4266" s="2" t="str">
        <f t="shared" si="65"/>
        <v>Error?</v>
      </c>
      <c r="E4266" s="128"/>
    </row>
    <row r="4267" spans="1:5" x14ac:dyDescent="0.2">
      <c r="A4267" s="12">
        <v>4206</v>
      </c>
      <c r="B4267" s="138">
        <f>('FP Info 3'!H10)*100000</f>
        <v>135.29</v>
      </c>
      <c r="C4267" s="2" t="s">
        <v>594</v>
      </c>
      <c r="D4267" s="2" t="str">
        <f t="shared" si="65"/>
        <v>Error?</v>
      </c>
      <c r="E4267" s="128"/>
    </row>
    <row r="4268" spans="1:5" x14ac:dyDescent="0.2">
      <c r="A4268" s="12">
        <v>4207</v>
      </c>
      <c r="B4268" s="138">
        <f>('FP Info 3'!J10)*100000</f>
        <v>1812</v>
      </c>
      <c r="C4268" s="2" t="s">
        <v>594</v>
      </c>
      <c r="D4268" s="2" t="str">
        <f t="shared" si="65"/>
        <v>Error?</v>
      </c>
    </row>
    <row r="4269" spans="1:5" x14ac:dyDescent="0.2">
      <c r="A4269" s="12">
        <v>4208</v>
      </c>
      <c r="B4269" s="138">
        <f>'FP Info 3'!J16</f>
        <v>1042108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36244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1839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21573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20845803</v>
      </c>
      <c r="D4995" s="2" t="str">
        <f t="shared" si="77"/>
        <v>Error?</v>
      </c>
    </row>
    <row r="4996" spans="1:4" x14ac:dyDescent="0.2">
      <c r="A4996" s="12">
        <v>4935</v>
      </c>
      <c r="B4996" s="138">
        <f>'FP Info 3'!H31</f>
        <v>1438360.4070000001</v>
      </c>
      <c r="D4996" s="2" t="str">
        <f t="shared" si="77"/>
        <v>Error?</v>
      </c>
    </row>
    <row r="4997" spans="1:4" x14ac:dyDescent="0.2">
      <c r="A4997" s="12">
        <v>4936</v>
      </c>
      <c r="B4997" s="138">
        <f>'FP Info 3'!H37</f>
        <v>185000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277119</v>
      </c>
      <c r="D5061" s="2" t="str">
        <f t="shared" si="78"/>
        <v>Error?</v>
      </c>
    </row>
    <row r="5062" spans="1:4" x14ac:dyDescent="0.2">
      <c r="A5062" s="10">
        <v>5001</v>
      </c>
      <c r="D5062" s="2" t="str">
        <f t="shared" si="78"/>
        <v>OK</v>
      </c>
    </row>
    <row r="5063" spans="1:4" x14ac:dyDescent="0.2">
      <c r="A5063" s="5">
        <v>5002</v>
      </c>
      <c r="B5063" s="138">
        <f>'Revenues 9-14'!C7</f>
        <v>4552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281671</v>
      </c>
      <c r="C5066" s="2" t="s">
        <v>594</v>
      </c>
      <c r="D5066" s="2" t="str">
        <f t="shared" si="78"/>
        <v>Error?</v>
      </c>
    </row>
    <row r="5067" spans="1:4" x14ac:dyDescent="0.2">
      <c r="A5067" s="5">
        <v>5006</v>
      </c>
      <c r="B5067" s="138">
        <f>'Revenues 9-14'!C14</f>
        <v>2538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105182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107720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2162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2162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519</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1055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627</v>
      </c>
      <c r="D5118" s="2" t="str">
        <f t="shared" si="78"/>
        <v>Error?</v>
      </c>
    </row>
    <row r="5119" spans="1:4" x14ac:dyDescent="0.2">
      <c r="A5119" s="5">
        <v>5058</v>
      </c>
      <c r="B5119" s="138">
        <f>'Revenues 9-14'!C107</f>
        <v>4027</v>
      </c>
      <c r="D5119" s="2" t="str">
        <f t="shared" ref="D5119:D5182" si="79">IF(ISBLANK(B5119),"OK",IF(A5119-B5119=0,"OK","Error?"))</f>
        <v>Error?</v>
      </c>
    </row>
    <row r="5120" spans="1:4" x14ac:dyDescent="0.2">
      <c r="A5120" s="5">
        <v>5059</v>
      </c>
      <c r="B5120" s="138">
        <f>'Revenues 9-14'!C108</f>
        <v>4654</v>
      </c>
      <c r="C5120" s="2" t="s">
        <v>594</v>
      </c>
      <c r="D5120" s="2" t="str">
        <f t="shared" si="79"/>
        <v>Error?</v>
      </c>
    </row>
    <row r="5121" spans="1:4" x14ac:dyDescent="0.2">
      <c r="A5121" s="5">
        <v>5060</v>
      </c>
      <c r="B5121" s="138">
        <f>'Revenues 9-14'!C109</f>
        <v>397810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630565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630565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12450</v>
      </c>
      <c r="D5134" s="2" t="str">
        <f t="shared" si="79"/>
        <v>Error?</v>
      </c>
    </row>
    <row r="5135" spans="1:4" x14ac:dyDescent="0.2">
      <c r="A5135" s="5">
        <v>5074</v>
      </c>
      <c r="B5135" s="138">
        <f>'Revenues 9-14'!C126</f>
        <v>19339</v>
      </c>
      <c r="D5135" s="2" t="str">
        <f t="shared" si="79"/>
        <v>Error?</v>
      </c>
    </row>
    <row r="5136" spans="1:4" x14ac:dyDescent="0.2">
      <c r="A5136" s="10">
        <v>5075</v>
      </c>
      <c r="D5136" s="2" t="str">
        <f t="shared" si="79"/>
        <v>OK</v>
      </c>
    </row>
    <row r="5137" spans="1:4" x14ac:dyDescent="0.2">
      <c r="A5137" s="5">
        <v>5076</v>
      </c>
      <c r="B5137" s="138">
        <f>'Revenues 9-14'!C127</f>
        <v>6722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38511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2508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41019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671584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21573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85031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39148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134026</v>
      </c>
      <c r="C5246" s="2" t="s">
        <v>594</v>
      </c>
      <c r="D5246" s="2" t="str">
        <f t="shared" si="80"/>
        <v>Error?</v>
      </c>
    </row>
    <row r="5247" spans="1:4" x14ac:dyDescent="0.2">
      <c r="A5247" s="5">
        <v>5186</v>
      </c>
      <c r="B5247" s="138">
        <f>'Revenues 9-14'!C203</f>
        <v>77972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1839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77972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14983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14983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274176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295749</v>
      </c>
      <c r="C5326" s="2" t="s">
        <v>594</v>
      </c>
      <c r="D5326" s="2" t="str">
        <f t="shared" si="82"/>
        <v>Error?</v>
      </c>
    </row>
    <row r="5327" spans="1:4" x14ac:dyDescent="0.2">
      <c r="A5327" s="5">
        <v>5266</v>
      </c>
      <c r="B5327" s="138">
        <f>'Revenues 9-14'!C275</f>
        <v>1365143</v>
      </c>
      <c r="C5327" s="2" t="s">
        <v>594</v>
      </c>
      <c r="D5327" s="2" t="str">
        <f t="shared" si="82"/>
        <v>Error?</v>
      </c>
    </row>
    <row r="5328" spans="1:4" x14ac:dyDescent="0.2">
      <c r="A5328" s="5">
        <v>5267</v>
      </c>
      <c r="B5328" s="138">
        <f>'Revenues 9-14'!D5</f>
        <v>57372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57372</v>
      </c>
      <c r="C5334" s="2" t="s">
        <v>594</v>
      </c>
      <c r="D5334" s="2" t="str">
        <f t="shared" si="82"/>
        <v>Error?</v>
      </c>
    </row>
    <row r="5335" spans="1:4" x14ac:dyDescent="0.2">
      <c r="A5335" s="5">
        <v>5274</v>
      </c>
      <c r="B5335" s="138">
        <f>'Revenues 9-14'!D14</f>
        <v>512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512</v>
      </c>
      <c r="C5339" s="2" t="s">
        <v>594</v>
      </c>
      <c r="D5339" s="2" t="str">
        <f t="shared" si="82"/>
        <v>Error?</v>
      </c>
    </row>
    <row r="5340" spans="1:4" x14ac:dyDescent="0.2">
      <c r="A5340" s="5">
        <v>5279</v>
      </c>
      <c r="B5340" s="138">
        <f>'Revenues 9-14'!D65</f>
        <v>136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1665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4449</v>
      </c>
      <c r="D5354" s="2" t="str">
        <f t="shared" si="82"/>
        <v>Error?</v>
      </c>
    </row>
    <row r="5355" spans="1:4" x14ac:dyDescent="0.2">
      <c r="A5355" s="5">
        <v>5294</v>
      </c>
      <c r="B5355" s="138">
        <f>'Revenues 9-14'!D108</f>
        <v>6114</v>
      </c>
      <c r="C5355" s="2" t="s">
        <v>594</v>
      </c>
      <c r="D5355" s="2" t="str">
        <f t="shared" si="82"/>
        <v>Error?</v>
      </c>
    </row>
    <row r="5356" spans="1:4" x14ac:dyDescent="0.2">
      <c r="A5356" s="5">
        <v>5295</v>
      </c>
      <c r="B5356" s="138">
        <f>'Revenues 9-14'!D109</f>
        <v>64134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114134</v>
      </c>
      <c r="C5508" s="2" t="s">
        <v>594</v>
      </c>
      <c r="D5508" s="2" t="str">
        <f t="shared" si="85"/>
        <v>Error?</v>
      </c>
    </row>
    <row r="5509" spans="1:4" x14ac:dyDescent="0.2">
      <c r="A5509" s="5">
        <v>5448</v>
      </c>
      <c r="B5509" s="138">
        <f>'Revenues 9-14'!E5</f>
        <v>27687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27687</v>
      </c>
      <c r="C5513" s="2" t="s">
        <v>594</v>
      </c>
      <c r="D5513" s="2" t="str">
        <f t="shared" si="85"/>
        <v>Error?</v>
      </c>
    </row>
    <row r="5514" spans="1:4" x14ac:dyDescent="0.2">
      <c r="A5514" s="5">
        <v>5453</v>
      </c>
      <c r="B5514" s="138">
        <f>'Revenues 9-14'!E14</f>
        <v>247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247</v>
      </c>
      <c r="C5518" s="2" t="s">
        <v>594</v>
      </c>
      <c r="D5518" s="2" t="str">
        <f t="shared" si="85"/>
        <v>Error?</v>
      </c>
    </row>
    <row r="5519" spans="1:4" x14ac:dyDescent="0.2">
      <c r="A5519" s="5">
        <v>5458</v>
      </c>
      <c r="B5519" s="138">
        <f>'Revenues 9-14'!E65</f>
        <v>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27984</v>
      </c>
      <c r="C5527" s="2" t="s">
        <v>594</v>
      </c>
      <c r="D5527" s="2" t="str">
        <f t="shared" si="85"/>
        <v>Error?</v>
      </c>
    </row>
    <row r="5528" spans="1:4" x14ac:dyDescent="0.2">
      <c r="A5528" s="5">
        <v>5467</v>
      </c>
      <c r="B5528" s="138">
        <f>'Revenues 9-14'!E117</f>
        <v>24625</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24625</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24625</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52609</v>
      </c>
      <c r="C5552" s="2" t="s">
        <v>594</v>
      </c>
      <c r="D5552" s="2" t="str">
        <f t="shared" si="85"/>
        <v>Error?</v>
      </c>
    </row>
    <row r="5553" spans="1:4" x14ac:dyDescent="0.2">
      <c r="A5553" s="5">
        <v>5492</v>
      </c>
      <c r="B5553" s="138">
        <f>'Revenues 9-14'!F5</f>
        <v>26709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26709</v>
      </c>
      <c r="C5557" s="2" t="s">
        <v>594</v>
      </c>
      <c r="D5557" s="2" t="str">
        <f t="shared" si="85"/>
        <v>Error?</v>
      </c>
    </row>
    <row r="5558" spans="1:4" x14ac:dyDescent="0.2">
      <c r="A5558" s="5">
        <v>5497</v>
      </c>
      <c r="B5558" s="138">
        <f>'Revenues 9-14'!F14</f>
        <v>238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1800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2038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28816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19962</v>
      </c>
      <c r="D5615" s="2" t="str">
        <f t="shared" si="86"/>
        <v>Error?</v>
      </c>
    </row>
    <row r="5616" spans="1:4" x14ac:dyDescent="0.2">
      <c r="A5616" s="10">
        <v>5555</v>
      </c>
      <c r="D5616" s="2" t="str">
        <f t="shared" si="86"/>
        <v>OK</v>
      </c>
    </row>
    <row r="5617" spans="1:4" x14ac:dyDescent="0.2">
      <c r="A5617" s="5">
        <v>5556</v>
      </c>
      <c r="B5617" s="138">
        <f>'Revenues 9-14'!F152</f>
        <v>3116</v>
      </c>
      <c r="D5617" s="2" t="str">
        <f t="shared" si="86"/>
        <v>Error?</v>
      </c>
    </row>
    <row r="5618" spans="1:4" x14ac:dyDescent="0.2">
      <c r="A5618" s="5">
        <v>5557</v>
      </c>
      <c r="B5618" s="138">
        <f>'Revenues 9-14'!F154</f>
        <v>23078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23078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38078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66894</v>
      </c>
      <c r="C5720" s="2" t="s">
        <v>594</v>
      </c>
      <c r="D5720" s="2" t="str">
        <f t="shared" si="88"/>
        <v>Error?</v>
      </c>
    </row>
    <row r="5721" spans="1:4" x14ac:dyDescent="0.2">
      <c r="A5721" s="5">
        <v>5660</v>
      </c>
      <c r="B5721" s="138">
        <f>'Revenues 9-14'!G5</f>
        <v>26709</v>
      </c>
      <c r="D5721" s="2" t="str">
        <f t="shared" si="88"/>
        <v>Error?</v>
      </c>
    </row>
    <row r="5722" spans="1:4" x14ac:dyDescent="0.2">
      <c r="A5722" s="5">
        <v>5661</v>
      </c>
      <c r="B5722" s="138">
        <f>'Revenues 9-14'!G7</f>
        <v>0</v>
      </c>
      <c r="D5722" s="2" t="str">
        <f t="shared" si="88"/>
        <v>Error?</v>
      </c>
    </row>
    <row r="5723" spans="1:4" x14ac:dyDescent="0.2">
      <c r="A5723" s="5">
        <v>5662</v>
      </c>
      <c r="B5723" s="138">
        <f>'Revenues 9-14'!G8</f>
        <v>2573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29282</v>
      </c>
      <c r="C5725" s="2" t="s">
        <v>594</v>
      </c>
      <c r="D5725" s="2" t="str">
        <f t="shared" si="88"/>
        <v>Error?</v>
      </c>
    </row>
    <row r="5726" spans="1:4" x14ac:dyDescent="0.2">
      <c r="A5726" s="5">
        <v>5665</v>
      </c>
      <c r="B5726" s="138">
        <f>'Revenues 9-14'!G14</f>
        <v>238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238</v>
      </c>
      <c r="C5730" s="2" t="s">
        <v>594</v>
      </c>
      <c r="D5730" s="2" t="str">
        <f t="shared" si="88"/>
        <v>Error?</v>
      </c>
    </row>
    <row r="5731" spans="1:4" x14ac:dyDescent="0.2">
      <c r="A5731" s="5">
        <v>5670</v>
      </c>
      <c r="B5731" s="138">
        <f>'Revenues 9-14'!G65</f>
        <v>214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6500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6500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6500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6500</v>
      </c>
      <c r="C5869" s="2" t="s">
        <v>594</v>
      </c>
      <c r="D5869" s="2" t="str">
        <f t="shared" si="90"/>
        <v>Error?</v>
      </c>
    </row>
    <row r="5870" spans="1:4" x14ac:dyDescent="0.2">
      <c r="A5870" s="5">
        <v>5809</v>
      </c>
      <c r="B5870" s="138">
        <f>'Revenues 9-14'!G275</f>
        <v>36234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v>
      </c>
      <c r="C5915" s="2" t="s">
        <v>594</v>
      </c>
      <c r="D5915" s="2" t="str">
        <f t="shared" si="91"/>
        <v>Error?</v>
      </c>
    </row>
    <row r="5916" spans="1:4" x14ac:dyDescent="0.2">
      <c r="A5916" s="5">
        <v>5855</v>
      </c>
      <c r="B5916" s="138">
        <f>'Revenues 9-14'!I5</f>
        <v>9399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9399</v>
      </c>
      <c r="C5918" s="2" t="s">
        <v>594</v>
      </c>
      <c r="D5918" s="2" t="str">
        <f t="shared" si="91"/>
        <v>Error?</v>
      </c>
    </row>
    <row r="5919" spans="1:4" x14ac:dyDescent="0.2">
      <c r="A5919" s="5">
        <v>5858</v>
      </c>
      <c r="B5919" s="138">
        <f>'Revenues 9-14'!I14</f>
        <v>84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84</v>
      </c>
      <c r="C5923" s="2" t="s">
        <v>594</v>
      </c>
      <c r="D5923" s="2" t="str">
        <f t="shared" si="91"/>
        <v>Error?</v>
      </c>
    </row>
    <row r="5924" spans="1:4" x14ac:dyDescent="0.2">
      <c r="A5924" s="5">
        <v>5863</v>
      </c>
      <c r="B5924" s="138">
        <f>'Revenues 9-14'!I65</f>
        <v>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9501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10387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10387</v>
      </c>
      <c r="C5987" s="2" t="s">
        <v>594</v>
      </c>
      <c r="D5987" s="2" t="str">
        <f t="shared" si="92"/>
        <v>Error?</v>
      </c>
    </row>
    <row r="5988" spans="1:4" x14ac:dyDescent="0.2">
      <c r="A5988" s="5">
        <v>5927</v>
      </c>
      <c r="B5988" s="138">
        <f>'Revenues 9-14'!K14</f>
        <v>93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93</v>
      </c>
      <c r="C5992" s="2" t="s">
        <v>594</v>
      </c>
      <c r="D5992" s="2" t="str">
        <f t="shared" si="92"/>
        <v>Error?</v>
      </c>
    </row>
    <row r="5993" spans="1:4" x14ac:dyDescent="0.2">
      <c r="A5993" s="5">
        <v>5932</v>
      </c>
      <c r="B5993" s="138">
        <f>'Revenues 9-14'!K65</f>
        <v>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10572</v>
      </c>
      <c r="C6023" s="2" t="s">
        <v>594</v>
      </c>
      <c r="D6023" s="2" t="str">
        <f t="shared" si="93"/>
        <v>Error?</v>
      </c>
    </row>
    <row r="6024" spans="1:5" x14ac:dyDescent="0.2">
      <c r="A6024" s="5">
        <v>5963</v>
      </c>
      <c r="B6024" s="138">
        <f>'Revenues 9-14'!G109</f>
        <v>29734</v>
      </c>
      <c r="C6024" s="2" t="s">
        <v>594</v>
      </c>
      <c r="D6024" s="2" t="str">
        <f t="shared" si="93"/>
        <v>Error?</v>
      </c>
    </row>
    <row r="6025" spans="1:5" x14ac:dyDescent="0.2">
      <c r="A6025" s="5">
        <v>5964</v>
      </c>
      <c r="B6025" s="138">
        <f>'Revenues 9-14'!H109</f>
        <v>4</v>
      </c>
      <c r="C6025" s="2" t="s">
        <v>594</v>
      </c>
      <c r="D6025" s="2" t="str">
        <f t="shared" si="93"/>
        <v>Error?</v>
      </c>
    </row>
    <row r="6026" spans="1:5" x14ac:dyDescent="0.2">
      <c r="A6026" s="5">
        <v>5965</v>
      </c>
      <c r="B6026" s="138">
        <f>'Revenues 9-14'!I109</f>
        <v>9501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10572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8400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161.30000000000001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12500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38649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12500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38649</v>
      </c>
      <c r="D6215" s="2" t="str">
        <f t="shared" si="96"/>
        <v>Error?</v>
      </c>
      <c r="E6215" s="2" t="s">
        <v>199</v>
      </c>
    </row>
    <row r="6216" spans="1:5" x14ac:dyDescent="0.2">
      <c r="A6216">
        <v>6155</v>
      </c>
      <c r="B6216" s="138">
        <f>'Assets-Liab 5-6'!J41</f>
        <v>38649</v>
      </c>
      <c r="D6216" s="2" t="str">
        <f t="shared" si="96"/>
        <v>Error?</v>
      </c>
      <c r="E6216" s="2" t="s">
        <v>199</v>
      </c>
    </row>
    <row r="6217" spans="1:5" x14ac:dyDescent="0.2">
      <c r="A6217">
        <v>6156</v>
      </c>
      <c r="B6217" s="138">
        <f>'Assets-Liab 5-6'!J4</f>
        <v>38649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136537</v>
      </c>
      <c r="D6220" s="2" t="str">
        <f t="shared" si="96"/>
        <v>Error?</v>
      </c>
      <c r="E6220" s="2" t="s">
        <v>199</v>
      </c>
    </row>
    <row r="6221" spans="1:5" x14ac:dyDescent="0.2">
      <c r="A6221">
        <v>6160</v>
      </c>
      <c r="B6221" s="138">
        <f>'Acct Summary 7-8'!J6</f>
        <v>15000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151537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151537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114831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114831</v>
      </c>
      <c r="D6229" s="2" t="str">
        <f t="shared" si="96"/>
        <v>Error?</v>
      </c>
      <c r="E6229" s="2" t="s">
        <v>199</v>
      </c>
    </row>
    <row r="6230" spans="1:5" x14ac:dyDescent="0.2">
      <c r="A6230">
        <v>6169</v>
      </c>
      <c r="B6230" s="138">
        <f>'Acct Summary 7-8'!J20</f>
        <v>36706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36706</v>
      </c>
      <c r="D6263" s="2" t="str">
        <f t="shared" si="96"/>
        <v>Error?</v>
      </c>
      <c r="E6263" s="2" t="s">
        <v>199</v>
      </c>
    </row>
    <row r="6264" spans="1:5" x14ac:dyDescent="0.2">
      <c r="A6264">
        <v>6203</v>
      </c>
      <c r="B6264" s="138">
        <f>'Acct Summary 7-8'!J79</f>
        <v>1943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38649</v>
      </c>
      <c r="D6266" s="2" t="str">
        <f t="shared" si="96"/>
        <v>Error?</v>
      </c>
      <c r="E6266" s="2" t="s">
        <v>199</v>
      </c>
    </row>
    <row r="6267" spans="1:5" x14ac:dyDescent="0.2">
      <c r="A6267">
        <v>6206</v>
      </c>
      <c r="B6267" s="138">
        <f>'Acct Summary 7-8'!C82</f>
        <v>163385</v>
      </c>
      <c r="D6267" s="2" t="str">
        <f t="shared" si="96"/>
        <v>Error?</v>
      </c>
      <c r="E6267" s="2" t="s">
        <v>199</v>
      </c>
    </row>
    <row r="6268" spans="1:5" x14ac:dyDescent="0.2">
      <c r="A6268">
        <v>6207</v>
      </c>
      <c r="B6268" s="138">
        <f>'Acct Summary 7-8'!D82</f>
        <v>11315</v>
      </c>
      <c r="D6268" s="2" t="str">
        <f t="shared" si="96"/>
        <v>Error?</v>
      </c>
      <c r="E6268" s="2" t="s">
        <v>199</v>
      </c>
    </row>
    <row r="6269" spans="1:5" x14ac:dyDescent="0.2">
      <c r="A6269">
        <v>6208</v>
      </c>
      <c r="B6269" s="138">
        <f>'Acct Summary 7-8'!E82</f>
        <v>211</v>
      </c>
      <c r="D6269" s="2" t="str">
        <f t="shared" si="96"/>
        <v>Error?</v>
      </c>
      <c r="E6269" s="2" t="s">
        <v>199</v>
      </c>
    </row>
    <row r="6270" spans="1:5" x14ac:dyDescent="0.2">
      <c r="A6270">
        <v>6209</v>
      </c>
      <c r="B6270" s="138">
        <f>'Acct Summary 7-8'!F82</f>
        <v>11995</v>
      </c>
      <c r="D6270" s="2" t="str">
        <f t="shared" si="96"/>
        <v>Error?</v>
      </c>
      <c r="E6270" s="2" t="s">
        <v>199</v>
      </c>
    </row>
    <row r="6271" spans="1:5" x14ac:dyDescent="0.2">
      <c r="A6271">
        <v>6210</v>
      </c>
      <c r="B6271" s="138">
        <f>'Acct Summary 7-8'!G82</f>
        <v>-23645</v>
      </c>
      <c r="D6271" s="2" t="str">
        <f t="shared" ref="D6271:D6334" si="97">IF(ISBLANK(B6271),"OK",IF(A6271-B6271=0,"OK","Error?"))</f>
        <v>Error?</v>
      </c>
      <c r="E6271" s="2" t="s">
        <v>199</v>
      </c>
    </row>
    <row r="6272" spans="1:5" x14ac:dyDescent="0.2">
      <c r="A6272">
        <v>6211</v>
      </c>
      <c r="B6272" s="138">
        <f>'Acct Summary 7-8'!H82</f>
        <v>-3661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36706</v>
      </c>
      <c r="D6274" s="2" t="str">
        <f t="shared" si="97"/>
        <v>Error?</v>
      </c>
      <c r="E6274" s="2" t="s">
        <v>199</v>
      </c>
    </row>
    <row r="6275" spans="1:5" x14ac:dyDescent="0.2">
      <c r="A6275">
        <v>6214</v>
      </c>
      <c r="B6275" s="138">
        <f>'Acct Summary 7-8'!K82</f>
        <v>8748</v>
      </c>
      <c r="D6275" s="2" t="str">
        <f t="shared" si="97"/>
        <v>Error?</v>
      </c>
      <c r="E6275" s="2" t="s">
        <v>199</v>
      </c>
    </row>
    <row r="6276" spans="1:5" x14ac:dyDescent="0.2">
      <c r="A6276">
        <v>6215</v>
      </c>
      <c r="B6276" s="138">
        <f>'Acct Summary 7-8'!C83</f>
        <v>0.16968119024523987</v>
      </c>
      <c r="D6276" s="2" t="str">
        <f t="shared" si="97"/>
        <v>Error?</v>
      </c>
      <c r="E6276" s="2" t="s">
        <v>199</v>
      </c>
    </row>
    <row r="6277" spans="1:5" x14ac:dyDescent="0.2">
      <c r="A6277">
        <v>6216</v>
      </c>
      <c r="B6277" s="138">
        <f>'Acct Summary 7-8'!D83</f>
        <v>0.23255574966601583</v>
      </c>
      <c r="D6277" s="2" t="str">
        <f t="shared" si="97"/>
        <v>Error?</v>
      </c>
      <c r="E6277" s="2" t="s">
        <v>199</v>
      </c>
    </row>
    <row r="6278" spans="1:5" x14ac:dyDescent="0.2">
      <c r="A6278">
        <v>6217</v>
      </c>
      <c r="B6278" s="138">
        <f>'Acct Summary 7-8'!E83</f>
        <v>0.46888888888888891</v>
      </c>
      <c r="D6278" s="2" t="str">
        <f t="shared" si="97"/>
        <v>Error?</v>
      </c>
      <c r="E6278" s="2" t="s">
        <v>199</v>
      </c>
    </row>
    <row r="6279" spans="1:5" x14ac:dyDescent="0.2">
      <c r="A6279">
        <v>6218</v>
      </c>
      <c r="B6279" s="138">
        <f>'Acct Summary 7-8'!F83</f>
        <v>0.39251938872345299</v>
      </c>
      <c r="D6279" s="2" t="str">
        <f t="shared" si="97"/>
        <v>Error?</v>
      </c>
      <c r="E6279" s="2" t="s">
        <v>199</v>
      </c>
    </row>
    <row r="6280" spans="1:5" x14ac:dyDescent="0.2">
      <c r="A6280">
        <v>6219</v>
      </c>
      <c r="B6280" s="138">
        <f>'Acct Summary 7-8'!G83</f>
        <v>-0.727292301067331</v>
      </c>
      <c r="D6280" s="2" t="str">
        <f t="shared" si="97"/>
        <v>Error?</v>
      </c>
      <c r="E6280" s="2" t="s">
        <v>199</v>
      </c>
    </row>
    <row r="6281" spans="1:5" x14ac:dyDescent="0.2">
      <c r="A6281">
        <v>6220</v>
      </c>
      <c r="B6281" s="138">
        <f>'Acct Summary 7-8'!H83</f>
        <v>-244.06666666666666</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0.94972703045356932</v>
      </c>
      <c r="D6283" s="2" t="str">
        <f t="shared" si="97"/>
        <v>Error?</v>
      </c>
      <c r="E6283" s="2" t="s">
        <v>199</v>
      </c>
    </row>
    <row r="6284" spans="1:5" x14ac:dyDescent="0.2">
      <c r="A6284">
        <v>6223</v>
      </c>
      <c r="B6284" s="138">
        <f>'Acct Summary 7-8'!K83</f>
        <v>0.13220692469283199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112764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112764</v>
      </c>
      <c r="D6301" s="2" t="str">
        <f t="shared" si="97"/>
        <v>Error?</v>
      </c>
      <c r="E6301" s="2" t="s">
        <v>199</v>
      </c>
    </row>
    <row r="6302" spans="1:5" x14ac:dyDescent="0.2">
      <c r="A6302">
        <v>6241</v>
      </c>
      <c r="B6302" s="138">
        <f>'Revenues 9-14'!J14</f>
        <v>1007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22536</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23543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136537</v>
      </c>
      <c r="D6352" s="2" t="str">
        <f t="shared" si="98"/>
        <v>Error?</v>
      </c>
      <c r="E6352" s="2" t="s">
        <v>199</v>
      </c>
    </row>
    <row r="6353" spans="1:5" x14ac:dyDescent="0.2">
      <c r="A6353">
        <v>6292</v>
      </c>
      <c r="B6353" s="138">
        <f>'Revenues 9-14'!J117</f>
        <v>15000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15000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15000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24955</v>
      </c>
      <c r="D6983" s="2" t="str">
        <f t="shared" si="108"/>
        <v>Error?</v>
      </c>
    </row>
    <row r="6984" spans="1:4" x14ac:dyDescent="0.2">
      <c r="A6984">
        <v>6923</v>
      </c>
      <c r="B6984" s="138">
        <f>'Expenditures 15-22'!K86</f>
        <v>24955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24955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114831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151537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3665</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3665</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6498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6498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1814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1814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14286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14286</v>
      </c>
      <c r="D7153" s="2" t="str">
        <f t="shared" si="110"/>
        <v>Error?</v>
      </c>
    </row>
    <row r="7154" spans="1:4" x14ac:dyDescent="0.2">
      <c r="A7154">
        <v>7093</v>
      </c>
      <c r="B7154" s="138">
        <f>'Expenditures 15-22'!C323</f>
        <v>61241</v>
      </c>
      <c r="D7154" s="2" t="str">
        <f t="shared" si="110"/>
        <v>Error?</v>
      </c>
    </row>
    <row r="7155" spans="1:4" x14ac:dyDescent="0.2">
      <c r="A7155">
        <v>7094</v>
      </c>
      <c r="B7155" s="138">
        <f>'Expenditures 15-22'!D323</f>
        <v>3457</v>
      </c>
      <c r="D7155" s="2" t="str">
        <f t="shared" si="110"/>
        <v>Error?</v>
      </c>
    </row>
    <row r="7156" spans="1:4" x14ac:dyDescent="0.2">
      <c r="A7156">
        <v>7095</v>
      </c>
      <c r="B7156" s="138">
        <f>'Expenditures 15-22'!E323</f>
        <v>26123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90821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1412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1412</v>
      </c>
      <c r="D7198" s="2" t="str">
        <f t="shared" si="111"/>
        <v>Error?</v>
      </c>
    </row>
    <row r="7199" spans="1:4" x14ac:dyDescent="0.2">
      <c r="A7199">
        <v>7138</v>
      </c>
      <c r="B7199" s="138">
        <f>'Expenditures 15-22'!C330</f>
        <v>61241</v>
      </c>
      <c r="D7199" s="2" t="str">
        <f t="shared" si="111"/>
        <v>Error?</v>
      </c>
    </row>
    <row r="7200" spans="1:4" x14ac:dyDescent="0.2">
      <c r="A7200">
        <v>7139</v>
      </c>
      <c r="B7200" s="138">
        <f>'Expenditures 15-22'!D330</f>
        <v>3457</v>
      </c>
      <c r="D7200" s="2" t="str">
        <f t="shared" si="111"/>
        <v>Error?</v>
      </c>
    </row>
    <row r="7201" spans="1:4" x14ac:dyDescent="0.2">
      <c r="A7201">
        <v>7140</v>
      </c>
      <c r="B7201" s="138">
        <f>'Expenditures 15-22'!E330</f>
        <v>50133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114831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61241</v>
      </c>
      <c r="D7216" s="2" t="str">
        <f t="shared" si="111"/>
        <v>Error?</v>
      </c>
    </row>
    <row r="7217" spans="1:4" x14ac:dyDescent="0.2">
      <c r="A7217">
        <v>7156</v>
      </c>
      <c r="B7217" s="138">
        <f>'Expenditures 15-22'!D342</f>
        <v>3457</v>
      </c>
      <c r="D7217" s="2" t="str">
        <f t="shared" si="111"/>
        <v>Error?</v>
      </c>
    </row>
    <row r="7218" spans="1:4" x14ac:dyDescent="0.2">
      <c r="A7218">
        <v>7157</v>
      </c>
      <c r="B7218" s="138">
        <f>'Expenditures 15-22'!E342</f>
        <v>50133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114831</v>
      </c>
      <c r="D7224" s="2" t="str">
        <f t="shared" si="111"/>
        <v>Error?</v>
      </c>
    </row>
    <row r="7225" spans="1:4" x14ac:dyDescent="0.2">
      <c r="A7225">
        <v>7164</v>
      </c>
      <c r="B7225" s="138">
        <f>'Expenditures 15-22'!K343</f>
        <v>36706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56306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9847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4599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25081</v>
      </c>
      <c r="D7797" s="2" t="str">
        <f t="shared" si="127"/>
        <v>Error?</v>
      </c>
      <c r="E7797" s="4" t="s">
        <v>2020</v>
      </c>
    </row>
    <row r="7798" spans="1:5" x14ac:dyDescent="0.2">
      <c r="A7798">
        <v>7737</v>
      </c>
      <c r="B7798" s="138">
        <f>'Contracts Paid in CY 29'!F30</f>
        <v>25081</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3" sqref="A3:S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5" t="str">
        <f>COVER!A17</f>
        <v>Bethel GSD 82</v>
      </c>
      <c r="B7" s="2406"/>
      <c r="C7" s="2406"/>
      <c r="D7" s="2443"/>
      <c r="E7" s="2444">
        <f>COVER!A13</f>
        <v>13041082002</v>
      </c>
      <c r="F7" s="2445"/>
      <c r="G7" s="2412" t="str">
        <f>COVER!T23</f>
        <v>060-006876</v>
      </c>
      <c r="H7" s="2413"/>
      <c r="I7" s="2413"/>
      <c r="J7" s="2413"/>
      <c r="K7" s="2413"/>
      <c r="L7" s="241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5"/>
      <c r="B9" s="2416"/>
      <c r="C9" s="2416"/>
      <c r="D9" s="2416"/>
      <c r="E9" s="2416"/>
      <c r="F9" s="2417"/>
      <c r="G9" s="2418" t="str">
        <f>COVER!T13</f>
        <v>SUSAN J. LYONS, CPA, P.C.</v>
      </c>
      <c r="H9" s="2419"/>
      <c r="I9" s="2419"/>
      <c r="J9" s="2419"/>
      <c r="K9" s="2419"/>
      <c r="L9" s="2420"/>
    </row>
    <row r="10" spans="1:29" ht="13.5" customHeight="1" x14ac:dyDescent="0.2">
      <c r="A10" s="2402" t="str">
        <f>COVER!A38</f>
        <v>CRAIG KUJAWA</v>
      </c>
      <c r="B10" s="2403"/>
      <c r="C10" s="2403"/>
      <c r="D10" s="2403"/>
      <c r="E10" s="2403"/>
      <c r="F10" s="2404"/>
      <c r="G10" s="2418" t="str">
        <f>COVER!T17</f>
        <v>5859 U.S. HIGHWAY 51</v>
      </c>
      <c r="H10" s="2431"/>
      <c r="I10" s="2431"/>
      <c r="J10" s="2431"/>
      <c r="K10" s="2431"/>
      <c r="L10" s="2432"/>
    </row>
    <row r="11" spans="1:29" ht="13.5" customHeight="1" x14ac:dyDescent="0.2">
      <c r="A11" s="1185" t="s">
        <v>1599</v>
      </c>
      <c r="B11" s="1186"/>
      <c r="C11" s="1187"/>
      <c r="D11" s="1192"/>
      <c r="E11" s="1187"/>
      <c r="F11" s="1191"/>
      <c r="G11" s="2418" t="str">
        <f>COVER!T19</f>
        <v>ODIN</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slyons1007@gmail.com</v>
      </c>
      <c r="J13" s="2440"/>
      <c r="K13" s="2440"/>
      <c r="L13" s="2441"/>
    </row>
    <row r="14" spans="1:29" ht="13.5" customHeight="1" x14ac:dyDescent="0.2">
      <c r="A14" s="2418" t="str">
        <f>COVER!A19</f>
        <v>1201 BETHEL ROAD</v>
      </c>
      <c r="B14" s="2431"/>
      <c r="C14" s="2431"/>
      <c r="D14" s="2431"/>
      <c r="E14" s="2431"/>
      <c r="F14" s="2432"/>
      <c r="G14" s="1196" t="s">
        <v>1247</v>
      </c>
      <c r="H14" s="1194"/>
      <c r="I14" s="1194"/>
      <c r="J14" s="1194"/>
      <c r="K14" s="1194"/>
      <c r="L14" s="1195"/>
    </row>
    <row r="15" spans="1:29" ht="13.5" customHeight="1" x14ac:dyDescent="0.2">
      <c r="A15" s="2418" t="str">
        <f>COVER!A21</f>
        <v>MT. VERNON</v>
      </c>
      <c r="B15" s="2431"/>
      <c r="C15" s="2431"/>
      <c r="D15" s="2431"/>
      <c r="E15" s="2431"/>
      <c r="F15" s="2432"/>
      <c r="G15" s="2428" t="str">
        <f>COVER!T15</f>
        <v>SUSAN J. LYONS</v>
      </c>
      <c r="H15" s="2429"/>
      <c r="I15" s="2429"/>
      <c r="J15" s="2429"/>
      <c r="K15" s="2429"/>
      <c r="L15" s="2430"/>
    </row>
    <row r="16" spans="1:29" ht="12.2" customHeight="1" x14ac:dyDescent="0.2">
      <c r="A16" s="2408">
        <f>COVER!A25</f>
        <v>62864</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6" t="s">
        <v>1246</v>
      </c>
      <c r="H17" s="1194"/>
      <c r="I17" s="1194"/>
      <c r="J17" s="1194"/>
      <c r="K17" s="1198" t="s">
        <v>1245</v>
      </c>
      <c r="L17" s="1191"/>
      <c r="M17" s="1184"/>
    </row>
    <row r="18" spans="1:13" ht="12.2" customHeight="1" x14ac:dyDescent="0.2">
      <c r="A18" s="2402"/>
      <c r="B18" s="2403"/>
      <c r="C18" s="2403"/>
      <c r="D18" s="2403"/>
      <c r="E18" s="2403"/>
      <c r="F18" s="2404"/>
      <c r="G18" s="2405" t="str">
        <f>COVER!T21</f>
        <v>618-267-3213</v>
      </c>
      <c r="H18" s="2406"/>
      <c r="I18" s="2406"/>
      <c r="J18" s="2406"/>
      <c r="K18" s="2405" t="str">
        <f>COVER!X21</f>
        <v>618-247-3208</v>
      </c>
      <c r="L18" s="240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3" sqref="A3:S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Bethel GSD 82</v>
      </c>
      <c r="B1" s="2442"/>
      <c r="C1" s="2442"/>
      <c r="D1" s="2442"/>
    </row>
    <row r="2" spans="1:11" s="1215" customFormat="1" ht="12.75" x14ac:dyDescent="0.2">
      <c r="A2" s="2447">
        <f>'Single Audit Cover'!E7</f>
        <v>13041082002</v>
      </c>
      <c r="B2" s="2448"/>
      <c r="C2" s="2448"/>
      <c r="D2" s="2448"/>
    </row>
    <row r="3" spans="1:11" s="1215" customFormat="1" ht="12.75" x14ac:dyDescent="0.2">
      <c r="A3" s="2446" t="s">
        <v>1593</v>
      </c>
      <c r="B3" s="2442"/>
      <c r="C3" s="2442"/>
      <c r="D3" s="244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B3" sqref="B3:S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Bethel GSD 82</v>
      </c>
      <c r="B1" s="2450"/>
      <c r="C1" s="2450"/>
      <c r="D1" s="2450"/>
      <c r="E1" s="2450"/>
    </row>
    <row r="2" spans="1:5" x14ac:dyDescent="0.2">
      <c r="A2" s="2451">
        <f>'Single Audit Cover'!E7</f>
        <v>13041082002</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302249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8400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-36244</v>
      </c>
    </row>
    <row r="19" spans="1:4" ht="13.5" thickBot="1" x14ac:dyDescent="0.25">
      <c r="A19" s="1265" t="s">
        <v>1297</v>
      </c>
      <c r="D19" s="1266">
        <f>SUM(D10:D17)</f>
        <v>274405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274405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0</v>
      </c>
    </row>
    <row r="49" spans="2:4" x14ac:dyDescent="0.2">
      <c r="B49" s="1272" t="s">
        <v>1288</v>
      </c>
      <c r="C49" s="1272"/>
      <c r="D49" s="1273">
        <f>D32-D47</f>
        <v>274405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3" sqref="B3:S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Bethel GSD 82</v>
      </c>
      <c r="B1" s="2455"/>
      <c r="C1" s="2455"/>
      <c r="D1" s="2455"/>
      <c r="E1" s="2455"/>
      <c r="F1" s="2455"/>
    </row>
    <row r="2" spans="1:7" ht="13.5" customHeight="1" x14ac:dyDescent="0.2">
      <c r="A2" s="2456">
        <f>'Single Audit Cover'!E7</f>
        <v>13041082002</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69" t="s">
        <v>1332</v>
      </c>
      <c r="D15" s="2460" t="s">
        <v>1331</v>
      </c>
      <c r="E15" s="2460"/>
      <c r="F15" s="2460"/>
    </row>
    <row r="16" spans="1:7" ht="13.5" customHeight="1" x14ac:dyDescent="0.2">
      <c r="A16" s="1282"/>
      <c r="B16" s="1276" t="s">
        <v>1330</v>
      </c>
      <c r="C16" s="1869" t="s">
        <v>1329</v>
      </c>
      <c r="D16" s="2461" t="s">
        <v>1670</v>
      </c>
      <c r="E16" s="2461"/>
      <c r="F16" s="2461"/>
    </row>
    <row r="17" spans="1:6" ht="20.45" customHeight="1" x14ac:dyDescent="0.2">
      <c r="A17" s="1283"/>
      <c r="B17" s="1284"/>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63" t="s">
        <v>1835</v>
      </c>
      <c r="B32" s="2463"/>
      <c r="C32" s="2463"/>
      <c r="D32" s="2463"/>
      <c r="E32" s="2463"/>
      <c r="F32" s="2463"/>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4">
        <f>+C33+C34</f>
        <v>0</v>
      </c>
      <c r="F34" s="2465"/>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68"/>
      <c r="C50" s="1868"/>
      <c r="D50" s="1868"/>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3" sqref="B3:S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Bethel GSD 82</v>
      </c>
      <c r="C1" s="2467"/>
      <c r="D1" s="2467"/>
      <c r="E1" s="2467"/>
      <c r="F1" s="2467"/>
      <c r="G1" s="2467"/>
      <c r="H1" s="2467"/>
      <c r="I1" s="2467"/>
      <c r="J1" s="2467"/>
      <c r="K1" s="2467"/>
      <c r="L1" s="2467"/>
      <c r="M1" s="2467"/>
    </row>
    <row r="2" spans="2:14" ht="15" x14ac:dyDescent="0.2">
      <c r="B2" s="2456">
        <f>'Single Audit Cover'!E7</f>
        <v>13041082002</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B3" sqref="B3:S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t="s">
        <v>2077</v>
      </c>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2078</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3" sqref="B3:S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Bethel GSD 82</v>
      </c>
      <c r="C1" s="2475"/>
      <c r="D1" s="2475"/>
      <c r="E1" s="2475"/>
      <c r="F1" s="2475"/>
      <c r="G1" s="2475"/>
      <c r="H1" s="2475"/>
      <c r="I1" s="2475"/>
      <c r="J1" s="1422"/>
    </row>
    <row r="2" spans="2:10" s="317" customFormat="1" ht="12.75" customHeight="1" x14ac:dyDescent="0.2">
      <c r="B2" s="2476">
        <f>'Single Audit Cover'!E7</f>
        <v>13041082002</v>
      </c>
      <c r="C2" s="2477"/>
      <c r="D2" s="2477"/>
      <c r="E2" s="2477"/>
      <c r="F2" s="2477"/>
      <c r="G2" s="2477"/>
      <c r="H2" s="2477"/>
      <c r="I2" s="2477"/>
      <c r="J2" s="1422"/>
    </row>
    <row r="3" spans="2:10" s="317" customFormat="1" ht="12.75" customHeight="1" x14ac:dyDescent="0.2">
      <c r="B3" s="2478" t="s">
        <v>1347</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1346</v>
      </c>
      <c r="C7" s="2479"/>
      <c r="D7" s="2479"/>
      <c r="E7" s="2479"/>
      <c r="F7" s="2479"/>
      <c r="G7" s="2479"/>
      <c r="H7" s="2479"/>
      <c r="I7" s="247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0"/>
      <c r="D11" s="248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1"/>
      <c r="E29" s="2481"/>
      <c r="F29" s="2481"/>
      <c r="G29" s="2481"/>
      <c r="H29" s="2481"/>
      <c r="I29" s="248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2" t="s">
        <v>1854</v>
      </c>
      <c r="D37" s="2483"/>
      <c r="E37" s="2483"/>
      <c r="F37" s="2484"/>
      <c r="G37" s="2482" t="s">
        <v>1674</v>
      </c>
      <c r="H37" s="2483"/>
      <c r="I37" s="2484"/>
    </row>
    <row r="38" spans="2:9" ht="16.5" customHeight="1" x14ac:dyDescent="0.2">
      <c r="B38" s="1444"/>
      <c r="C38" s="2470"/>
      <c r="D38" s="2471"/>
      <c r="E38" s="2471"/>
      <c r="F38" s="2472"/>
      <c r="G38" s="2485"/>
      <c r="H38" s="2486"/>
      <c r="I38" s="2487"/>
    </row>
    <row r="39" spans="2:9" ht="16.5" customHeight="1" x14ac:dyDescent="0.2">
      <c r="B39" s="1444"/>
      <c r="C39" s="2470"/>
      <c r="D39" s="2471"/>
      <c r="E39" s="2471"/>
      <c r="F39" s="2472"/>
      <c r="G39" s="2473"/>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88" t="s">
        <v>1675</v>
      </c>
      <c r="D43" s="2489"/>
      <c r="E43" s="2489"/>
      <c r="F43" s="2490"/>
      <c r="G43" s="2491">
        <f>SUM(G38:I42)</f>
        <v>0</v>
      </c>
      <c r="H43" s="2491"/>
      <c r="I43" s="2491"/>
    </row>
    <row r="44" spans="2:9" ht="12.75" customHeight="1" x14ac:dyDescent="0.2"/>
    <row r="45" spans="2:9" ht="12.75" customHeight="1" x14ac:dyDescent="0.2">
      <c r="B45" s="1435" t="s">
        <v>1952</v>
      </c>
      <c r="D45" s="2492">
        <v>0</v>
      </c>
      <c r="E45" s="249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4"/>
      <c r="F49" s="2494"/>
      <c r="G49" s="249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B3" sqref="B3:S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Bethel GSD 82</v>
      </c>
      <c r="C1" s="2474"/>
      <c r="D1" s="2474"/>
      <c r="E1" s="2474"/>
      <c r="F1" s="2474"/>
      <c r="G1" s="2474"/>
      <c r="H1" s="2474"/>
      <c r="I1" s="2474"/>
      <c r="J1" s="2474"/>
      <c r="K1" s="2474"/>
      <c r="L1" s="1374"/>
      <c r="M1" s="1374"/>
    </row>
    <row r="2" spans="1:13" ht="12" customHeight="1" x14ac:dyDescent="0.2">
      <c r="B2" s="2476">
        <f>'Single Audit Cover'!E7</f>
        <v>13041082002</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t="s">
        <v>2088</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6" t="s">
        <v>2089</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t="s">
        <v>2090</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t="s">
        <v>2091</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t="s">
        <v>2092</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5" t="s">
        <v>2093</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5" t="s">
        <v>2094</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 sqref="B3:S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Bethel GSD 82</v>
      </c>
      <c r="C1" s="2474"/>
      <c r="D1" s="2474"/>
      <c r="E1" s="2474"/>
      <c r="F1" s="2474"/>
      <c r="G1" s="2474"/>
      <c r="H1" s="2474"/>
      <c r="I1" s="2474"/>
      <c r="J1" s="2474"/>
      <c r="K1" s="2474"/>
      <c r="L1" s="1374"/>
      <c r="M1" s="1374"/>
    </row>
    <row r="2" spans="1:13" ht="12" customHeight="1" x14ac:dyDescent="0.2">
      <c r="B2" s="2476">
        <f>'Single Audit Cover'!E7</f>
        <v>13041082002</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954"/>
      <c r="M3" s="1954"/>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t="s">
        <v>2117</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t="s">
        <v>2118</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27.75" customHeight="1" x14ac:dyDescent="0.2">
      <c r="B20" s="2500" t="s">
        <v>2119</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t="s">
        <v>2120</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38.25" customHeight="1" x14ac:dyDescent="0.2">
      <c r="B26" s="2496" t="s">
        <v>2121</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80.25" customHeight="1" x14ac:dyDescent="0.2">
      <c r="B29" s="2495" t="s">
        <v>2122</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t="s">
        <v>2123</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K19" sqref="K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Bethel GSD 82</v>
      </c>
      <c r="C1" s="2474"/>
      <c r="D1" s="2474"/>
      <c r="E1" s="2474"/>
      <c r="F1" s="2474"/>
      <c r="G1" s="2474"/>
      <c r="H1" s="2474"/>
      <c r="I1" s="2474"/>
      <c r="J1" s="2474"/>
      <c r="K1" s="2474"/>
      <c r="L1" s="1374"/>
      <c r="M1" s="1374"/>
    </row>
    <row r="2" spans="1:13" ht="12" customHeight="1" x14ac:dyDescent="0.2">
      <c r="B2" s="2476">
        <f>'Single Audit Cover'!E7</f>
        <v>13041082002</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958"/>
      <c r="M3" s="1958"/>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t="s">
        <v>2124</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t="s">
        <v>2126</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v>9854</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t="s">
        <v>2125</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t="s">
        <v>2129</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t="s">
        <v>2127</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t="s">
        <v>2128</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Bethel GSD 82</v>
      </c>
      <c r="C1" s="2501"/>
      <c r="D1" s="2501"/>
      <c r="E1" s="2501"/>
      <c r="F1" s="2501"/>
      <c r="G1" s="2501"/>
      <c r="H1" s="2501"/>
      <c r="I1" s="2501"/>
      <c r="J1" s="2501"/>
      <c r="K1" s="2501"/>
      <c r="L1" s="1465"/>
    </row>
    <row r="2" spans="1:12" ht="12.75" customHeight="1" x14ac:dyDescent="0.2">
      <c r="B2" s="2502">
        <f>'Single Audit Cover'!E7</f>
        <v>13041082002</v>
      </c>
      <c r="C2" s="2502"/>
      <c r="D2" s="2502"/>
      <c r="E2" s="2502"/>
      <c r="F2" s="2502"/>
      <c r="G2" s="2502"/>
      <c r="H2" s="2502"/>
      <c r="I2" s="2502"/>
      <c r="J2" s="2502"/>
      <c r="K2" s="2502"/>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1"/>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Bethel GSD 82</v>
      </c>
      <c r="C1" s="2474"/>
      <c r="D1" s="2474"/>
      <c r="E1" s="1491"/>
    </row>
    <row r="2" spans="2:5" s="1282" customFormat="1" ht="12.75" customHeight="1" x14ac:dyDescent="0.2">
      <c r="B2" s="2476">
        <f>'Single Audit Cover'!E7</f>
        <v>13041082002</v>
      </c>
      <c r="C2" s="2476"/>
      <c r="D2" s="2476"/>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B3" sqref="B3:S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20845803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1.3828099999999999E-2</v>
      </c>
      <c r="E10" s="356" t="s">
        <v>1062</v>
      </c>
      <c r="F10" s="355">
        <v>2.9432E-3</v>
      </c>
      <c r="G10" s="356" t="s">
        <v>1062</v>
      </c>
      <c r="H10" s="355">
        <v>1.3529E-3</v>
      </c>
      <c r="I10" s="356" t="s">
        <v>1063</v>
      </c>
      <c r="J10" s="1753">
        <f>ROUND(D10+F10+H10,5)</f>
        <v>1.8120000000000001E-2</v>
      </c>
      <c r="K10" s="222"/>
      <c r="L10" s="355">
        <v>4.7479999999999999E-4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1555672</v>
      </c>
      <c r="E16" s="356"/>
      <c r="F16" s="1754">
        <f>SUM('Acct Summary 7-8'!C17,'Acct Summary 7-8'!D17,'Acct Summary 7-8'!F17)</f>
        <v>1368977</v>
      </c>
      <c r="G16" s="356"/>
      <c r="H16" s="1754">
        <f>SUM(D16-F16)</f>
        <v>186695</v>
      </c>
      <c r="I16" s="222"/>
      <c r="J16" s="1754">
        <f>SUM('Acct Summary 7-8'!C81,'Acct Summary 7-8'!D81,'Acct Summary 7-8'!F81,'Acct Summary 7-8'!I81)</f>
        <v>1042108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1438360.4070000001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B3" sqref="B3:S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Bethel GSD 82</v>
      </c>
      <c r="E7" s="391"/>
      <c r="G7" s="252"/>
      <c r="H7" s="387"/>
      <c r="I7" s="387"/>
      <c r="J7" s="387"/>
      <c r="K7" s="387"/>
      <c r="L7" s="329"/>
      <c r="M7" s="329"/>
      <c r="N7" s="329"/>
      <c r="O7" s="329"/>
      <c r="P7" s="329"/>
    </row>
    <row r="8" spans="1:18" ht="12.75" x14ac:dyDescent="0.2">
      <c r="A8" s="329"/>
      <c r="B8" s="329"/>
      <c r="C8" s="389" t="s">
        <v>1187</v>
      </c>
      <c r="D8" s="392">
        <f>COVER!A13</f>
        <v>13041082002</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1042108</v>
      </c>
      <c r="I12" s="404"/>
      <c r="J12" s="404"/>
      <c r="K12" s="405">
        <f>TRUNC((H12/H13*100000),5)/100000</f>
        <v>0.66987642629999999</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1555672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1368977</v>
      </c>
      <c r="I17" s="404"/>
      <c r="J17" s="416"/>
      <c r="K17" s="405">
        <f>TRUNC((H17/H18*100000),5)/100000</f>
        <v>0.87999076920000008</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1555672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1029608</v>
      </c>
      <c r="I24" s="422"/>
      <c r="J24" s="422"/>
      <c r="K24" s="423">
        <f>TRUNC(((H24/H25*100000)/100000),2)</f>
        <v>270.75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3802.71389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321067.05781000003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185000</v>
      </c>
      <c r="I32" s="420"/>
      <c r="J32" s="420"/>
      <c r="K32" s="423">
        <f>TRUNC(100-((((H32/H33*100))*100)/100),2)</f>
        <v>87.13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1438360.4070000001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3" sqref="B3:S3"/>
      <selection pane="bottomLeft" activeCell="B3" sqref="B3:S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v>950394</v>
      </c>
      <c r="D4" s="466">
        <v>48655</v>
      </c>
      <c r="E4" s="466">
        <v>12950</v>
      </c>
      <c r="F4" s="466">
        <v>30559</v>
      </c>
      <c r="G4" s="466">
        <v>32511</v>
      </c>
      <c r="H4" s="466">
        <v>15</v>
      </c>
      <c r="I4" s="466"/>
      <c r="J4" s="467">
        <v>38649</v>
      </c>
      <c r="K4" s="466">
        <v>66169</v>
      </c>
      <c r="L4" s="466">
        <v>23649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12500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962894</v>
      </c>
      <c r="D13" s="1758">
        <f t="shared" ref="D13:L13" si="0">SUM(D4:D12)</f>
        <v>48655</v>
      </c>
      <c r="E13" s="1758">
        <f t="shared" si="0"/>
        <v>12950</v>
      </c>
      <c r="F13" s="1758">
        <f t="shared" si="0"/>
        <v>30559</v>
      </c>
      <c r="G13" s="1758">
        <f t="shared" si="0"/>
        <v>32511</v>
      </c>
      <c r="H13" s="1758">
        <f t="shared" si="0"/>
        <v>15</v>
      </c>
      <c r="I13" s="1758">
        <f t="shared" si="0"/>
        <v>0</v>
      </c>
      <c r="J13" s="1758">
        <f t="shared" si="0"/>
        <v>38649</v>
      </c>
      <c r="K13" s="1758">
        <f t="shared" si="0"/>
        <v>66169</v>
      </c>
      <c r="L13" s="1758">
        <f t="shared" si="0"/>
        <v>23649</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11500</v>
      </c>
      <c r="N16" s="484"/>
    </row>
    <row r="17" spans="1:14" s="485" customFormat="1" ht="12.75" customHeight="1" x14ac:dyDescent="0.2">
      <c r="A17" s="482" t="s">
        <v>1470</v>
      </c>
      <c r="B17" s="483">
        <v>230</v>
      </c>
      <c r="C17" s="477"/>
      <c r="D17" s="477"/>
      <c r="E17" s="477"/>
      <c r="F17" s="477"/>
      <c r="G17" s="477"/>
      <c r="H17" s="477"/>
      <c r="I17" s="477"/>
      <c r="J17" s="477"/>
      <c r="K17" s="477"/>
      <c r="L17" s="477"/>
      <c r="M17" s="467">
        <v>2139845</v>
      </c>
      <c r="N17" s="484"/>
    </row>
    <row r="18" spans="1:14" s="485" customFormat="1" ht="12.75" customHeight="1" x14ac:dyDescent="0.2">
      <c r="A18" s="482" t="s">
        <v>1471</v>
      </c>
      <c r="B18" s="483">
        <v>240</v>
      </c>
      <c r="C18" s="477"/>
      <c r="D18" s="477"/>
      <c r="E18" s="477"/>
      <c r="F18" s="477"/>
      <c r="G18" s="477"/>
      <c r="H18" s="477"/>
      <c r="I18" s="477"/>
      <c r="J18" s="477"/>
      <c r="K18" s="477"/>
      <c r="L18" s="477"/>
      <c r="M18" s="467">
        <v>26234</v>
      </c>
      <c r="N18" s="484"/>
    </row>
    <row r="19" spans="1:14" s="485" customFormat="1" ht="12.75" customHeight="1" x14ac:dyDescent="0.2">
      <c r="A19" s="482" t="s">
        <v>1472</v>
      </c>
      <c r="B19" s="483">
        <v>250</v>
      </c>
      <c r="C19" s="477"/>
      <c r="D19" s="477"/>
      <c r="E19" s="477"/>
      <c r="F19" s="477"/>
      <c r="G19" s="477"/>
      <c r="H19" s="477"/>
      <c r="I19" s="477"/>
      <c r="J19" s="477"/>
      <c r="K19" s="477"/>
      <c r="L19" s="477"/>
      <c r="M19" s="467">
        <v>661531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12950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172050</v>
      </c>
    </row>
    <row r="23" spans="1:14" ht="13.5" customHeight="1" thickBot="1" x14ac:dyDescent="0.25">
      <c r="A23" s="1757" t="s">
        <v>664</v>
      </c>
      <c r="B23" s="1762"/>
      <c r="C23" s="468"/>
      <c r="D23" s="468"/>
      <c r="E23" s="468"/>
      <c r="F23" s="468"/>
      <c r="G23" s="468"/>
      <c r="H23" s="468"/>
      <c r="I23" s="468"/>
      <c r="J23" s="468"/>
      <c r="K23" s="468"/>
      <c r="L23" s="468"/>
      <c r="M23" s="1709">
        <f>SUM(M15:M22)</f>
        <v>2839110</v>
      </c>
      <c r="N23" s="1709">
        <f>SUM(N21:N22)</f>
        <v>185000</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c r="D25" s="478"/>
      <c r="E25" s="478">
        <v>12500</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23649</v>
      </c>
      <c r="M33" s="468"/>
      <c r="N33" s="469"/>
    </row>
    <row r="34" spans="1:14" ht="13.5" customHeight="1" thickBot="1" x14ac:dyDescent="0.25">
      <c r="A34" s="1759" t="s">
        <v>675</v>
      </c>
      <c r="B34" s="1760"/>
      <c r="C34" s="1761">
        <f>SUM(C25:C33)</f>
        <v>0</v>
      </c>
      <c r="D34" s="1761">
        <f t="shared" ref="D34:K34" si="1">SUM(D25:D33)</f>
        <v>0</v>
      </c>
      <c r="E34" s="1761">
        <f t="shared" si="1"/>
        <v>12500</v>
      </c>
      <c r="F34" s="1761">
        <f t="shared" si="1"/>
        <v>0</v>
      </c>
      <c r="G34" s="1761">
        <f t="shared" si="1"/>
        <v>0</v>
      </c>
      <c r="H34" s="1761">
        <f t="shared" si="1"/>
        <v>0</v>
      </c>
      <c r="I34" s="1761">
        <f t="shared" si="1"/>
        <v>0</v>
      </c>
      <c r="J34" s="1761">
        <f t="shared" si="1"/>
        <v>0</v>
      </c>
      <c r="K34" s="1761">
        <f t="shared" si="1"/>
        <v>0</v>
      </c>
      <c r="L34" s="1742">
        <f>SUM(L33)</f>
        <v>23649</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185000</v>
      </c>
    </row>
    <row r="37" spans="1:14" ht="13.5" thickBot="1" x14ac:dyDescent="0.25">
      <c r="A37" s="1757" t="s">
        <v>674</v>
      </c>
      <c r="B37" s="1762"/>
      <c r="C37" s="477"/>
      <c r="D37" s="477"/>
      <c r="E37" s="477"/>
      <c r="F37" s="477"/>
      <c r="G37" s="477"/>
      <c r="H37" s="477"/>
      <c r="I37" s="477"/>
      <c r="J37" s="477"/>
      <c r="K37" s="477"/>
      <c r="L37" s="480"/>
      <c r="M37" s="468"/>
      <c r="N37" s="1709">
        <f>SUM(N36:N36)</f>
        <v>185000</v>
      </c>
    </row>
    <row r="38" spans="1:14" s="329" customFormat="1" ht="13.5" customHeight="1" thickTop="1" x14ac:dyDescent="0.2">
      <c r="A38" s="496" t="s">
        <v>440</v>
      </c>
      <c r="B38" s="483">
        <v>714</v>
      </c>
      <c r="C38" s="466"/>
      <c r="D38" s="466"/>
      <c r="E38" s="466"/>
      <c r="F38" s="466"/>
      <c r="G38" s="466">
        <v>8435</v>
      </c>
      <c r="H38" s="466"/>
      <c r="I38" s="466"/>
      <c r="J38" s="467"/>
      <c r="K38" s="466"/>
      <c r="L38" s="481"/>
      <c r="M38" s="497"/>
      <c r="N38" s="497"/>
    </row>
    <row r="39" spans="1:14" s="329" customFormat="1" ht="13.5" customHeight="1" x14ac:dyDescent="0.2">
      <c r="A39" s="496" t="s">
        <v>360</v>
      </c>
      <c r="B39" s="483">
        <v>730</v>
      </c>
      <c r="C39" s="466">
        <v>962894</v>
      </c>
      <c r="D39" s="466">
        <v>48655</v>
      </c>
      <c r="E39" s="466">
        <v>450</v>
      </c>
      <c r="F39" s="466">
        <v>30559</v>
      </c>
      <c r="G39" s="466">
        <v>24076</v>
      </c>
      <c r="H39" s="466">
        <v>15</v>
      </c>
      <c r="I39" s="466"/>
      <c r="J39" s="467">
        <v>38649</v>
      </c>
      <c r="K39" s="466">
        <v>66169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2839110</v>
      </c>
      <c r="N40" s="497"/>
    </row>
    <row r="41" spans="1:14" ht="13.5" customHeight="1" thickBot="1" x14ac:dyDescent="0.25">
      <c r="A41" s="1757" t="s">
        <v>676</v>
      </c>
      <c r="B41" s="1727"/>
      <c r="C41" s="1709">
        <f>(SUM(C34,C37,C38,C39))</f>
        <v>962894</v>
      </c>
      <c r="D41" s="1709">
        <f t="shared" ref="D41:L41" si="2">SUM(D34,D37,D38:D39)</f>
        <v>48655</v>
      </c>
      <c r="E41" s="1709">
        <f t="shared" si="2"/>
        <v>12950</v>
      </c>
      <c r="F41" s="1709">
        <f t="shared" si="2"/>
        <v>30559</v>
      </c>
      <c r="G41" s="1709">
        <f t="shared" si="2"/>
        <v>32511</v>
      </c>
      <c r="H41" s="1709">
        <f t="shared" si="2"/>
        <v>15</v>
      </c>
      <c r="I41" s="1709">
        <f t="shared" si="2"/>
        <v>0</v>
      </c>
      <c r="J41" s="1709">
        <f t="shared" si="2"/>
        <v>38649</v>
      </c>
      <c r="K41" s="1709">
        <f t="shared" si="2"/>
        <v>66169</v>
      </c>
      <c r="L41" s="1709">
        <f t="shared" si="2"/>
        <v>23649</v>
      </c>
      <c r="M41" s="1709">
        <f>SUM(M40)</f>
        <v>2839110</v>
      </c>
      <c r="N41" s="1709">
        <f>SUM(N37)</f>
        <v>185000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3" sqref="B3:S3"/>
      <selection pane="bottomLeft" activeCell="B3" sqref="B3:S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2" t="s">
        <v>1579</v>
      </c>
      <c r="B4" s="1953">
        <v>1000</v>
      </c>
      <c r="C4" s="1763">
        <f>'Revenues 9-14'!C109</f>
        <v>397810</v>
      </c>
      <c r="D4" s="1763">
        <f>'Revenues 9-14'!D109</f>
        <v>64134</v>
      </c>
      <c r="E4" s="1763">
        <f>'Revenues 9-14'!E109</f>
        <v>27984</v>
      </c>
      <c r="F4" s="1763">
        <f>'Revenues 9-14'!F109</f>
        <v>28816</v>
      </c>
      <c r="G4" s="1763">
        <f>'Revenues 9-14'!G109</f>
        <v>29734</v>
      </c>
      <c r="H4" s="1763">
        <f>'Revenues 9-14'!H109</f>
        <v>4</v>
      </c>
      <c r="I4" s="1763">
        <f>'Revenues 9-14'!I109</f>
        <v>9501</v>
      </c>
      <c r="J4" s="1763">
        <f>'Revenues 9-14'!J109</f>
        <v>136537</v>
      </c>
      <c r="K4" s="1763">
        <f>'Revenues 9-14'!K109</f>
        <v>10572</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671584</v>
      </c>
      <c r="D6" s="1764">
        <f>'Revenues 9-14'!D173</f>
        <v>50000</v>
      </c>
      <c r="E6" s="1764">
        <f>'Revenues 9-14'!E173</f>
        <v>24625</v>
      </c>
      <c r="F6" s="1764">
        <f>'Revenues 9-14'!F173</f>
        <v>38078</v>
      </c>
      <c r="G6" s="1764">
        <f>'Revenues 9-14'!G173</f>
        <v>0</v>
      </c>
      <c r="H6" s="1764">
        <f>'Revenues 9-14'!H173</f>
        <v>0</v>
      </c>
      <c r="I6" s="1764">
        <f>'Revenues 9-14'!I173</f>
        <v>0</v>
      </c>
      <c r="J6" s="1764">
        <f>'Revenues 9-14'!J173</f>
        <v>15000</v>
      </c>
      <c r="K6" s="1764">
        <f>'Revenues 9-14'!K173</f>
        <v>0</v>
      </c>
      <c r="L6" s="347"/>
      <c r="M6" s="513"/>
    </row>
    <row r="7" spans="1:13" ht="15.75" customHeight="1" x14ac:dyDescent="0.2">
      <c r="A7" s="1598" t="s">
        <v>1582</v>
      </c>
      <c r="B7" s="1600">
        <v>4000</v>
      </c>
      <c r="C7" s="1764">
        <f>'Revenues 9-14'!C274</f>
        <v>295749</v>
      </c>
      <c r="D7" s="1764">
        <f>'Revenues 9-14'!D274</f>
        <v>0</v>
      </c>
      <c r="E7" s="1764">
        <f>'Revenues 9-14'!E274</f>
        <v>0</v>
      </c>
      <c r="F7" s="1764">
        <f>'Revenues 9-14'!F274</f>
        <v>0</v>
      </c>
      <c r="G7" s="1764">
        <f>'Revenues 9-14'!G274</f>
        <v>6500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1365143</v>
      </c>
      <c r="D8" s="1709">
        <f t="shared" ref="D8:K8" si="0">SUM(D4:D7)</f>
        <v>114134</v>
      </c>
      <c r="E8" s="1709">
        <f t="shared" si="0"/>
        <v>52609</v>
      </c>
      <c r="F8" s="1709">
        <f t="shared" si="0"/>
        <v>66894</v>
      </c>
      <c r="G8" s="1709">
        <f t="shared" si="0"/>
        <v>36234</v>
      </c>
      <c r="H8" s="1709">
        <f t="shared" si="0"/>
        <v>4</v>
      </c>
      <c r="I8" s="1709">
        <f t="shared" si="0"/>
        <v>9501</v>
      </c>
      <c r="J8" s="1709">
        <f t="shared" si="0"/>
        <v>151537</v>
      </c>
      <c r="K8" s="1709">
        <f t="shared" si="0"/>
        <v>10572</v>
      </c>
      <c r="L8" s="347"/>
    </row>
    <row r="9" spans="1:13" ht="15.75" thickTop="1" x14ac:dyDescent="0.2">
      <c r="A9" s="514" t="s">
        <v>1752</v>
      </c>
      <c r="B9" s="515">
        <v>3998</v>
      </c>
      <c r="C9" s="481">
        <v>536704</v>
      </c>
      <c r="D9" s="516"/>
      <c r="E9" s="481"/>
      <c r="F9" s="481"/>
      <c r="G9" s="517"/>
      <c r="H9" s="481"/>
      <c r="I9" s="509" t="s">
        <v>1231</v>
      </c>
      <c r="J9" s="478"/>
      <c r="K9" s="481"/>
      <c r="L9" s="347"/>
    </row>
    <row r="10" spans="1:13" s="519" customFormat="1" ht="13.5" thickBot="1" x14ac:dyDescent="0.25">
      <c r="A10" s="1757" t="s">
        <v>1235</v>
      </c>
      <c r="B10" s="1730"/>
      <c r="C10" s="1709">
        <f>SUM(C8:C9)</f>
        <v>1901847</v>
      </c>
      <c r="D10" s="1709">
        <f t="shared" ref="D10:K10" si="1">SUM(D8:D9)</f>
        <v>114134</v>
      </c>
      <c r="E10" s="1709">
        <f t="shared" si="1"/>
        <v>52609</v>
      </c>
      <c r="F10" s="1709">
        <f t="shared" si="1"/>
        <v>66894</v>
      </c>
      <c r="G10" s="1709">
        <f t="shared" si="1"/>
        <v>36234</v>
      </c>
      <c r="H10" s="1709">
        <f t="shared" si="1"/>
        <v>4</v>
      </c>
      <c r="I10" s="1709">
        <f t="shared" si="1"/>
        <v>9501</v>
      </c>
      <c r="J10" s="1709">
        <f t="shared" si="1"/>
        <v>151537</v>
      </c>
      <c r="K10" s="1709">
        <f t="shared" si="1"/>
        <v>10572</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3">
        <f>'Expenditures 15-22'!K33</f>
        <v>904213</v>
      </c>
      <c r="D12" s="520" t="s">
        <v>1231</v>
      </c>
      <c r="E12" s="468" t="s">
        <v>1231</v>
      </c>
      <c r="F12" s="468" t="s">
        <v>1231</v>
      </c>
      <c r="G12" s="1763">
        <f>'Expenditures 15-22'!K229</f>
        <v>31174</v>
      </c>
      <c r="H12" s="521"/>
      <c r="I12" s="468" t="s">
        <v>1231</v>
      </c>
      <c r="J12" s="468" t="s">
        <v>1231</v>
      </c>
      <c r="K12" s="521" t="s">
        <v>1231</v>
      </c>
      <c r="L12" s="347"/>
    </row>
    <row r="13" spans="1:13" ht="15.75" customHeight="1" x14ac:dyDescent="0.2">
      <c r="A13" s="1598" t="s">
        <v>477</v>
      </c>
      <c r="B13" s="1600">
        <v>2000</v>
      </c>
      <c r="C13" s="1764">
        <f>'Expenditures 15-22'!K74</f>
        <v>278779</v>
      </c>
      <c r="D13" s="1764">
        <f>'Expenditures 15-22'!K129</f>
        <v>102819</v>
      </c>
      <c r="E13" s="469" t="s">
        <v>1231</v>
      </c>
      <c r="F13" s="1764">
        <f>'Expenditures 15-22'!K184</f>
        <v>54899</v>
      </c>
      <c r="G13" s="1764">
        <f>'Expenditures 15-22'!K279</f>
        <v>28705</v>
      </c>
      <c r="H13" s="1764">
        <f>'Expenditures 15-22'!K303</f>
        <v>0</v>
      </c>
      <c r="I13" s="468" t="s">
        <v>1231</v>
      </c>
      <c r="J13" s="1764">
        <f>'Expenditures 15-22'!K330</f>
        <v>114831</v>
      </c>
      <c r="K13" s="1768">
        <f>'Expenditures 15-22'!K352</f>
        <v>1824</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28267</v>
      </c>
      <c r="D15" s="1764">
        <f>'Expenditures 15-22'!K139</f>
        <v>0</v>
      </c>
      <c r="E15" s="1764">
        <f>'Expenditures 15-22'!K160</f>
        <v>0</v>
      </c>
      <c r="F15" s="1764">
        <f>'Expenditures 15-22'!K196</f>
        <v>0</v>
      </c>
      <c r="G15" s="1764">
        <f>'Expenditures 15-22'!K285</f>
        <v>0</v>
      </c>
      <c r="H15" s="1764">
        <f>'Expenditures 15-22'!K310</f>
        <v>3665</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52398</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1211259</v>
      </c>
      <c r="D17" s="1709">
        <f t="shared" si="2"/>
        <v>102819</v>
      </c>
      <c r="E17" s="1709">
        <f t="shared" si="2"/>
        <v>52398</v>
      </c>
      <c r="F17" s="1709">
        <f t="shared" si="2"/>
        <v>54899</v>
      </c>
      <c r="G17" s="1709">
        <f t="shared" si="2"/>
        <v>59879</v>
      </c>
      <c r="H17" s="1709">
        <f t="shared" si="2"/>
        <v>3665</v>
      </c>
      <c r="I17" s="468"/>
      <c r="J17" s="1709">
        <f>SUM(J12:J16)</f>
        <v>114831</v>
      </c>
      <c r="K17" s="1709">
        <f>SUM(K12:K16)</f>
        <v>1824</v>
      </c>
      <c r="L17" s="347"/>
    </row>
    <row r="18" spans="1:12" ht="15" customHeight="1" thickTop="1" x14ac:dyDescent="0.2">
      <c r="A18" s="1765" t="s">
        <v>1753</v>
      </c>
      <c r="B18" s="1766">
        <v>4180</v>
      </c>
      <c r="C18" s="1763">
        <f t="shared" ref="C18:H18" si="3">C9</f>
        <v>536704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1747963</v>
      </c>
      <c r="D19" s="1709">
        <f t="shared" si="4"/>
        <v>102819</v>
      </c>
      <c r="E19" s="1709">
        <f t="shared" si="4"/>
        <v>52398</v>
      </c>
      <c r="F19" s="1709">
        <f t="shared" si="4"/>
        <v>54899</v>
      </c>
      <c r="G19" s="1709">
        <f t="shared" si="4"/>
        <v>59879</v>
      </c>
      <c r="H19" s="1709">
        <f t="shared" si="4"/>
        <v>3665</v>
      </c>
      <c r="I19" s="468"/>
      <c r="J19" s="1709">
        <f>SUM(J17:J18)</f>
        <v>114831</v>
      </c>
      <c r="K19" s="1709">
        <f>SUM(K17:K18)</f>
        <v>1824</v>
      </c>
      <c r="L19" s="347"/>
    </row>
    <row r="20" spans="1:12" ht="16.5" thickTop="1" thickBot="1" x14ac:dyDescent="0.25">
      <c r="A20" s="2147" t="s">
        <v>1754</v>
      </c>
      <c r="B20" s="2148"/>
      <c r="C20" s="1767">
        <f>C8-C17</f>
        <v>153884</v>
      </c>
      <c r="D20" s="1767">
        <f t="shared" ref="D20:K20" si="5">D8-D17</f>
        <v>11315</v>
      </c>
      <c r="E20" s="1767">
        <f t="shared" si="5"/>
        <v>211</v>
      </c>
      <c r="F20" s="1767">
        <f t="shared" si="5"/>
        <v>11995</v>
      </c>
      <c r="G20" s="1767">
        <f t="shared" si="5"/>
        <v>-23645</v>
      </c>
      <c r="H20" s="1767">
        <f t="shared" si="5"/>
        <v>-3661</v>
      </c>
      <c r="I20" s="1767">
        <f t="shared" si="5"/>
        <v>9501</v>
      </c>
      <c r="J20" s="1767">
        <f t="shared" si="5"/>
        <v>36706</v>
      </c>
      <c r="K20" s="1767">
        <f t="shared" si="5"/>
        <v>8748</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v>9501</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4">
        <f>SUM(C24:C43)</f>
        <v>9501</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9501</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4">
        <f t="shared" ref="C76:K76" si="7">SUM(C47:C75)</f>
        <v>0</v>
      </c>
      <c r="D76" s="1724">
        <f t="shared" si="7"/>
        <v>0</v>
      </c>
      <c r="E76" s="1724">
        <f t="shared" si="7"/>
        <v>0</v>
      </c>
      <c r="F76" s="1724">
        <f t="shared" si="7"/>
        <v>0</v>
      </c>
      <c r="G76" s="1724">
        <f t="shared" si="7"/>
        <v>0</v>
      </c>
      <c r="H76" s="1724">
        <f t="shared" si="7"/>
        <v>0</v>
      </c>
      <c r="I76" s="1724">
        <f t="shared" si="7"/>
        <v>9501</v>
      </c>
      <c r="J76" s="1724">
        <f t="shared" si="7"/>
        <v>0</v>
      </c>
      <c r="K76" s="1724">
        <f t="shared" si="7"/>
        <v>0</v>
      </c>
      <c r="L76" s="524"/>
    </row>
    <row r="77" spans="1:12" ht="14.25" thickTop="1" thickBot="1" x14ac:dyDescent="0.25">
      <c r="A77" s="2139" t="s">
        <v>1239</v>
      </c>
      <c r="B77" s="2140"/>
      <c r="C77" s="1724">
        <f t="shared" ref="C77:K77" si="8">C44-C76</f>
        <v>9501</v>
      </c>
      <c r="D77" s="1724">
        <f t="shared" si="8"/>
        <v>0</v>
      </c>
      <c r="E77" s="1724">
        <f t="shared" si="8"/>
        <v>0</v>
      </c>
      <c r="F77" s="1724">
        <f t="shared" si="8"/>
        <v>0</v>
      </c>
      <c r="G77" s="1724">
        <f t="shared" si="8"/>
        <v>0</v>
      </c>
      <c r="H77" s="1724">
        <f t="shared" si="8"/>
        <v>0</v>
      </c>
      <c r="I77" s="1724">
        <f t="shared" si="8"/>
        <v>-9501</v>
      </c>
      <c r="J77" s="1724">
        <f t="shared" si="8"/>
        <v>0</v>
      </c>
      <c r="K77" s="1724">
        <f t="shared" si="8"/>
        <v>0</v>
      </c>
      <c r="L77" s="347"/>
    </row>
    <row r="78" spans="1:12" ht="21.75" customHeight="1" thickTop="1" thickBot="1" x14ac:dyDescent="0.25">
      <c r="A78" s="2143" t="s">
        <v>618</v>
      </c>
      <c r="B78" s="2144"/>
      <c r="C78" s="1723">
        <f t="shared" ref="C78:K78" si="9">C20+C77</f>
        <v>163385</v>
      </c>
      <c r="D78" s="1723">
        <f t="shared" si="9"/>
        <v>11315</v>
      </c>
      <c r="E78" s="1723">
        <f t="shared" si="9"/>
        <v>211</v>
      </c>
      <c r="F78" s="1723">
        <f t="shared" si="9"/>
        <v>11995</v>
      </c>
      <c r="G78" s="1723">
        <f t="shared" si="9"/>
        <v>-23645</v>
      </c>
      <c r="H78" s="1723">
        <f t="shared" si="9"/>
        <v>-3661</v>
      </c>
      <c r="I78" s="1723">
        <f t="shared" si="9"/>
        <v>0</v>
      </c>
      <c r="J78" s="1723">
        <f t="shared" si="9"/>
        <v>36706</v>
      </c>
      <c r="K78" s="1723">
        <f t="shared" si="9"/>
        <v>8748</v>
      </c>
      <c r="L78" s="533"/>
    </row>
    <row r="79" spans="1:12" ht="13.5" thickTop="1" x14ac:dyDescent="0.2">
      <c r="A79" s="1516" t="s">
        <v>2073</v>
      </c>
      <c r="B79" s="534"/>
      <c r="C79" s="478">
        <v>799509</v>
      </c>
      <c r="D79" s="535">
        <v>37340</v>
      </c>
      <c r="E79" s="535">
        <v>239</v>
      </c>
      <c r="F79" s="535">
        <v>18564</v>
      </c>
      <c r="G79" s="535">
        <v>56156</v>
      </c>
      <c r="H79" s="535">
        <v>3676</v>
      </c>
      <c r="I79" s="535"/>
      <c r="J79" s="535">
        <v>1943</v>
      </c>
      <c r="K79" s="535">
        <v>57421</v>
      </c>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2074</v>
      </c>
      <c r="B81" s="2142"/>
      <c r="C81" s="1709">
        <f>(SUM(C78:C80))</f>
        <v>962894</v>
      </c>
      <c r="D81" s="1709">
        <f>SUM(D78:D80)</f>
        <v>48655</v>
      </c>
      <c r="E81" s="1709">
        <f t="shared" ref="E81:K81" si="10">SUM(E78:E80)</f>
        <v>450</v>
      </c>
      <c r="F81" s="1709">
        <f t="shared" si="10"/>
        <v>30559</v>
      </c>
      <c r="G81" s="1709">
        <f t="shared" si="10"/>
        <v>32511</v>
      </c>
      <c r="H81" s="1709">
        <f t="shared" si="10"/>
        <v>15</v>
      </c>
      <c r="I81" s="1709">
        <f t="shared" si="10"/>
        <v>0</v>
      </c>
      <c r="J81" s="1709">
        <f t="shared" si="10"/>
        <v>38649</v>
      </c>
      <c r="K81" s="1709">
        <f t="shared" si="10"/>
        <v>66169</v>
      </c>
      <c r="L81" s="347"/>
    </row>
    <row r="82" spans="1:12" ht="0.75" customHeight="1" thickTop="1" thickBot="1" x14ac:dyDescent="0.25">
      <c r="A82" s="536" t="s">
        <v>361</v>
      </c>
      <c r="B82" s="537"/>
      <c r="C82" s="538">
        <f>(C81-C79)</f>
        <v>163385</v>
      </c>
      <c r="D82" s="538">
        <f t="shared" ref="D82:K82" si="11">(D81-D79)</f>
        <v>11315</v>
      </c>
      <c r="E82" s="538">
        <f t="shared" si="11"/>
        <v>211</v>
      </c>
      <c r="F82" s="538">
        <f t="shared" si="11"/>
        <v>11995</v>
      </c>
      <c r="G82" s="538">
        <f t="shared" si="11"/>
        <v>-23645</v>
      </c>
      <c r="H82" s="538">
        <f t="shared" si="11"/>
        <v>-3661</v>
      </c>
      <c r="I82" s="538">
        <f t="shared" si="11"/>
        <v>0</v>
      </c>
      <c r="J82" s="538">
        <f t="shared" si="11"/>
        <v>36706</v>
      </c>
      <c r="K82" s="538">
        <f t="shared" si="11"/>
        <v>8748</v>
      </c>
    </row>
    <row r="83" spans="1:12" ht="14.25" hidden="1" thickTop="1" thickBot="1" x14ac:dyDescent="0.25">
      <c r="A83" s="539" t="s">
        <v>362</v>
      </c>
      <c r="B83" s="464"/>
      <c r="C83" s="540">
        <f>C82/C81</f>
        <v>0.16968119024523987</v>
      </c>
      <c r="D83" s="540">
        <f t="shared" ref="D83:K83" si="12">D82/D81</f>
        <v>0.23255574966601583</v>
      </c>
      <c r="E83" s="540">
        <f t="shared" si="12"/>
        <v>0.46888888888888891</v>
      </c>
      <c r="F83" s="540">
        <f t="shared" si="12"/>
        <v>0.39251938872345299</v>
      </c>
      <c r="G83" s="540">
        <f t="shared" si="12"/>
        <v>-0.727292301067331</v>
      </c>
      <c r="H83" s="540">
        <f t="shared" si="12"/>
        <v>-244.06666666666666</v>
      </c>
      <c r="I83" s="540" t="e">
        <f t="shared" si="12"/>
        <v>#DIV/0!</v>
      </c>
      <c r="J83" s="540">
        <f t="shared" si="12"/>
        <v>0.94972703045356932</v>
      </c>
      <c r="K83" s="540">
        <f t="shared" si="12"/>
        <v>0.13220692469283199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3" sqref="B3:S3"/>
      <selection pane="bottomLeft" activeCell="B3" sqref="B3:S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277119</v>
      </c>
      <c r="D5" s="481">
        <v>57372</v>
      </c>
      <c r="E5" s="466">
        <v>27687</v>
      </c>
      <c r="F5" s="548">
        <v>26709</v>
      </c>
      <c r="G5" s="466">
        <v>26709</v>
      </c>
      <c r="H5" s="466"/>
      <c r="I5" s="466">
        <v>9399</v>
      </c>
      <c r="J5" s="467">
        <v>112764</v>
      </c>
      <c r="K5" s="466">
        <v>10387</v>
      </c>
    </row>
    <row r="6" spans="1:12" ht="15" x14ac:dyDescent="0.2">
      <c r="A6" s="463" t="s">
        <v>1761</v>
      </c>
      <c r="B6" s="470">
        <v>1130</v>
      </c>
      <c r="C6" s="466"/>
      <c r="D6" s="466"/>
      <c r="E6" s="475"/>
      <c r="F6" s="475"/>
      <c r="G6" s="468"/>
      <c r="H6" s="468"/>
      <c r="I6" s="468"/>
      <c r="J6" s="468"/>
      <c r="K6" s="468"/>
    </row>
    <row r="7" spans="1:12" x14ac:dyDescent="0.2">
      <c r="A7" s="463" t="s">
        <v>112</v>
      </c>
      <c r="B7" s="549">
        <v>1140</v>
      </c>
      <c r="C7" s="466">
        <v>4552</v>
      </c>
      <c r="D7" s="466"/>
      <c r="E7" s="468"/>
      <c r="F7" s="467"/>
      <c r="G7" s="467"/>
      <c r="H7" s="467"/>
      <c r="I7" s="468"/>
      <c r="J7" s="468"/>
      <c r="K7" s="468"/>
    </row>
    <row r="8" spans="1:12" x14ac:dyDescent="0.2">
      <c r="A8" s="463" t="s">
        <v>433</v>
      </c>
      <c r="B8" s="470">
        <v>1150</v>
      </c>
      <c r="C8" s="475"/>
      <c r="D8" s="475"/>
      <c r="E8" s="477"/>
      <c r="F8" s="477"/>
      <c r="G8" s="481">
        <v>2573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281671</v>
      </c>
      <c r="D12" s="1728">
        <f t="shared" si="0"/>
        <v>57372</v>
      </c>
      <c r="E12" s="1728">
        <f t="shared" si="0"/>
        <v>27687</v>
      </c>
      <c r="F12" s="1728">
        <f t="shared" si="0"/>
        <v>26709</v>
      </c>
      <c r="G12" s="1728">
        <f t="shared" si="0"/>
        <v>29282</v>
      </c>
      <c r="H12" s="1728">
        <f t="shared" si="0"/>
        <v>0</v>
      </c>
      <c r="I12" s="1728">
        <f t="shared" si="0"/>
        <v>9399</v>
      </c>
      <c r="J12" s="1728">
        <f t="shared" si="0"/>
        <v>112764</v>
      </c>
      <c r="K12" s="1709">
        <f t="shared" si="0"/>
        <v>10387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2538</v>
      </c>
      <c r="D14" s="466">
        <v>512</v>
      </c>
      <c r="E14" s="466">
        <v>247</v>
      </c>
      <c r="F14" s="466">
        <v>238</v>
      </c>
      <c r="G14" s="466">
        <v>238</v>
      </c>
      <c r="H14" s="466"/>
      <c r="I14" s="466">
        <v>84</v>
      </c>
      <c r="J14" s="467">
        <v>1007</v>
      </c>
      <c r="K14" s="466">
        <v>93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105182</v>
      </c>
      <c r="D16" s="466"/>
      <c r="E16" s="466"/>
      <c r="F16" s="466">
        <v>1800</v>
      </c>
      <c r="G16" s="466"/>
      <c r="H16" s="466"/>
      <c r="I16" s="466"/>
      <c r="J16" s="467">
        <v>22536</v>
      </c>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107720</v>
      </c>
      <c r="D18" s="1731">
        <f t="shared" ref="D18:K18" si="1">SUM(D14:D17)</f>
        <v>512</v>
      </c>
      <c r="E18" s="1731">
        <f t="shared" si="1"/>
        <v>247</v>
      </c>
      <c r="F18" s="1731">
        <f t="shared" si="1"/>
        <v>2038</v>
      </c>
      <c r="G18" s="1731">
        <f t="shared" si="1"/>
        <v>238</v>
      </c>
      <c r="H18" s="1731">
        <f t="shared" si="1"/>
        <v>0</v>
      </c>
      <c r="I18" s="1731">
        <f t="shared" si="1"/>
        <v>84</v>
      </c>
      <c r="J18" s="1731">
        <f t="shared" si="1"/>
        <v>23543</v>
      </c>
      <c r="K18" s="1732">
        <f t="shared" si="1"/>
        <v>93</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2162</v>
      </c>
      <c r="D65" s="466">
        <v>136</v>
      </c>
      <c r="E65" s="466">
        <v>50</v>
      </c>
      <c r="F65" s="467">
        <v>69</v>
      </c>
      <c r="G65" s="466">
        <v>214</v>
      </c>
      <c r="H65" s="466">
        <v>4</v>
      </c>
      <c r="I65" s="466">
        <v>18</v>
      </c>
      <c r="J65" s="467">
        <v>230</v>
      </c>
      <c r="K65" s="466">
        <v>92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2162</v>
      </c>
      <c r="D67" s="1709">
        <f t="shared" ref="D67:K67" si="2">SUM(D65:D66)</f>
        <v>136</v>
      </c>
      <c r="E67" s="1709">
        <f t="shared" si="2"/>
        <v>50</v>
      </c>
      <c r="F67" s="1709">
        <f t="shared" si="2"/>
        <v>69</v>
      </c>
      <c r="G67" s="1709">
        <f t="shared" si="2"/>
        <v>214</v>
      </c>
      <c r="H67" s="1709">
        <f t="shared" si="2"/>
        <v>4</v>
      </c>
      <c r="I67" s="1709">
        <f t="shared" si="2"/>
        <v>18</v>
      </c>
      <c r="J67" s="1709">
        <f t="shared" si="2"/>
        <v>230</v>
      </c>
      <c r="K67" s="1709">
        <f t="shared" si="2"/>
        <v>92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519</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548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1055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1055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1665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627</v>
      </c>
      <c r="D106" s="489"/>
      <c r="E106" s="467"/>
      <c r="F106" s="467"/>
      <c r="G106" s="467"/>
      <c r="H106" s="467"/>
      <c r="I106" s="521"/>
      <c r="J106" s="467"/>
      <c r="K106" s="467"/>
    </row>
    <row r="107" spans="1:12" ht="12.75" customHeight="1" x14ac:dyDescent="0.2">
      <c r="A107" s="463" t="s">
        <v>80</v>
      </c>
      <c r="B107" s="470">
        <v>1999</v>
      </c>
      <c r="C107" s="551">
        <v>4027</v>
      </c>
      <c r="D107" s="466">
        <v>4449</v>
      </c>
      <c r="E107" s="466"/>
      <c r="F107" s="466"/>
      <c r="G107" s="466"/>
      <c r="H107" s="466"/>
      <c r="I107" s="466"/>
      <c r="J107" s="467"/>
      <c r="K107" s="466"/>
    </row>
    <row r="108" spans="1:12" ht="12.75" customHeight="1" thickBot="1" x14ac:dyDescent="0.25">
      <c r="A108" s="1729" t="s">
        <v>508</v>
      </c>
      <c r="B108" s="1733"/>
      <c r="C108" s="1728">
        <f>SUM(C95:C107)</f>
        <v>4654</v>
      </c>
      <c r="D108" s="1728">
        <f t="shared" ref="D108:K108" si="3">SUM(D95:D107)</f>
        <v>6114</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397810</v>
      </c>
      <c r="D109" s="1736">
        <f t="shared" si="4"/>
        <v>64134</v>
      </c>
      <c r="E109" s="1736">
        <f t="shared" si="4"/>
        <v>27984</v>
      </c>
      <c r="F109" s="1736">
        <f t="shared" si="4"/>
        <v>28816</v>
      </c>
      <c r="G109" s="1736">
        <f t="shared" si="4"/>
        <v>29734</v>
      </c>
      <c r="H109" s="1736">
        <f t="shared" si="4"/>
        <v>4</v>
      </c>
      <c r="I109" s="1736">
        <f t="shared" si="4"/>
        <v>9501</v>
      </c>
      <c r="J109" s="1736">
        <f t="shared" si="4"/>
        <v>136537</v>
      </c>
      <c r="K109" s="1723">
        <f t="shared" si="4"/>
        <v>10572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630565</v>
      </c>
      <c r="D117" s="481">
        <v>50000</v>
      </c>
      <c r="E117" s="466">
        <v>24625</v>
      </c>
      <c r="F117" s="481">
        <v>15000</v>
      </c>
      <c r="G117" s="481"/>
      <c r="H117" s="466"/>
      <c r="I117" s="468"/>
      <c r="J117" s="467">
        <v>15000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630565</v>
      </c>
      <c r="D121" s="1728">
        <f t="shared" si="5"/>
        <v>50000</v>
      </c>
      <c r="E121" s="1728">
        <f t="shared" si="5"/>
        <v>24625</v>
      </c>
      <c r="F121" s="1728">
        <f t="shared" si="5"/>
        <v>15000</v>
      </c>
      <c r="G121" s="1728">
        <f t="shared" si="5"/>
        <v>0</v>
      </c>
      <c r="H121" s="1728">
        <f t="shared" si="5"/>
        <v>0</v>
      </c>
      <c r="I121" s="468"/>
      <c r="J121" s="1728">
        <f>SUM(J117:J120)</f>
        <v>15000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12450</v>
      </c>
      <c r="D125" s="561"/>
      <c r="E125" s="468"/>
      <c r="F125" s="466"/>
      <c r="G125" s="468"/>
      <c r="H125" s="468"/>
      <c r="I125" s="468"/>
      <c r="J125" s="468"/>
      <c r="K125" s="468"/>
    </row>
    <row r="126" spans="1:11" ht="12.75" customHeight="1" x14ac:dyDescent="0.2">
      <c r="A126" s="463" t="s">
        <v>922</v>
      </c>
      <c r="B126" s="562">
        <v>3110</v>
      </c>
      <c r="C126" s="551">
        <v>19339</v>
      </c>
      <c r="D126" s="466"/>
      <c r="E126" s="468"/>
      <c r="F126" s="466"/>
      <c r="G126" s="468"/>
      <c r="H126" s="468"/>
      <c r="I126" s="468"/>
      <c r="J126" s="468"/>
      <c r="K126" s="468"/>
    </row>
    <row r="127" spans="1:11" ht="12.75" customHeight="1" x14ac:dyDescent="0.2">
      <c r="A127" s="463" t="s">
        <v>107</v>
      </c>
      <c r="B127" s="562">
        <v>3120</v>
      </c>
      <c r="C127" s="466">
        <v>6722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38511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2508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19962</v>
      </c>
      <c r="G151" s="467"/>
      <c r="H151" s="468"/>
      <c r="I151" s="468"/>
      <c r="J151" s="468"/>
      <c r="K151" s="468"/>
    </row>
    <row r="152" spans="1:11" ht="12.75" customHeight="1" x14ac:dyDescent="0.2">
      <c r="A152" s="463" t="s">
        <v>1117</v>
      </c>
      <c r="B152" s="562">
        <v>3510</v>
      </c>
      <c r="C152" s="551"/>
      <c r="D152" s="466"/>
      <c r="E152" s="561"/>
      <c r="F152" s="466">
        <v>3116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23078</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5" t="s">
        <v>418</v>
      </c>
      <c r="B172" s="2166"/>
      <c r="C172" s="1743">
        <f t="shared" ref="C172:K172" si="6">SUM(C131,C140,C144,C145:C149,C154,C155:C170,C171)</f>
        <v>41019</v>
      </c>
      <c r="D172" s="1743">
        <f t="shared" si="6"/>
        <v>0</v>
      </c>
      <c r="E172" s="1743">
        <f t="shared" si="6"/>
        <v>0</v>
      </c>
      <c r="F172" s="1743">
        <f t="shared" si="6"/>
        <v>23078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671584</v>
      </c>
      <c r="D173" s="1736">
        <f>SUM(D121,D172)</f>
        <v>50000</v>
      </c>
      <c r="E173" s="1736">
        <f>SUM(E121,E172)</f>
        <v>24625</v>
      </c>
      <c r="F173" s="1736">
        <f t="shared" ref="F173:K173" si="7">SUM(F121,F172)</f>
        <v>38078</v>
      </c>
      <c r="G173" s="1736">
        <f t="shared" si="7"/>
        <v>0</v>
      </c>
      <c r="H173" s="1736">
        <f t="shared" si="7"/>
        <v>0</v>
      </c>
      <c r="I173" s="1736">
        <f t="shared" si="7"/>
        <v>0</v>
      </c>
      <c r="J173" s="1736">
        <f t="shared" si="7"/>
        <v>15000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21573</v>
      </c>
      <c r="D183" s="466"/>
      <c r="E183" s="468"/>
      <c r="F183" s="466"/>
      <c r="G183" s="466"/>
      <c r="H183" s="466"/>
      <c r="I183" s="468"/>
      <c r="J183" s="468"/>
      <c r="K183" s="466"/>
    </row>
    <row r="184" spans="1:11" ht="13.5" thickBot="1" x14ac:dyDescent="0.25">
      <c r="A184" s="2173" t="s">
        <v>818</v>
      </c>
      <c r="B184" s="2174"/>
      <c r="C184" s="1728">
        <f>SUM(C180:C183)</f>
        <v>21573</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85031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39148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9847</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134026</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77972</v>
      </c>
      <c r="D203" s="466"/>
      <c r="E203" s="468"/>
      <c r="F203" s="466"/>
      <c r="G203" s="466">
        <v>6500</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77972</v>
      </c>
      <c r="D211" s="1728">
        <f>SUM(D203:D210)</f>
        <v>0</v>
      </c>
      <c r="E211" s="468"/>
      <c r="F211" s="1728">
        <f>SUM(F203:F210)</f>
        <v>0</v>
      </c>
      <c r="G211" s="1728">
        <f>SUM(G203:G210)</f>
        <v>6500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1839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1839</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14983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14983</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3663</v>
      </c>
      <c r="D270" s="576"/>
      <c r="E270" s="468"/>
      <c r="F270" s="576"/>
      <c r="G270" s="576"/>
      <c r="H270" s="468"/>
      <c r="I270" s="468"/>
      <c r="J270" s="468"/>
      <c r="K270" s="468"/>
    </row>
    <row r="271" spans="1:11" ht="12.75" customHeight="1" thickTop="1" thickBot="1" x14ac:dyDescent="0.25">
      <c r="A271" s="463" t="s">
        <v>395</v>
      </c>
      <c r="B271" s="470">
        <v>4992</v>
      </c>
      <c r="C271" s="575">
        <v>36244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274176</v>
      </c>
      <c r="D273" s="1736">
        <f t="shared" si="10"/>
        <v>0</v>
      </c>
      <c r="E273" s="1736">
        <f t="shared" si="10"/>
        <v>0</v>
      </c>
      <c r="F273" s="1736">
        <f t="shared" si="10"/>
        <v>0</v>
      </c>
      <c r="G273" s="1736">
        <f t="shared" si="10"/>
        <v>6500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295749</v>
      </c>
      <c r="D274" s="1736">
        <f>SUM(D178,D184,D273)</f>
        <v>0</v>
      </c>
      <c r="E274" s="1736">
        <f>SUM(E178,E273)</f>
        <v>0</v>
      </c>
      <c r="F274" s="1736">
        <f t="shared" ref="F274:K274" si="11">SUM(F178,F184,F273)</f>
        <v>0</v>
      </c>
      <c r="G274" s="1736">
        <f t="shared" si="11"/>
        <v>6500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1365143</v>
      </c>
      <c r="D275" s="1736">
        <f t="shared" si="12"/>
        <v>114134</v>
      </c>
      <c r="E275" s="1736">
        <f t="shared" si="12"/>
        <v>52609</v>
      </c>
      <c r="F275" s="1736">
        <f t="shared" si="12"/>
        <v>66894</v>
      </c>
      <c r="G275" s="1736">
        <f t="shared" si="12"/>
        <v>36234</v>
      </c>
      <c r="H275" s="1736">
        <f t="shared" si="12"/>
        <v>4</v>
      </c>
      <c r="I275" s="1736">
        <f t="shared" si="12"/>
        <v>9501</v>
      </c>
      <c r="J275" s="1736">
        <f t="shared" si="12"/>
        <v>151537</v>
      </c>
      <c r="K275" s="1723">
        <f t="shared" si="12"/>
        <v>10572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B3" sqref="B3:S3"/>
      <selection pane="bottomLeft" activeCell="B3" sqref="B3:S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480647</v>
      </c>
      <c r="D5" s="466">
        <v>95773</v>
      </c>
      <c r="E5" s="466">
        <v>16460</v>
      </c>
      <c r="F5" s="466">
        <v>35476</v>
      </c>
      <c r="G5" s="466">
        <v>2117</v>
      </c>
      <c r="H5" s="466"/>
      <c r="I5" s="467"/>
      <c r="J5" s="467"/>
      <c r="K5" s="1692">
        <f>SUM(C5:J5)</f>
        <v>630473</v>
      </c>
      <c r="L5" s="466">
        <v>633878</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147212</v>
      </c>
      <c r="D8" s="466">
        <v>19211</v>
      </c>
      <c r="E8" s="466">
        <v>200</v>
      </c>
      <c r="F8" s="466">
        <v>1106</v>
      </c>
      <c r="G8" s="466"/>
      <c r="H8" s="466"/>
      <c r="I8" s="467"/>
      <c r="J8" s="467"/>
      <c r="K8" s="1692">
        <f t="shared" si="0"/>
        <v>167729</v>
      </c>
      <c r="L8" s="466">
        <v>167995</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73407</v>
      </c>
      <c r="D10" s="466">
        <v>1175</v>
      </c>
      <c r="E10" s="466">
        <v>3112</v>
      </c>
      <c r="F10" s="466">
        <v>10884</v>
      </c>
      <c r="G10" s="466"/>
      <c r="H10" s="466"/>
      <c r="I10" s="467"/>
      <c r="J10" s="467"/>
      <c r="K10" s="1692">
        <f t="shared" si="0"/>
        <v>88578</v>
      </c>
      <c r="L10" s="466">
        <v>83837</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10644</v>
      </c>
      <c r="D14" s="466">
        <v>312</v>
      </c>
      <c r="E14" s="466">
        <v>258</v>
      </c>
      <c r="F14" s="466">
        <v>5979</v>
      </c>
      <c r="G14" s="466"/>
      <c r="H14" s="466">
        <v>240</v>
      </c>
      <c r="I14" s="467"/>
      <c r="J14" s="467"/>
      <c r="K14" s="1692">
        <f t="shared" si="0"/>
        <v>17433</v>
      </c>
      <c r="L14" s="466">
        <v>17433</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711910</v>
      </c>
      <c r="D33" s="1691">
        <f t="shared" ref="D33:L33" si="1">SUM(D5:D32)</f>
        <v>116471</v>
      </c>
      <c r="E33" s="1691">
        <f t="shared" si="1"/>
        <v>20030</v>
      </c>
      <c r="F33" s="1691">
        <f t="shared" si="1"/>
        <v>53445</v>
      </c>
      <c r="G33" s="1691">
        <f t="shared" si="1"/>
        <v>2117</v>
      </c>
      <c r="H33" s="1691">
        <f t="shared" si="1"/>
        <v>240</v>
      </c>
      <c r="I33" s="1691">
        <f t="shared" si="1"/>
        <v>0</v>
      </c>
      <c r="J33" s="1691">
        <f t="shared" si="1"/>
        <v>0</v>
      </c>
      <c r="K33" s="1691">
        <f t="shared" si="1"/>
        <v>904213</v>
      </c>
      <c r="L33" s="1691">
        <f t="shared" si="1"/>
        <v>903143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c r="F38" s="466">
        <v>424</v>
      </c>
      <c r="G38" s="466"/>
      <c r="H38" s="466"/>
      <c r="I38" s="467"/>
      <c r="J38" s="467"/>
      <c r="K38" s="1692">
        <f t="shared" si="2"/>
        <v>424</v>
      </c>
      <c r="L38" s="466">
        <v>424</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14137</v>
      </c>
      <c r="F40" s="466"/>
      <c r="G40" s="466"/>
      <c r="H40" s="466"/>
      <c r="I40" s="467"/>
      <c r="J40" s="467"/>
      <c r="K40" s="1692">
        <f t="shared" si="2"/>
        <v>14137</v>
      </c>
      <c r="L40" s="466">
        <v>14136</v>
      </c>
    </row>
    <row r="41" spans="1:14" x14ac:dyDescent="0.2">
      <c r="A41" s="1526" t="s">
        <v>1768</v>
      </c>
      <c r="B41" s="615">
        <v>2190</v>
      </c>
      <c r="C41" s="466">
        <v>2850</v>
      </c>
      <c r="D41" s="466">
        <v>299</v>
      </c>
      <c r="E41" s="466">
        <v>2148</v>
      </c>
      <c r="F41" s="466">
        <v>1722</v>
      </c>
      <c r="G41" s="466"/>
      <c r="H41" s="466"/>
      <c r="I41" s="467"/>
      <c r="J41" s="467"/>
      <c r="K41" s="1692">
        <f t="shared" si="2"/>
        <v>7019</v>
      </c>
      <c r="L41" s="466">
        <v>7020</v>
      </c>
    </row>
    <row r="42" spans="1:14" ht="12.75" customHeight="1" thickBot="1" x14ac:dyDescent="0.25">
      <c r="A42" s="1689" t="s">
        <v>581</v>
      </c>
      <c r="B42" s="1690" t="s">
        <v>740</v>
      </c>
      <c r="C42" s="1691">
        <f>SUM(C36:C41)</f>
        <v>2850</v>
      </c>
      <c r="D42" s="1691">
        <f t="shared" ref="D42:L42" si="3">SUM(D36:D41)</f>
        <v>299</v>
      </c>
      <c r="E42" s="1691">
        <f t="shared" si="3"/>
        <v>16285</v>
      </c>
      <c r="F42" s="1691">
        <f t="shared" si="3"/>
        <v>2146</v>
      </c>
      <c r="G42" s="1691">
        <f t="shared" si="3"/>
        <v>0</v>
      </c>
      <c r="H42" s="1691">
        <f t="shared" si="3"/>
        <v>0</v>
      </c>
      <c r="I42" s="1691">
        <f t="shared" si="3"/>
        <v>0</v>
      </c>
      <c r="J42" s="1691">
        <f t="shared" si="3"/>
        <v>0</v>
      </c>
      <c r="K42" s="1691">
        <f t="shared" si="3"/>
        <v>21580</v>
      </c>
      <c r="L42" s="1691">
        <f t="shared" si="3"/>
        <v>21580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1000</v>
      </c>
      <c r="D44" s="481">
        <v>4457</v>
      </c>
      <c r="E44" s="481">
        <v>4264</v>
      </c>
      <c r="F44" s="481">
        <v>48</v>
      </c>
      <c r="G44" s="481"/>
      <c r="H44" s="481"/>
      <c r="I44" s="467"/>
      <c r="J44" s="467"/>
      <c r="K44" s="1693">
        <f>SUM(C44:J44)</f>
        <v>9769</v>
      </c>
      <c r="L44" s="481">
        <v>9174</v>
      </c>
    </row>
    <row r="45" spans="1:14" x14ac:dyDescent="0.2">
      <c r="A45" s="1526" t="s">
        <v>869</v>
      </c>
      <c r="B45" s="615">
        <v>2220</v>
      </c>
      <c r="C45" s="466">
        <v>1350</v>
      </c>
      <c r="D45" s="466">
        <v>140</v>
      </c>
      <c r="E45" s="466">
        <v>7689</v>
      </c>
      <c r="F45" s="466">
        <v>125</v>
      </c>
      <c r="G45" s="466"/>
      <c r="H45" s="466"/>
      <c r="I45" s="467"/>
      <c r="J45" s="467"/>
      <c r="K45" s="1693">
        <f>SUM(C45:J45)</f>
        <v>9304</v>
      </c>
      <c r="L45" s="466">
        <v>9304</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2350</v>
      </c>
      <c r="D47" s="1691">
        <f t="shared" ref="D47:K47" si="4">SUM(D44:D46)</f>
        <v>4597</v>
      </c>
      <c r="E47" s="1691">
        <f t="shared" si="4"/>
        <v>11953</v>
      </c>
      <c r="F47" s="1691">
        <f t="shared" si="4"/>
        <v>173</v>
      </c>
      <c r="G47" s="1691">
        <f t="shared" si="4"/>
        <v>0</v>
      </c>
      <c r="H47" s="1691">
        <f t="shared" si="4"/>
        <v>0</v>
      </c>
      <c r="I47" s="1691">
        <f t="shared" si="4"/>
        <v>0</v>
      </c>
      <c r="J47" s="1691">
        <f t="shared" si="4"/>
        <v>0</v>
      </c>
      <c r="K47" s="1691">
        <f t="shared" si="4"/>
        <v>19073</v>
      </c>
      <c r="L47" s="1691">
        <f>SUM(L44:L46)</f>
        <v>18478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1000</v>
      </c>
      <c r="D49" s="481"/>
      <c r="E49" s="481">
        <v>6953</v>
      </c>
      <c r="F49" s="481">
        <v>1818</v>
      </c>
      <c r="G49" s="481"/>
      <c r="H49" s="481">
        <v>3489</v>
      </c>
      <c r="I49" s="467"/>
      <c r="J49" s="467"/>
      <c r="K49" s="1693">
        <f>SUM(C49:J49)</f>
        <v>13260</v>
      </c>
      <c r="L49" s="481">
        <v>15503</v>
      </c>
    </row>
    <row r="50" spans="1:14" x14ac:dyDescent="0.2">
      <c r="A50" s="1526" t="s">
        <v>872</v>
      </c>
      <c r="B50" s="615">
        <v>2320</v>
      </c>
      <c r="C50" s="466">
        <v>48930</v>
      </c>
      <c r="D50" s="466">
        <v>6231</v>
      </c>
      <c r="E50" s="466">
        <v>412</v>
      </c>
      <c r="F50" s="466">
        <v>53</v>
      </c>
      <c r="G50" s="466"/>
      <c r="H50" s="466">
        <v>784</v>
      </c>
      <c r="I50" s="467"/>
      <c r="J50" s="467"/>
      <c r="K50" s="1693">
        <f>SUM(C50:J50)</f>
        <v>56410</v>
      </c>
      <c r="L50" s="466">
        <v>56389</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49930</v>
      </c>
      <c r="D53" s="1691">
        <f t="shared" ref="D53:L53" si="5">SUM(D49:D52)</f>
        <v>6231</v>
      </c>
      <c r="E53" s="1691">
        <f t="shared" si="5"/>
        <v>7365</v>
      </c>
      <c r="F53" s="1691">
        <f t="shared" si="5"/>
        <v>1871</v>
      </c>
      <c r="G53" s="1691">
        <f t="shared" si="5"/>
        <v>0</v>
      </c>
      <c r="H53" s="1691">
        <f t="shared" si="5"/>
        <v>4273</v>
      </c>
      <c r="I53" s="1691">
        <f t="shared" si="5"/>
        <v>0</v>
      </c>
      <c r="J53" s="1691">
        <f t="shared" si="5"/>
        <v>0</v>
      </c>
      <c r="K53" s="1691">
        <f t="shared" si="5"/>
        <v>69670</v>
      </c>
      <c r="L53" s="1691">
        <f t="shared" si="5"/>
        <v>71892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50587</v>
      </c>
      <c r="D55" s="481">
        <v>3198</v>
      </c>
      <c r="E55" s="481">
        <v>1067</v>
      </c>
      <c r="F55" s="481"/>
      <c r="G55" s="481"/>
      <c r="H55" s="481"/>
      <c r="I55" s="467"/>
      <c r="J55" s="467"/>
      <c r="K55" s="1693">
        <f>SUM(C55:J55)</f>
        <v>54852</v>
      </c>
      <c r="L55" s="481">
        <v>54854</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50587</v>
      </c>
      <c r="D57" s="1695">
        <f t="shared" ref="D57:K57" si="6">SUM(D55:D56)</f>
        <v>3198</v>
      </c>
      <c r="E57" s="1695">
        <f t="shared" si="6"/>
        <v>1067</v>
      </c>
      <c r="F57" s="1695">
        <f t="shared" si="6"/>
        <v>0</v>
      </c>
      <c r="G57" s="1695">
        <f t="shared" si="6"/>
        <v>0</v>
      </c>
      <c r="H57" s="1695">
        <f t="shared" si="6"/>
        <v>0</v>
      </c>
      <c r="I57" s="1695">
        <f t="shared" si="6"/>
        <v>0</v>
      </c>
      <c r="J57" s="1695">
        <f t="shared" si="6"/>
        <v>0</v>
      </c>
      <c r="K57" s="1695">
        <f t="shared" si="6"/>
        <v>54852</v>
      </c>
      <c r="L57" s="1691">
        <f>SUM(L55:L56)</f>
        <v>54854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14000</v>
      </c>
      <c r="D60" s="466"/>
      <c r="E60" s="466">
        <v>475</v>
      </c>
      <c r="F60" s="466">
        <v>975</v>
      </c>
      <c r="G60" s="466"/>
      <c r="H60" s="466"/>
      <c r="I60" s="467"/>
      <c r="J60" s="467"/>
      <c r="K60" s="1693">
        <f t="shared" si="7"/>
        <v>15450</v>
      </c>
      <c r="L60" s="466">
        <v>15450</v>
      </c>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26137</v>
      </c>
      <c r="D63" s="466">
        <v>2573</v>
      </c>
      <c r="E63" s="466">
        <v>69444</v>
      </c>
      <c r="F63" s="466"/>
      <c r="G63" s="466"/>
      <c r="H63" s="466"/>
      <c r="I63" s="467"/>
      <c r="J63" s="467"/>
      <c r="K63" s="1693">
        <f t="shared" si="7"/>
        <v>98154</v>
      </c>
      <c r="L63" s="466">
        <v>98330</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40137</v>
      </c>
      <c r="D65" s="1691">
        <f t="shared" ref="D65:L65" si="8">SUM(D59:D64)</f>
        <v>2573</v>
      </c>
      <c r="E65" s="1691">
        <f t="shared" si="8"/>
        <v>69919</v>
      </c>
      <c r="F65" s="1691">
        <f t="shared" si="8"/>
        <v>975</v>
      </c>
      <c r="G65" s="1691">
        <f t="shared" si="8"/>
        <v>0</v>
      </c>
      <c r="H65" s="1691">
        <f t="shared" si="8"/>
        <v>0</v>
      </c>
      <c r="I65" s="1691">
        <f t="shared" si="8"/>
        <v>0</v>
      </c>
      <c r="J65" s="1691">
        <f t="shared" si="8"/>
        <v>0</v>
      </c>
      <c r="K65" s="1691">
        <f t="shared" si="8"/>
        <v>113604</v>
      </c>
      <c r="L65" s="1691">
        <f t="shared" si="8"/>
        <v>113780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145854</v>
      </c>
      <c r="D74" s="1698">
        <f t="shared" ref="D74:K74" si="10">SUM(D42,D47,D53,D57,D65,D72,D73)</f>
        <v>16898</v>
      </c>
      <c r="E74" s="1698">
        <f t="shared" si="10"/>
        <v>106589</v>
      </c>
      <c r="F74" s="1698">
        <f t="shared" si="10"/>
        <v>5165</v>
      </c>
      <c r="G74" s="1698">
        <f t="shared" si="10"/>
        <v>0</v>
      </c>
      <c r="H74" s="1698">
        <f t="shared" si="10"/>
        <v>4273</v>
      </c>
      <c r="I74" s="1698">
        <f t="shared" si="10"/>
        <v>0</v>
      </c>
      <c r="J74" s="1698">
        <f t="shared" si="10"/>
        <v>0</v>
      </c>
      <c r="K74" s="1698">
        <f t="shared" si="10"/>
        <v>278779</v>
      </c>
      <c r="L74" s="1698">
        <f>SUM(L42,L47,L53,L57,L65,L72,L73)</f>
        <v>280584</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3312</v>
      </c>
      <c r="F79" s="617"/>
      <c r="G79" s="617"/>
      <c r="H79" s="466"/>
      <c r="I79" s="477"/>
      <c r="J79" s="477"/>
      <c r="K79" s="1692">
        <f t="shared" si="11"/>
        <v>3312</v>
      </c>
      <c r="L79" s="466">
        <v>28267</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3312</v>
      </c>
      <c r="F84" s="617"/>
      <c r="G84" s="617"/>
      <c r="H84" s="1691">
        <f>SUM(H78:H83)</f>
        <v>0</v>
      </c>
      <c r="I84" s="477"/>
      <c r="J84" s="477"/>
      <c r="K84" s="1691">
        <f>SUM(K78:K83)</f>
        <v>3312</v>
      </c>
      <c r="L84" s="1691">
        <f>SUM(L78:L83)</f>
        <v>28267</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24955</v>
      </c>
      <c r="I86" s="477"/>
      <c r="J86" s="477"/>
      <c r="K86" s="1698">
        <f t="shared" ref="K86:K98" si="12">H86</f>
        <v>24955</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24955</v>
      </c>
      <c r="I92" s="477"/>
      <c r="J92" s="477"/>
      <c r="K92" s="1698">
        <f t="shared" si="12"/>
        <v>24955</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3312</v>
      </c>
      <c r="F102" s="617"/>
      <c r="G102" s="617"/>
      <c r="H102" s="1698">
        <f>SUM(H84,H92,H100,H101)</f>
        <v>24955</v>
      </c>
      <c r="I102" s="477"/>
      <c r="J102" s="477"/>
      <c r="K102" s="1698">
        <f>SUM(K84,K92,K100,K101)</f>
        <v>28267</v>
      </c>
      <c r="L102" s="1698">
        <f>SUM(L84,L92,L100,L101)</f>
        <v>28267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857764</v>
      </c>
      <c r="D114" s="1691">
        <f t="shared" ref="D114:K114" si="13">SUM(D33,D74,D75,D102,D112,D113)</f>
        <v>133369</v>
      </c>
      <c r="E114" s="1691">
        <f t="shared" si="13"/>
        <v>129931</v>
      </c>
      <c r="F114" s="1691">
        <f t="shared" si="13"/>
        <v>58610</v>
      </c>
      <c r="G114" s="1691">
        <f t="shared" si="13"/>
        <v>2117</v>
      </c>
      <c r="H114" s="1691">
        <f>SUM(H33,H74,H75,H102,H112,H113)</f>
        <v>29468</v>
      </c>
      <c r="I114" s="1691">
        <f t="shared" si="13"/>
        <v>0</v>
      </c>
      <c r="J114" s="1691">
        <f t="shared" si="13"/>
        <v>0</v>
      </c>
      <c r="K114" s="1691">
        <f t="shared" si="13"/>
        <v>1211259</v>
      </c>
      <c r="L114" s="1691">
        <f>SUM(L33,L74,L75,L102,L112,L113)</f>
        <v>1211994</v>
      </c>
    </row>
    <row r="115" spans="1:14" ht="13.5" thickTop="1" x14ac:dyDescent="0.2">
      <c r="A115" s="2177" t="s">
        <v>1053</v>
      </c>
      <c r="B115" s="2178"/>
      <c r="C115" s="619"/>
      <c r="D115" s="619"/>
      <c r="E115" s="619"/>
      <c r="F115" s="619"/>
      <c r="G115" s="619"/>
      <c r="H115" s="619"/>
      <c r="I115" s="619"/>
      <c r="J115" s="619"/>
      <c r="K115" s="1705">
        <f>'Revenues 9-14'!C275-'Expenditures 15-22'!K114</f>
        <v>153884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40479</v>
      </c>
      <c r="D124" s="466"/>
      <c r="E124" s="466">
        <v>40537</v>
      </c>
      <c r="F124" s="466">
        <v>10303</v>
      </c>
      <c r="G124" s="466">
        <v>11500</v>
      </c>
      <c r="H124" s="466"/>
      <c r="I124" s="467"/>
      <c r="J124" s="467"/>
      <c r="K124" s="1691">
        <f>SUM(C124:J124)</f>
        <v>102819</v>
      </c>
      <c r="L124" s="466">
        <v>96560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40479</v>
      </c>
      <c r="D127" s="1691">
        <f t="shared" ref="D127:L127" si="14">SUM(D122:D126)</f>
        <v>0</v>
      </c>
      <c r="E127" s="1691">
        <f t="shared" si="14"/>
        <v>40537</v>
      </c>
      <c r="F127" s="1691">
        <f t="shared" si="14"/>
        <v>10303</v>
      </c>
      <c r="G127" s="1691">
        <f t="shared" si="14"/>
        <v>11500</v>
      </c>
      <c r="H127" s="1691">
        <f t="shared" si="14"/>
        <v>0</v>
      </c>
      <c r="I127" s="1691">
        <f t="shared" si="14"/>
        <v>0</v>
      </c>
      <c r="J127" s="1691">
        <f t="shared" si="14"/>
        <v>0</v>
      </c>
      <c r="K127" s="1691">
        <f t="shared" si="14"/>
        <v>102819</v>
      </c>
      <c r="L127" s="1691">
        <f t="shared" si="14"/>
        <v>96560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40479</v>
      </c>
      <c r="D129" s="1698">
        <f t="shared" ref="D129:L129" si="15">SUM(D120,D127,D128)</f>
        <v>0</v>
      </c>
      <c r="E129" s="1698">
        <f t="shared" si="15"/>
        <v>40537</v>
      </c>
      <c r="F129" s="1698">
        <f t="shared" si="15"/>
        <v>10303</v>
      </c>
      <c r="G129" s="1698">
        <f t="shared" si="15"/>
        <v>11500</v>
      </c>
      <c r="H129" s="1698">
        <f t="shared" si="15"/>
        <v>0</v>
      </c>
      <c r="I129" s="1698">
        <f t="shared" si="15"/>
        <v>0</v>
      </c>
      <c r="J129" s="1698">
        <f t="shared" si="15"/>
        <v>0</v>
      </c>
      <c r="K129" s="1698">
        <f t="shared" si="15"/>
        <v>102819</v>
      </c>
      <c r="L129" s="1698">
        <f t="shared" si="15"/>
        <v>96560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4" t="s">
        <v>641</v>
      </c>
      <c r="B151" s="2174"/>
      <c r="C151" s="1691">
        <f>SUM(C129,C130,C139,C149,C150)</f>
        <v>40479</v>
      </c>
      <c r="D151" s="1691">
        <f t="shared" ref="D151:K151" si="16">SUM(D129,D130,D139,D149,D150)</f>
        <v>0</v>
      </c>
      <c r="E151" s="1691">
        <f t="shared" si="16"/>
        <v>40537</v>
      </c>
      <c r="F151" s="1691">
        <f t="shared" si="16"/>
        <v>10303</v>
      </c>
      <c r="G151" s="1691">
        <f t="shared" si="16"/>
        <v>11500</v>
      </c>
      <c r="H151" s="1691">
        <f t="shared" si="16"/>
        <v>0</v>
      </c>
      <c r="I151" s="1691">
        <f t="shared" si="16"/>
        <v>0</v>
      </c>
      <c r="J151" s="1691">
        <f t="shared" si="16"/>
        <v>0</v>
      </c>
      <c r="K151" s="1691">
        <f t="shared" si="16"/>
        <v>102819</v>
      </c>
      <c r="L151" s="1691">
        <f>SUM(L129,L130,L139,L149,L150)</f>
        <v>96560</v>
      </c>
    </row>
    <row r="152" spans="1:14" ht="12.75" customHeight="1" thickTop="1" x14ac:dyDescent="0.2">
      <c r="A152" s="2197" t="s">
        <v>1240</v>
      </c>
      <c r="B152" s="2198"/>
      <c r="C152" s="619"/>
      <c r="D152" s="619"/>
      <c r="E152" s="619"/>
      <c r="F152" s="619"/>
      <c r="G152" s="619"/>
      <c r="H152" s="619"/>
      <c r="I152" s="619"/>
      <c r="J152" s="617"/>
      <c r="K152" s="1705">
        <f>'Revenues 9-14'!D275-'Expenditures 15-22'!K151</f>
        <v>11315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12398</v>
      </c>
      <c r="I169" s="617"/>
      <c r="J169" s="617"/>
      <c r="K169" s="1692">
        <f>SUM(C169:H169)</f>
        <v>12398</v>
      </c>
      <c r="L169" s="657">
        <v>12398</v>
      </c>
    </row>
    <row r="170" spans="1:14" ht="33.75" customHeight="1" x14ac:dyDescent="0.2">
      <c r="A170" s="670" t="s">
        <v>1769</v>
      </c>
      <c r="B170" s="672" t="s">
        <v>31</v>
      </c>
      <c r="C170" s="617"/>
      <c r="D170" s="617"/>
      <c r="E170" s="617"/>
      <c r="F170" s="617"/>
      <c r="G170" s="617"/>
      <c r="H170" s="569">
        <v>40000</v>
      </c>
      <c r="I170" s="617"/>
      <c r="J170" s="617"/>
      <c r="K170" s="1692">
        <f>SUM(C170:J170)</f>
        <v>40000</v>
      </c>
      <c r="L170" s="569">
        <v>40000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52398</v>
      </c>
      <c r="I172" s="639"/>
      <c r="J172" s="617"/>
      <c r="K172" s="1698">
        <f>SUM(K168,K169,K170,K171)</f>
        <v>52398</v>
      </c>
      <c r="L172" s="1698">
        <f>SUM(L168,L169,L170,L171)</f>
        <v>52398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52398</v>
      </c>
      <c r="I174" s="639"/>
      <c r="J174" s="617"/>
      <c r="K174" s="1698">
        <f>SUM(K160,K172,K173)</f>
        <v>52398</v>
      </c>
      <c r="L174" s="1698">
        <f>SUM(L160,L172,L173)</f>
        <v>52398</v>
      </c>
    </row>
    <row r="175" spans="1:14" ht="13.5" thickTop="1" x14ac:dyDescent="0.2">
      <c r="A175" s="2177" t="s">
        <v>1053</v>
      </c>
      <c r="B175" s="2178"/>
      <c r="C175" s="617"/>
      <c r="D175" s="617"/>
      <c r="E175" s="617"/>
      <c r="F175" s="617"/>
      <c r="G175" s="617"/>
      <c r="H175" s="619"/>
      <c r="I175" s="617"/>
      <c r="J175" s="617"/>
      <c r="K175" s="1705">
        <f>'Revenues 9-14'!E275-'Expenditures 15-22'!K174</f>
        <v>211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26555</v>
      </c>
      <c r="D182" s="466">
        <v>649</v>
      </c>
      <c r="E182" s="466">
        <v>24084</v>
      </c>
      <c r="F182" s="466">
        <v>3611</v>
      </c>
      <c r="G182" s="466"/>
      <c r="H182" s="466"/>
      <c r="I182" s="467"/>
      <c r="J182" s="467"/>
      <c r="K182" s="1692">
        <f>SUM(C182:J182)</f>
        <v>54899</v>
      </c>
      <c r="L182" s="466">
        <v>54878</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26555</v>
      </c>
      <c r="D184" s="1698">
        <f t="shared" ref="D184:J184" si="17">SUM(D180,D182,D183)</f>
        <v>649</v>
      </c>
      <c r="E184" s="1698">
        <f t="shared" si="17"/>
        <v>24084</v>
      </c>
      <c r="F184" s="1698">
        <f t="shared" si="17"/>
        <v>3611</v>
      </c>
      <c r="G184" s="1698">
        <f t="shared" si="17"/>
        <v>0</v>
      </c>
      <c r="H184" s="1698">
        <f t="shared" si="17"/>
        <v>0</v>
      </c>
      <c r="I184" s="1698">
        <f t="shared" si="17"/>
        <v>0</v>
      </c>
      <c r="J184" s="1698">
        <f t="shared" si="17"/>
        <v>0</v>
      </c>
      <c r="K184" s="1698">
        <f>SUM(K180,K182,K183)</f>
        <v>54899</v>
      </c>
      <c r="L184" s="1698">
        <f>SUM(L180, L182:L183)</f>
        <v>54878</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26555</v>
      </c>
      <c r="D210" s="1691">
        <f>SUM(D184,D185)</f>
        <v>649</v>
      </c>
      <c r="E210" s="1691">
        <f>SUM(E184,E185,E196)</f>
        <v>24084</v>
      </c>
      <c r="F210" s="1691">
        <f>SUM(F184,F185)</f>
        <v>3611</v>
      </c>
      <c r="G210" s="1691">
        <f>SUM(G184,G185)</f>
        <v>0</v>
      </c>
      <c r="H210" s="1691">
        <f>SUM(H184,H185,H196,H208,H209)</f>
        <v>0</v>
      </c>
      <c r="I210" s="1691">
        <f>SUM(I184,I185)</f>
        <v>0</v>
      </c>
      <c r="J210" s="1691">
        <f>SUM(J184,J185)</f>
        <v>0</v>
      </c>
      <c r="K210" s="1692">
        <f>SUM(K184,K185,K196,K208,K209)</f>
        <v>54899</v>
      </c>
      <c r="L210" s="1691">
        <f>SUM(L184,L185,L196,L208,L209)</f>
        <v>54878</v>
      </c>
    </row>
    <row r="211" spans="1:14" ht="13.5" thickTop="1" x14ac:dyDescent="0.2">
      <c r="A211" s="2177" t="s">
        <v>1053</v>
      </c>
      <c r="B211" s="2178"/>
      <c r="C211" s="619"/>
      <c r="D211" s="619"/>
      <c r="E211" s="619"/>
      <c r="F211" s="619"/>
      <c r="G211" s="619"/>
      <c r="H211" s="619"/>
      <c r="I211" s="617"/>
      <c r="J211" s="617"/>
      <c r="K211" s="1705">
        <f>'Revenues 9-14'!F275-'Expenditures 15-22'!K210</f>
        <v>11995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7646</v>
      </c>
      <c r="E215" s="617"/>
      <c r="F215" s="617"/>
      <c r="G215" s="617"/>
      <c r="H215" s="617"/>
      <c r="I215" s="617"/>
      <c r="J215" s="617"/>
      <c r="K215" s="1692">
        <f>D215</f>
        <v>7646</v>
      </c>
      <c r="L215" s="466">
        <v>7850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10613</v>
      </c>
      <c r="E217" s="617"/>
      <c r="F217" s="617"/>
      <c r="G217" s="617"/>
      <c r="H217" s="617"/>
      <c r="I217" s="617"/>
      <c r="J217" s="617"/>
      <c r="K217" s="1692">
        <f t="shared" si="19"/>
        <v>10613</v>
      </c>
      <c r="L217" s="466">
        <v>10740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11739</v>
      </c>
      <c r="E219" s="617"/>
      <c r="F219" s="617"/>
      <c r="G219" s="617"/>
      <c r="H219" s="617"/>
      <c r="I219" s="617"/>
      <c r="J219" s="617"/>
      <c r="K219" s="1692">
        <f t="shared" si="19"/>
        <v>11739</v>
      </c>
      <c r="L219" s="466">
        <v>12175</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1176</v>
      </c>
      <c r="E223" s="617"/>
      <c r="F223" s="617"/>
      <c r="G223" s="617"/>
      <c r="H223" s="617"/>
      <c r="I223" s="617"/>
      <c r="J223" s="617"/>
      <c r="K223" s="1692">
        <f t="shared" si="19"/>
        <v>1176</v>
      </c>
      <c r="L223" s="466">
        <v>1176</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31174</v>
      </c>
      <c r="E229" s="617"/>
      <c r="F229" s="617"/>
      <c r="G229" s="617"/>
      <c r="H229" s="617"/>
      <c r="I229" s="617"/>
      <c r="J229" s="617"/>
      <c r="K229" s="1691">
        <f>SUM(K215:K228)</f>
        <v>31174</v>
      </c>
      <c r="L229" s="1691">
        <f>SUM(L215:L228)</f>
        <v>31941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639</v>
      </c>
      <c r="E234" s="617"/>
      <c r="F234" s="617"/>
      <c r="G234" s="617"/>
      <c r="H234" s="617"/>
      <c r="I234" s="617"/>
      <c r="J234" s="617"/>
      <c r="K234" s="1692">
        <f t="shared" si="20"/>
        <v>639</v>
      </c>
      <c r="L234" s="466">
        <v>634</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v>124</v>
      </c>
      <c r="E237" s="617"/>
      <c r="F237" s="617"/>
      <c r="G237" s="617"/>
      <c r="H237" s="617"/>
      <c r="I237" s="617"/>
      <c r="J237" s="617"/>
      <c r="K237" s="1692">
        <f t="shared" si="20"/>
        <v>124</v>
      </c>
      <c r="L237" s="466">
        <v>175</v>
      </c>
    </row>
    <row r="238" spans="1:12" ht="12.75" customHeight="1" thickBot="1" x14ac:dyDescent="0.25">
      <c r="A238" s="1689" t="s">
        <v>581</v>
      </c>
      <c r="B238" s="1696" t="s">
        <v>740</v>
      </c>
      <c r="C238" s="617"/>
      <c r="D238" s="1691">
        <f>SUM(D232:D237)</f>
        <v>763</v>
      </c>
      <c r="E238" s="617"/>
      <c r="F238" s="617"/>
      <c r="G238" s="617"/>
      <c r="H238" s="617"/>
      <c r="I238" s="617"/>
      <c r="J238" s="617"/>
      <c r="K238" s="1691">
        <f>SUM(K232:K237)</f>
        <v>763</v>
      </c>
      <c r="L238" s="1691">
        <f>SUM(L232:L237)</f>
        <v>809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v>
      </c>
      <c r="E240" s="617"/>
      <c r="F240" s="617"/>
      <c r="G240" s="617"/>
      <c r="H240" s="617"/>
      <c r="I240" s="617"/>
      <c r="J240" s="617"/>
      <c r="K240" s="1693">
        <f>D240</f>
        <v>15</v>
      </c>
      <c r="L240" s="481">
        <v>15</v>
      </c>
    </row>
    <row r="241" spans="1:12" x14ac:dyDescent="0.2">
      <c r="A241" s="1526" t="s">
        <v>869</v>
      </c>
      <c r="B241" s="615">
        <v>2220</v>
      </c>
      <c r="C241" s="617"/>
      <c r="D241" s="466">
        <v>20</v>
      </c>
      <c r="E241" s="617"/>
      <c r="F241" s="617"/>
      <c r="G241" s="617"/>
      <c r="H241" s="617"/>
      <c r="I241" s="617"/>
      <c r="J241" s="617"/>
      <c r="K241" s="1693">
        <f>D241</f>
        <v>20</v>
      </c>
      <c r="L241" s="466">
        <v>18</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35</v>
      </c>
      <c r="E243" s="617"/>
      <c r="F243" s="617"/>
      <c r="G243" s="617"/>
      <c r="H243" s="617"/>
      <c r="I243" s="617"/>
      <c r="J243" s="617"/>
      <c r="K243" s="1691">
        <f>SUM(K240:K242)</f>
        <v>35</v>
      </c>
      <c r="L243" s="1691">
        <f>SUM(L240:L242)</f>
        <v>33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177</v>
      </c>
      <c r="E245" s="617"/>
      <c r="F245" s="617"/>
      <c r="G245" s="617"/>
      <c r="H245" s="617"/>
      <c r="I245" s="617"/>
      <c r="J245" s="617"/>
      <c r="K245" s="1693">
        <f>D245</f>
        <v>177</v>
      </c>
      <c r="L245" s="481">
        <v>177</v>
      </c>
    </row>
    <row r="246" spans="1:12" x14ac:dyDescent="0.2">
      <c r="A246" s="1526" t="s">
        <v>872</v>
      </c>
      <c r="B246" s="615">
        <v>2320</v>
      </c>
      <c r="C246" s="617"/>
      <c r="D246" s="466">
        <v>857</v>
      </c>
      <c r="E246" s="617"/>
      <c r="F246" s="617"/>
      <c r="G246" s="617"/>
      <c r="H246" s="617"/>
      <c r="I246" s="617"/>
      <c r="J246" s="617"/>
      <c r="K246" s="1693">
        <f t="shared" ref="K246:K256" si="21">D246</f>
        <v>857</v>
      </c>
      <c r="L246" s="466">
        <v>1370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1034</v>
      </c>
      <c r="E257" s="617"/>
      <c r="F257" s="617"/>
      <c r="G257" s="617"/>
      <c r="H257" s="617"/>
      <c r="I257" s="617"/>
      <c r="J257" s="617"/>
      <c r="K257" s="1691">
        <f>SUM(K245:K256)</f>
        <v>1034</v>
      </c>
      <c r="L257" s="1691">
        <f>SUM(L245:L256)</f>
        <v>1547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5268</v>
      </c>
      <c r="E259" s="617"/>
      <c r="F259" s="617"/>
      <c r="G259" s="617"/>
      <c r="H259" s="617"/>
      <c r="I259" s="617"/>
      <c r="J259" s="617"/>
      <c r="K259" s="1693">
        <f>D259</f>
        <v>5268</v>
      </c>
      <c r="L259" s="481">
        <v>4768</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5268</v>
      </c>
      <c r="E261" s="617"/>
      <c r="F261" s="617"/>
      <c r="G261" s="617"/>
      <c r="H261" s="617"/>
      <c r="I261" s="617"/>
      <c r="J261" s="617"/>
      <c r="K261" s="1691">
        <f>SUM(K259:K260)</f>
        <v>5268</v>
      </c>
      <c r="L261" s="1691">
        <f>SUM(L259:L260)</f>
        <v>4768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2483</v>
      </c>
      <c r="E264" s="617"/>
      <c r="F264" s="617"/>
      <c r="G264" s="617"/>
      <c r="H264" s="617"/>
      <c r="I264" s="617"/>
      <c r="J264" s="617"/>
      <c r="K264" s="1693">
        <f t="shared" ref="K264:K269" si="22">D264</f>
        <v>2483</v>
      </c>
      <c r="L264" s="466">
        <v>2483</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9265</v>
      </c>
      <c r="E266" s="617"/>
      <c r="F266" s="617"/>
      <c r="G266" s="617"/>
      <c r="H266" s="617"/>
      <c r="I266" s="617"/>
      <c r="J266" s="617"/>
      <c r="K266" s="1693">
        <f t="shared" si="22"/>
        <v>9265</v>
      </c>
      <c r="L266" s="466">
        <v>9325</v>
      </c>
    </row>
    <row r="267" spans="1:14" x14ac:dyDescent="0.2">
      <c r="A267" s="1526" t="s">
        <v>1010</v>
      </c>
      <c r="B267" s="615">
        <v>2550</v>
      </c>
      <c r="C267" s="617"/>
      <c r="D267" s="466">
        <v>5065</v>
      </c>
      <c r="E267" s="617"/>
      <c r="F267" s="617"/>
      <c r="G267" s="617"/>
      <c r="H267" s="617"/>
      <c r="I267" s="617"/>
      <c r="J267" s="617"/>
      <c r="K267" s="1693">
        <f t="shared" si="22"/>
        <v>5065</v>
      </c>
      <c r="L267" s="466">
        <v>5050</v>
      </c>
    </row>
    <row r="268" spans="1:14" x14ac:dyDescent="0.2">
      <c r="A268" s="1526" t="s">
        <v>102</v>
      </c>
      <c r="B268" s="615">
        <v>2560</v>
      </c>
      <c r="C268" s="617"/>
      <c r="D268" s="466">
        <v>4792</v>
      </c>
      <c r="E268" s="617"/>
      <c r="F268" s="617"/>
      <c r="G268" s="617"/>
      <c r="H268" s="617"/>
      <c r="I268" s="617"/>
      <c r="J268" s="617"/>
      <c r="K268" s="1693">
        <f t="shared" si="22"/>
        <v>4792</v>
      </c>
      <c r="L268" s="466">
        <v>4792</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21605</v>
      </c>
      <c r="E270" s="617"/>
      <c r="F270" s="617"/>
      <c r="G270" s="617"/>
      <c r="H270" s="617"/>
      <c r="I270" s="617"/>
      <c r="J270" s="617"/>
      <c r="K270" s="1691">
        <f>SUM(K263:K269)</f>
        <v>21605</v>
      </c>
      <c r="L270" s="1691">
        <f>SUM(L263:L269)</f>
        <v>21650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28705</v>
      </c>
      <c r="E279" s="617"/>
      <c r="F279" s="617"/>
      <c r="G279" s="617"/>
      <c r="H279" s="617"/>
      <c r="I279" s="617"/>
      <c r="J279" s="617"/>
      <c r="K279" s="1698">
        <f>SUM(K238,K243,K257,K261,K270,K277,K278)</f>
        <v>28705</v>
      </c>
      <c r="L279" s="1698">
        <f>SUM(L238,L243,L257,L261,L270,L277,L278)</f>
        <v>28807</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1">
        <f>SUM(D229,D279,D280,D285)</f>
        <v>59879</v>
      </c>
      <c r="E295" s="617"/>
      <c r="F295" s="617"/>
      <c r="G295" s="617"/>
      <c r="H295" s="1691">
        <f>H293</f>
        <v>0</v>
      </c>
      <c r="I295" s="617"/>
      <c r="J295" s="617"/>
      <c r="K295" s="1691">
        <f>SUM(K229,K279,K280,K285,K293,K294)</f>
        <v>59879</v>
      </c>
      <c r="L295" s="1691">
        <f>SUM(L229,L279,L280,L285,L293,L294)</f>
        <v>60748</v>
      </c>
    </row>
    <row r="296" spans="1:14" ht="13.5" thickTop="1" x14ac:dyDescent="0.2">
      <c r="A296" s="2177" t="s">
        <v>1053</v>
      </c>
      <c r="B296" s="2178"/>
      <c r="C296" s="617"/>
      <c r="D296" s="619"/>
      <c r="E296" s="617"/>
      <c r="F296" s="617"/>
      <c r="G296" s="617"/>
      <c r="H296" s="688"/>
      <c r="I296" s="617"/>
      <c r="J296" s="617"/>
      <c r="K296" s="1705">
        <f>'Revenues 9-14'!G275-'Expenditures 15-22'!K295</f>
        <v>-23645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v>3665</v>
      </c>
      <c r="I309" s="477"/>
      <c r="J309" s="617"/>
      <c r="K309" s="1692">
        <f>SUM(E309,H309)</f>
        <v>3665</v>
      </c>
      <c r="L309" s="466">
        <v>3665</v>
      </c>
    </row>
    <row r="310" spans="1:14" ht="12.75" customHeight="1" thickBot="1" x14ac:dyDescent="0.25">
      <c r="A310" s="1689" t="s">
        <v>1567</v>
      </c>
      <c r="B310" s="1696" t="s">
        <v>915</v>
      </c>
      <c r="C310" s="617"/>
      <c r="D310" s="617"/>
      <c r="E310" s="1691">
        <f>SUM(E306:E309)</f>
        <v>0</v>
      </c>
      <c r="F310" s="617"/>
      <c r="G310" s="617"/>
      <c r="H310" s="1691">
        <f>SUM(H306:H309)</f>
        <v>3665</v>
      </c>
      <c r="I310" s="477"/>
      <c r="J310" s="617"/>
      <c r="K310" s="1691">
        <f>SUM(K306:K309)</f>
        <v>3665</v>
      </c>
      <c r="L310" s="1698">
        <f>SUM(L306:L309)</f>
        <v>3665</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1">
        <f>SUM(C303)</f>
        <v>0</v>
      </c>
      <c r="D312" s="1691">
        <f>SUM(D303)</f>
        <v>0</v>
      </c>
      <c r="E312" s="1691">
        <f>SUM(E303,E310)</f>
        <v>0</v>
      </c>
      <c r="F312" s="1691">
        <f>SUM(F303)</f>
        <v>0</v>
      </c>
      <c r="G312" s="1691">
        <f>SUM(G303)</f>
        <v>0</v>
      </c>
      <c r="H312" s="1691">
        <f>SUM(H303,H310)</f>
        <v>3665</v>
      </c>
      <c r="I312" s="1691">
        <f>SUM(I303)</f>
        <v>0</v>
      </c>
      <c r="J312" s="1691">
        <f>SUM(J303)</f>
        <v>0</v>
      </c>
      <c r="K312" s="1691">
        <f>SUM(K303,K310,K311)</f>
        <v>3665</v>
      </c>
      <c r="L312" s="1691">
        <f>SUM(L303,L310,L311)</f>
        <v>3665</v>
      </c>
      <c r="M312" s="666"/>
      <c r="N312" s="666"/>
    </row>
    <row r="313" spans="1:14" ht="13.5" thickTop="1" x14ac:dyDescent="0.2">
      <c r="A313" s="2188" t="s">
        <v>1053</v>
      </c>
      <c r="B313" s="2189"/>
      <c r="C313" s="627"/>
      <c r="D313" s="627"/>
      <c r="E313" s="627"/>
      <c r="F313" s="627"/>
      <c r="G313" s="627"/>
      <c r="H313" s="627"/>
      <c r="I313" s="627"/>
      <c r="J313" s="627"/>
      <c r="K313" s="1706">
        <f>'Revenues 9-14'!H275-'Expenditures 15-22'!K312</f>
        <v>-3661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6498</v>
      </c>
      <c r="F320" s="467"/>
      <c r="G320" s="467"/>
      <c r="H320" s="467"/>
      <c r="I320" s="467"/>
      <c r="J320" s="467"/>
      <c r="K320" s="1692">
        <f t="shared" ref="K320:K327" si="24">SUM(C320:J320)</f>
        <v>6498</v>
      </c>
      <c r="L320" s="467">
        <v>6498</v>
      </c>
      <c r="M320" s="666"/>
      <c r="N320" s="666"/>
    </row>
    <row r="321" spans="1:14" s="675" customFormat="1" x14ac:dyDescent="0.2">
      <c r="A321" s="1541" t="s">
        <v>318</v>
      </c>
      <c r="B321" s="698" t="s">
        <v>301</v>
      </c>
      <c r="C321" s="467"/>
      <c r="D321" s="467"/>
      <c r="E321" s="467">
        <v>1814</v>
      </c>
      <c r="F321" s="467"/>
      <c r="G321" s="467"/>
      <c r="H321" s="467"/>
      <c r="I321" s="467"/>
      <c r="J321" s="467"/>
      <c r="K321" s="1692">
        <f t="shared" si="24"/>
        <v>1814</v>
      </c>
      <c r="L321" s="467">
        <v>1814</v>
      </c>
      <c r="M321" s="666"/>
      <c r="N321" s="666"/>
    </row>
    <row r="322" spans="1:14" s="675" customFormat="1" x14ac:dyDescent="0.2">
      <c r="A322" s="1541" t="s">
        <v>256</v>
      </c>
      <c r="B322" s="698" t="s">
        <v>302</v>
      </c>
      <c r="C322" s="467"/>
      <c r="D322" s="467"/>
      <c r="E322" s="467">
        <v>14286</v>
      </c>
      <c r="F322" s="467"/>
      <c r="G322" s="467"/>
      <c r="H322" s="467"/>
      <c r="I322" s="467"/>
      <c r="J322" s="467"/>
      <c r="K322" s="1692">
        <f t="shared" si="24"/>
        <v>14286</v>
      </c>
      <c r="L322" s="467">
        <v>13666</v>
      </c>
      <c r="M322" s="666"/>
      <c r="N322" s="666"/>
    </row>
    <row r="323" spans="1:14" s="675" customFormat="1" x14ac:dyDescent="0.2">
      <c r="A323" s="1541" t="s">
        <v>726</v>
      </c>
      <c r="B323" s="698" t="s">
        <v>303</v>
      </c>
      <c r="C323" s="467">
        <v>61241</v>
      </c>
      <c r="D323" s="467">
        <v>3457</v>
      </c>
      <c r="E323" s="467">
        <v>26123</v>
      </c>
      <c r="F323" s="467"/>
      <c r="G323" s="467"/>
      <c r="H323" s="467"/>
      <c r="I323" s="467"/>
      <c r="J323" s="467"/>
      <c r="K323" s="1692">
        <f t="shared" si="24"/>
        <v>90821</v>
      </c>
      <c r="L323" s="467">
        <v>90884</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1412</v>
      </c>
      <c r="F327" s="467"/>
      <c r="G327" s="467"/>
      <c r="H327" s="467"/>
      <c r="I327" s="467"/>
      <c r="J327" s="467"/>
      <c r="K327" s="1692">
        <f t="shared" si="24"/>
        <v>1412</v>
      </c>
      <c r="L327" s="467">
        <v>1412</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61241</v>
      </c>
      <c r="D330" s="1691">
        <f t="shared" ref="D330:J330" si="25">SUM(D319:D329)</f>
        <v>3457</v>
      </c>
      <c r="E330" s="1691">
        <f t="shared" si="25"/>
        <v>50133</v>
      </c>
      <c r="F330" s="1691">
        <f t="shared" si="25"/>
        <v>0</v>
      </c>
      <c r="G330" s="1691">
        <f t="shared" si="25"/>
        <v>0</v>
      </c>
      <c r="H330" s="1691">
        <f t="shared" si="25"/>
        <v>0</v>
      </c>
      <c r="I330" s="1691">
        <f t="shared" si="25"/>
        <v>0</v>
      </c>
      <c r="J330" s="1691">
        <f t="shared" si="25"/>
        <v>0</v>
      </c>
      <c r="K330" s="1691">
        <f>SUM(K319:K329)</f>
        <v>114831</v>
      </c>
      <c r="L330" s="1691">
        <f>SUM(L319:L329)</f>
        <v>114274</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61241</v>
      </c>
      <c r="D342" s="1691">
        <f>SUM(D330)</f>
        <v>3457</v>
      </c>
      <c r="E342" s="1691">
        <f>SUM(E330)</f>
        <v>50133</v>
      </c>
      <c r="F342" s="1691">
        <f>SUM(F330)</f>
        <v>0</v>
      </c>
      <c r="G342" s="1691">
        <f>SUM(G330)</f>
        <v>0</v>
      </c>
      <c r="H342" s="1691">
        <f>SUM(H330,H334,H340)</f>
        <v>0</v>
      </c>
      <c r="I342" s="1691">
        <f>SUM(I330)</f>
        <v>0</v>
      </c>
      <c r="J342" s="1691">
        <f>SUM(J330)</f>
        <v>0</v>
      </c>
      <c r="K342" s="1691">
        <f>SUM(K330,K334,K340)</f>
        <v>114831</v>
      </c>
      <c r="L342" s="1698">
        <f>SUM(L330,L340,L341)</f>
        <v>114274</v>
      </c>
    </row>
    <row r="343" spans="1:14" ht="12.75" customHeight="1" thickTop="1" x14ac:dyDescent="0.2">
      <c r="A343" s="2190" t="s">
        <v>1053</v>
      </c>
      <c r="B343" s="2191"/>
      <c r="C343" s="617"/>
      <c r="D343" s="617"/>
      <c r="E343" s="617"/>
      <c r="F343" s="617"/>
      <c r="G343" s="617"/>
      <c r="H343" s="617"/>
      <c r="I343" s="617"/>
      <c r="J343" s="617"/>
      <c r="K343" s="1705">
        <f>'Revenues 9-14'!J275-'Expenditures 15-22'!K342</f>
        <v>36706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354</v>
      </c>
      <c r="F348" s="466"/>
      <c r="G348" s="466"/>
      <c r="H348" s="466"/>
      <c r="I348" s="467"/>
      <c r="J348" s="467"/>
      <c r="K348" s="1692">
        <f>SUM(C348:J348)</f>
        <v>354</v>
      </c>
      <c r="L348" s="466">
        <v>249</v>
      </c>
    </row>
    <row r="349" spans="1:14" x14ac:dyDescent="0.2">
      <c r="A349" s="1526" t="s">
        <v>206</v>
      </c>
      <c r="B349" s="615">
        <v>2540</v>
      </c>
      <c r="C349" s="466"/>
      <c r="D349" s="466"/>
      <c r="E349" s="466">
        <v>1470</v>
      </c>
      <c r="F349" s="466"/>
      <c r="G349" s="466"/>
      <c r="H349" s="466"/>
      <c r="I349" s="467"/>
      <c r="J349" s="467"/>
      <c r="K349" s="1692">
        <f>SUM(C349:J349)</f>
        <v>1470</v>
      </c>
      <c r="L349" s="466">
        <v>1470</v>
      </c>
    </row>
    <row r="350" spans="1:14" ht="12.75" customHeight="1" thickBot="1" x14ac:dyDescent="0.25">
      <c r="A350" s="1689" t="s">
        <v>743</v>
      </c>
      <c r="B350" s="1690" t="s">
        <v>35</v>
      </c>
      <c r="C350" s="1691">
        <f>SUM(C348:C349)</f>
        <v>0</v>
      </c>
      <c r="D350" s="1691">
        <f t="shared" ref="D350:L350" si="26">SUM(D348:D349)</f>
        <v>0</v>
      </c>
      <c r="E350" s="1691">
        <f t="shared" si="26"/>
        <v>1824</v>
      </c>
      <c r="F350" s="1691">
        <f t="shared" si="26"/>
        <v>0</v>
      </c>
      <c r="G350" s="1691">
        <f t="shared" si="26"/>
        <v>0</v>
      </c>
      <c r="H350" s="1691">
        <f t="shared" si="26"/>
        <v>0</v>
      </c>
      <c r="I350" s="1691">
        <f t="shared" si="26"/>
        <v>0</v>
      </c>
      <c r="J350" s="1691">
        <f t="shared" si="26"/>
        <v>0</v>
      </c>
      <c r="K350" s="1691">
        <f t="shared" si="26"/>
        <v>1824</v>
      </c>
      <c r="L350" s="1691">
        <f t="shared" si="26"/>
        <v>1719</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1824</v>
      </c>
      <c r="F352" s="1691">
        <f t="shared" si="27"/>
        <v>0</v>
      </c>
      <c r="G352" s="1691">
        <f t="shared" si="27"/>
        <v>0</v>
      </c>
      <c r="H352" s="1691">
        <f t="shared" si="27"/>
        <v>0</v>
      </c>
      <c r="I352" s="1691">
        <f t="shared" si="27"/>
        <v>0</v>
      </c>
      <c r="J352" s="1691">
        <f t="shared" si="27"/>
        <v>0</v>
      </c>
      <c r="K352" s="1691">
        <f t="shared" si="27"/>
        <v>1824</v>
      </c>
      <c r="L352" s="1691">
        <f t="shared" si="27"/>
        <v>1719</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1824</v>
      </c>
      <c r="F367" s="1691">
        <f t="shared" si="28"/>
        <v>0</v>
      </c>
      <c r="G367" s="1691">
        <f t="shared" si="28"/>
        <v>0</v>
      </c>
      <c r="H367" s="1691">
        <f t="shared" si="28"/>
        <v>0</v>
      </c>
      <c r="I367" s="1691">
        <f t="shared" si="28"/>
        <v>0</v>
      </c>
      <c r="J367" s="1691">
        <f t="shared" si="28"/>
        <v>0</v>
      </c>
      <c r="K367" s="1691">
        <f t="shared" si="28"/>
        <v>1824</v>
      </c>
      <c r="L367" s="1691">
        <f t="shared" si="28"/>
        <v>1719</v>
      </c>
    </row>
    <row r="368" spans="1:14" ht="13.5" thickTop="1" x14ac:dyDescent="0.2">
      <c r="A368" s="2177" t="s">
        <v>1053</v>
      </c>
      <c r="B368" s="2178"/>
      <c r="C368" s="655"/>
      <c r="D368" s="655"/>
      <c r="E368" s="627"/>
      <c r="F368" s="627"/>
      <c r="G368" s="627"/>
      <c r="H368" s="627"/>
      <c r="I368" s="627"/>
      <c r="J368" s="624"/>
      <c r="K368" s="1692">
        <f>'Revenues 9-14'!K275-'Expenditures 15-22'!K367</f>
        <v>8748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microsoft.com/office/2006/metadata/propertie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terms/"/>
    <ds:schemaRef ds:uri="4d435f69-8686-490b-bd6d-b153bf22ab50"/>
    <ds:schemaRef ds:uri="6ce3111e-7420-4802-b50a-75d4e9a0b980"/>
    <ds:schemaRef ds:uri="http://www.w3.org/XML/1998/namespace"/>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2018-09-27T18:03:08Z</cp:lastPrinted>
  <dcterms:created xsi:type="dcterms:W3CDTF">2003-10-29T19:06:34Z</dcterms:created>
  <dcterms:modified xsi:type="dcterms:W3CDTF">2018-10-09T19:19:54Z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