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37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SEFA'!$B$1:$M$124</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01" i="179" l="1"/>
  <c r="I101" i="179"/>
  <c r="G101" i="179"/>
  <c r="F101" i="179"/>
  <c r="E101" i="179"/>
  <c r="L98" i="179"/>
  <c r="I94" i="179"/>
  <c r="G94" i="179"/>
  <c r="F94" i="179"/>
  <c r="E94" i="179"/>
  <c r="L83" i="179"/>
  <c r="L81" i="179"/>
  <c r="L80" i="179"/>
  <c r="L79" i="179"/>
  <c r="L92" i="179"/>
  <c r="L91" i="179"/>
  <c r="L78" i="179"/>
  <c r="L76" i="179"/>
  <c r="L75" i="179"/>
  <c r="I73" i="179"/>
  <c r="I85" i="179" s="1"/>
  <c r="G73" i="179"/>
  <c r="G85" i="179" s="1"/>
  <c r="F73" i="179"/>
  <c r="F85" i="179" s="1"/>
  <c r="E73" i="179"/>
  <c r="E85" i="179" s="1"/>
  <c r="I55" i="179"/>
  <c r="G55" i="179"/>
  <c r="F55" i="179"/>
  <c r="E55" i="179"/>
  <c r="L69" i="179"/>
  <c r="L68" i="179"/>
  <c r="L67" i="179"/>
  <c r="L66" i="179"/>
  <c r="L65" i="179"/>
  <c r="L64" i="179"/>
  <c r="L63" i="179"/>
  <c r="L53" i="179"/>
  <c r="L52" i="179"/>
  <c r="L51" i="179"/>
  <c r="M49" i="179"/>
  <c r="I49" i="179"/>
  <c r="F49" i="179"/>
  <c r="M43" i="179"/>
  <c r="I43" i="179"/>
  <c r="G43" i="179"/>
  <c r="F43" i="179"/>
  <c r="E43" i="179"/>
  <c r="L47" i="179"/>
  <c r="L49" i="179" s="1"/>
  <c r="L41" i="179"/>
  <c r="L40" i="179"/>
  <c r="M35" i="179"/>
  <c r="M103" i="179" s="1"/>
  <c r="I35" i="179"/>
  <c r="G35" i="179"/>
  <c r="F35" i="179"/>
  <c r="E35" i="179"/>
  <c r="L37" i="179"/>
  <c r="L33" i="179"/>
  <c r="L31" i="179"/>
  <c r="L29" i="179"/>
  <c r="L28" i="179"/>
  <c r="L16" i="179"/>
  <c r="L22" i="179"/>
  <c r="L21" i="179"/>
  <c r="L19" i="179"/>
  <c r="L18" i="179"/>
  <c r="L17" i="179"/>
  <c r="G39" i="174"/>
  <c r="G38" i="174"/>
  <c r="G43" i="174" s="1"/>
  <c r="I103" i="179" l="1"/>
  <c r="G103" i="179"/>
  <c r="F103" i="179"/>
  <c r="F104" i="179"/>
  <c r="G104" i="179"/>
  <c r="I104" i="179"/>
  <c r="M104" i="179"/>
  <c r="M106" i="179" s="1"/>
  <c r="E104" i="179"/>
  <c r="E103" i="179"/>
  <c r="L94" i="179"/>
  <c r="L43" i="179"/>
  <c r="L55" i="179"/>
  <c r="D182" i="34"/>
  <c r="I106" i="179" l="1"/>
  <c r="D45" i="174" s="1"/>
  <c r="E106" i="179"/>
  <c r="G106" i="179"/>
  <c r="F106" i="179"/>
  <c r="D35" i="171"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99" i="179" l="1"/>
  <c r="L101" i="179" s="1"/>
  <c r="L104" i="179" s="1"/>
  <c r="L72" i="179"/>
  <c r="L71" i="179"/>
  <c r="L26" i="179"/>
  <c r="L25" i="179"/>
  <c r="L24" i="179"/>
  <c r="L14" i="179"/>
  <c r="L13" i="179"/>
  <c r="L73" i="179" l="1"/>
  <c r="L85" i="179" s="1"/>
  <c r="L35" i="179"/>
  <c r="D14" i="171"/>
  <c r="D12" i="171"/>
  <c r="A10" i="169"/>
  <c r="A16" i="169"/>
  <c r="A15" i="169"/>
  <c r="A14" i="169"/>
  <c r="K18" i="169"/>
  <c r="G18" i="169"/>
  <c r="G15" i="169"/>
  <c r="I13" i="169"/>
  <c r="G11" i="169"/>
  <c r="G10" i="169"/>
  <c r="G9" i="169"/>
  <c r="G7" i="169"/>
  <c r="E7" i="169"/>
  <c r="B2" i="179" s="1"/>
  <c r="A7" i="169"/>
  <c r="B4" i="177"/>
  <c r="B4" i="176"/>
  <c r="B4" i="175"/>
  <c r="D47"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L103" i="179" l="1"/>
  <c r="L106" i="179" s="1"/>
  <c r="B2" i="174"/>
  <c r="A2" i="17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B2836" i="106" s="1"/>
  <c r="D2836" i="106" s="1"/>
  <c r="K122" i="29"/>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s="1"/>
  <c r="B6326" i="106"/>
  <c r="D6326" i="106" s="1"/>
  <c r="B6327" i="106"/>
  <c r="D6327" i="106" s="1"/>
  <c r="B6328" i="106"/>
  <c r="D6328" i="106" s="1"/>
  <c r="B6329" i="106"/>
  <c r="D6329" i="106" s="1"/>
  <c r="B6330" i="106"/>
  <c r="D6330" i="106" s="1"/>
  <c r="B6331" i="106"/>
  <c r="D6331" i="106" s="1"/>
  <c r="B6332" i="106"/>
  <c r="D6332" i="106"/>
  <c r="B6333" i="106"/>
  <c r="D6333" i="106" s="1"/>
  <c r="B6334" i="106"/>
  <c r="D6334" i="106" s="1"/>
  <c r="B6335" i="106"/>
  <c r="D6335" i="106" s="1"/>
  <c r="B6336" i="106"/>
  <c r="D6336" i="106" s="1"/>
  <c r="B6337" i="106"/>
  <c r="D6337" i="106" s="1"/>
  <c r="B6338" i="106"/>
  <c r="D6338" i="106" s="1"/>
  <c r="B6339" i="106"/>
  <c r="D6339" i="106" s="1"/>
  <c r="B6340" i="106"/>
  <c r="D6340" i="106"/>
  <c r="B6341" i="106"/>
  <c r="D6341" i="106" s="1"/>
  <c r="B6342" i="106"/>
  <c r="D6342" i="106" s="1"/>
  <c r="B6343" i="106"/>
  <c r="D6343" i="106" s="1"/>
  <c r="B6344" i="106"/>
  <c r="D6344" i="106" s="1"/>
  <c r="B6345" i="106"/>
  <c r="D6345" i="106" s="1"/>
  <c r="B6346" i="106"/>
  <c r="D6346" i="106" s="1"/>
  <c r="B6347" i="106"/>
  <c r="D6347" i="106" s="1"/>
  <c r="B6348" i="106"/>
  <c r="D6348" i="106"/>
  <c r="B6349" i="106"/>
  <c r="D6349" i="106" s="1"/>
  <c r="B6350" i="106"/>
  <c r="D6350" i="106" s="1"/>
  <c r="B6353" i="106"/>
  <c r="D6353" i="106" s="1"/>
  <c r="B6354" i="106"/>
  <c r="D6354" i="106" s="1"/>
  <c r="B6355" i="106"/>
  <c r="D6355" i="106" s="1"/>
  <c r="B6356" i="106"/>
  <c r="D6356" i="106" s="1"/>
  <c r="B6358" i="106"/>
  <c r="D6358" i="106" s="1"/>
  <c r="B6359" i="106"/>
  <c r="D6359" i="106"/>
  <c r="B6360" i="106"/>
  <c r="D6360" i="106" s="1"/>
  <c r="B6361" i="106"/>
  <c r="D6361" i="106" s="1"/>
  <c r="B6362" i="106"/>
  <c r="D6362" i="106" s="1"/>
  <c r="B6363" i="106"/>
  <c r="D6363" i="106" s="1"/>
  <c r="B6364" i="106"/>
  <c r="D6364" i="106" s="1"/>
  <c r="B6365" i="106"/>
  <c r="D6365" i="106" s="1"/>
  <c r="B6366" i="106"/>
  <c r="D6366" i="106" s="1"/>
  <c r="B6367" i="106"/>
  <c r="D6367" i="106"/>
  <c r="B6368" i="106"/>
  <c r="D6368" i="106" s="1"/>
  <c r="B6369" i="106"/>
  <c r="D6369" i="106" s="1"/>
  <c r="B6370" i="106"/>
  <c r="D6370" i="106" s="1"/>
  <c r="B6371" i="106"/>
  <c r="D6371" i="106" s="1"/>
  <c r="B6372" i="106"/>
  <c r="D6372" i="106" s="1"/>
  <c r="B6373" i="106"/>
  <c r="D6373" i="106" s="1"/>
  <c r="B6374" i="106"/>
  <c r="D6374" i="106" s="1"/>
  <c r="B6375" i="106"/>
  <c r="D6375" i="106"/>
  <c r="B6376" i="106"/>
  <c r="D6376" i="106" s="1"/>
  <c r="B6377" i="106"/>
  <c r="D6377" i="106" s="1"/>
  <c r="B6378" i="106"/>
  <c r="D6378" i="106" s="1"/>
  <c r="B6379" i="106"/>
  <c r="D6379" i="106" s="1"/>
  <c r="B6380" i="106"/>
  <c r="D6380" i="106" s="1"/>
  <c r="B6381" i="106"/>
  <c r="D6381" i="106" s="1"/>
  <c r="B6382" i="106"/>
  <c r="D6382" i="106" s="1"/>
  <c r="B6383" i="106"/>
  <c r="D6383" i="106"/>
  <c r="B6384" i="106"/>
  <c r="D6384" i="106" s="1"/>
  <c r="B6385" i="106"/>
  <c r="D6385" i="106" s="1"/>
  <c r="B6386" i="106"/>
  <c r="D6386" i="106" s="1"/>
  <c r="B6387" i="106"/>
  <c r="D6387" i="106" s="1"/>
  <c r="B6388" i="106"/>
  <c r="D6388" i="106" s="1"/>
  <c r="B6389" i="106"/>
  <c r="D6389" i="106" s="1"/>
  <c r="B6390" i="106"/>
  <c r="D6390" i="106" s="1"/>
  <c r="B6391" i="106"/>
  <c r="D6391" i="106"/>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D27" i="108"/>
  <c r="E27" i="108"/>
  <c r="F27" i="108"/>
  <c r="G27" i="108"/>
  <c r="F31" i="108"/>
  <c r="F36" i="108"/>
  <c r="G28" i="108"/>
  <c r="G30" i="108"/>
  <c r="D31" i="108"/>
  <c r="D36" i="108"/>
  <c r="E31" i="108"/>
  <c r="G31" i="108"/>
  <c r="E33" i="108"/>
  <c r="G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22" i="37"/>
  <c r="J22" i="37"/>
  <c r="L22" i="37"/>
  <c r="D24" i="37"/>
  <c r="B4270" i="106" s="1"/>
  <c r="D4270" i="106" s="1"/>
  <c r="D5" i="7"/>
  <c r="B1761" i="106" s="1"/>
  <c r="D1761" i="106" s="1"/>
  <c r="B1746" i="106"/>
  <c r="D1746" i="106" s="1"/>
  <c r="D9" i="7" l="1"/>
  <c r="B1767" i="106" s="1"/>
  <c r="D1767" i="106" s="1"/>
  <c r="G5" i="4"/>
  <c r="B3409" i="106" s="1"/>
  <c r="D3409" i="106" s="1"/>
  <c r="B4413" i="106"/>
  <c r="D4413" i="106" s="1"/>
  <c r="F70" i="34"/>
  <c r="F50" i="34"/>
  <c r="F44" i="34"/>
  <c r="D37" i="108"/>
  <c r="E30" i="108"/>
  <c r="F37" i="108"/>
  <c r="B7235" i="106"/>
  <c r="D7235" i="106" s="1"/>
  <c r="B6289" i="106"/>
  <c r="D6289" i="106" s="1"/>
  <c r="J41" i="3"/>
  <c r="E174" i="29"/>
  <c r="B1309" i="106" s="1"/>
  <c r="D1309" i="106" s="1"/>
  <c r="H173" i="5"/>
  <c r="B5906" i="106" s="1"/>
  <c r="D5906" i="106" s="1"/>
  <c r="H29" i="118"/>
  <c r="G14" i="4"/>
  <c r="B2609" i="106" s="1"/>
  <c r="D2609" i="106" s="1"/>
  <c r="H28" i="118"/>
  <c r="F72" i="34"/>
  <c r="F38" i="34"/>
  <c r="E35" i="108"/>
  <c r="E29" i="108"/>
  <c r="D12" i="7"/>
  <c r="B1769" i="106" s="1"/>
  <c r="D1769" i="106" s="1"/>
  <c r="D31" i="36"/>
  <c r="D11" i="37"/>
  <c r="B1364" i="106"/>
  <c r="D1364" i="106" s="1"/>
  <c r="G210" i="29"/>
  <c r="I173" i="5"/>
  <c r="B4216" i="106" s="1"/>
  <c r="D4216" i="106" s="1"/>
  <c r="F49" i="34"/>
  <c r="I342" i="29"/>
  <c r="B7222" i="106" s="1"/>
  <c r="D7222" i="106" s="1"/>
  <c r="F15" i="145"/>
  <c r="F19" i="145" s="1"/>
  <c r="B1274" i="106"/>
  <c r="D1274" i="106" s="1"/>
  <c r="F35" i="34"/>
  <c r="G26" i="108"/>
  <c r="E26" i="108"/>
  <c r="K26" i="12"/>
  <c r="B7743" i="106" s="1"/>
  <c r="D7743" i="106" s="1"/>
  <c r="B1124" i="106"/>
  <c r="D1124" i="106" s="1"/>
  <c r="B1990" i="106"/>
  <c r="D1990" i="106" s="1"/>
  <c r="I24" i="12"/>
  <c r="B1996" i="106" s="1"/>
  <c r="D1996" i="106" s="1"/>
  <c r="F136" i="34"/>
  <c r="D68" i="36"/>
  <c r="D7" i="7"/>
  <c r="B1763" i="106" s="1"/>
  <c r="D1763" i="106" s="1"/>
  <c r="B5304" i="106"/>
  <c r="D5304" i="106" s="1"/>
  <c r="F41" i="34"/>
  <c r="G38" i="108"/>
  <c r="H342" i="29"/>
  <c r="H109" i="5"/>
  <c r="B6025" i="106" s="1"/>
  <c r="D6025" i="106" s="1"/>
  <c r="F66" i="34"/>
  <c r="F45" i="34"/>
  <c r="F42" i="34"/>
  <c r="E38" i="108"/>
  <c r="F21" i="8"/>
  <c r="J77" i="4"/>
  <c r="B6262" i="106" s="1"/>
  <c r="D6262" i="106" s="1"/>
  <c r="K285" i="29"/>
  <c r="B1223" i="106"/>
  <c r="D1223" i="106" s="1"/>
  <c r="C129" i="29"/>
  <c r="E15" i="145"/>
  <c r="G15" i="145" s="1"/>
  <c r="B1126" i="106"/>
  <c r="D1126" i="106" s="1"/>
  <c r="D17" i="7"/>
  <c r="B4104" i="106" s="1"/>
  <c r="D4104" i="106" s="1"/>
  <c r="F106" i="34"/>
  <c r="K274" i="5"/>
  <c r="B6022" i="106" s="1"/>
  <c r="D6022" i="106" s="1"/>
  <c r="F111" i="34"/>
  <c r="L5" i="11"/>
  <c r="B2056" i="106" s="1"/>
  <c r="D2056" i="106" s="1"/>
  <c r="K28" i="118"/>
  <c r="O27" i="118" s="1"/>
  <c r="O29" i="118" s="1"/>
  <c r="J274" i="5"/>
  <c r="B7054" i="106" s="1"/>
  <c r="D7054" i="106" s="1"/>
  <c r="K173" i="5"/>
  <c r="K6" i="4" s="1"/>
  <c r="B3570" i="106" s="1"/>
  <c r="D3570" i="106" s="1"/>
  <c r="G172" i="5"/>
  <c r="F172" i="5"/>
  <c r="B5644" i="106" s="1"/>
  <c r="D5644" i="106" s="1"/>
  <c r="B5096" i="106"/>
  <c r="D5096" i="106" s="1"/>
  <c r="I26" i="12"/>
  <c r="B7741" i="106" s="1"/>
  <c r="D7741" i="106" s="1"/>
  <c r="F127" i="34"/>
  <c r="F26" i="108"/>
  <c r="B3658" i="106"/>
  <c r="D3658" i="106" s="1"/>
  <c r="H365" i="29"/>
  <c r="B3565" i="106"/>
  <c r="D3565" i="106" s="1"/>
  <c r="K41" i="3"/>
  <c r="B3568" i="106" s="1"/>
  <c r="D3568" i="106" s="1"/>
  <c r="D15" i="7"/>
  <c r="B1772" i="106" s="1"/>
  <c r="D1772" i="106" s="1"/>
  <c r="D11" i="7"/>
  <c r="B1768" i="106" s="1"/>
  <c r="D1768" i="106" s="1"/>
  <c r="H6" i="4"/>
  <c r="B2656" i="106" s="1"/>
  <c r="D2656" i="106" s="1"/>
  <c r="C172" i="5"/>
  <c r="B5214" i="106" s="1"/>
  <c r="D5214" i="106" s="1"/>
  <c r="F130" i="34"/>
  <c r="G35" i="108"/>
  <c r="D7245" i="106"/>
  <c r="B3649" i="106"/>
  <c r="D3649" i="106" s="1"/>
  <c r="G367" i="29"/>
  <c r="B3650" i="106" s="1"/>
  <c r="D3650" i="106" s="1"/>
  <c r="B3619" i="106"/>
  <c r="D3619" i="106" s="1"/>
  <c r="C352" i="29"/>
  <c r="F128" i="34"/>
  <c r="K76" i="4"/>
  <c r="B3586" i="106" s="1"/>
  <c r="D3586" i="106" s="1"/>
  <c r="D6103" i="106"/>
  <c r="F34" i="34"/>
  <c r="F36" i="34"/>
  <c r="F28" i="108"/>
  <c r="E28" i="108"/>
  <c r="B2724" i="106"/>
  <c r="D2724" i="106" s="1"/>
  <c r="B4395" i="106"/>
  <c r="D4395" i="106" s="1"/>
  <c r="C109" i="5"/>
  <c r="B5121" i="106" s="1"/>
  <c r="D5121" i="106" s="1"/>
  <c r="D4" i="7"/>
  <c r="B1760" i="106" s="1"/>
  <c r="D1760" i="106" s="1"/>
  <c r="D13" i="7"/>
  <c r="B3726" i="106" s="1"/>
  <c r="D3726" i="106" s="1"/>
  <c r="D109" i="5"/>
  <c r="B5356" i="106" s="1"/>
  <c r="D5356" i="106" s="1"/>
  <c r="F77" i="4"/>
  <c r="B3255" i="106" s="1"/>
  <c r="D3255" i="106" s="1"/>
  <c r="B1329" i="106"/>
  <c r="D1329" i="106" s="1"/>
  <c r="F61" i="34"/>
  <c r="E109" i="5"/>
  <c r="E4" i="4" s="1"/>
  <c r="B2630" i="106" s="1"/>
  <c r="D2630" i="106" s="1"/>
  <c r="G29" i="108"/>
  <c r="K184" i="29"/>
  <c r="F13" i="4" s="1"/>
  <c r="B2596" i="106" s="1"/>
  <c r="D2596" i="106" s="1"/>
  <c r="G109" i="5"/>
  <c r="B6024" i="106" s="1"/>
  <c r="D6024" i="106" s="1"/>
  <c r="B1410" i="106"/>
  <c r="D1410" i="106" s="1"/>
  <c r="H76" i="4"/>
  <c r="B3298" i="106" s="1"/>
  <c r="D3298" i="106" s="1"/>
  <c r="H4" i="4"/>
  <c r="B2655" i="106" s="1"/>
  <c r="D2655" i="106" s="1"/>
  <c r="C342" i="29"/>
  <c r="B7216" i="106" s="1"/>
  <c r="D7216" i="106" s="1"/>
  <c r="K350" i="29"/>
  <c r="F19" i="7"/>
  <c r="B1807" i="106" s="1"/>
  <c r="D1807" i="106" s="1"/>
  <c r="D69" i="36"/>
  <c r="D54" i="36"/>
  <c r="D52" i="36"/>
  <c r="L13" i="11"/>
  <c r="B2060" i="106" s="1"/>
  <c r="D2060" i="106" s="1"/>
  <c r="L15" i="11"/>
  <c r="B3459" i="106" s="1"/>
  <c r="D3459" i="106" s="1"/>
  <c r="L367" i="29"/>
  <c r="L342" i="29"/>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7256" i="106" l="1"/>
  <c r="D7251" i="106"/>
  <c r="D7250" i="106"/>
  <c r="B1879" i="106"/>
  <c r="D1879" i="106" s="1"/>
  <c r="H22" i="37"/>
  <c r="D7252" i="106"/>
  <c r="K7" i="4"/>
  <c r="B3718" i="106" s="1"/>
  <c r="D3718" i="106" s="1"/>
  <c r="J7" i="4"/>
  <c r="D7254" i="106"/>
  <c r="B1365" i="106"/>
  <c r="D1365" i="106" s="1"/>
  <c r="F65" i="34"/>
  <c r="B3628" i="106"/>
  <c r="D3628" i="106" s="1"/>
  <c r="K77" i="4"/>
  <c r="B3587" i="106" s="1"/>
  <c r="D3587" i="106" s="1"/>
  <c r="D7255" i="106"/>
  <c r="F173" i="5"/>
  <c r="F73" i="34"/>
  <c r="G15" i="4"/>
  <c r="B6032" i="106" s="1"/>
  <c r="D6032" i="106" s="1"/>
  <c r="H367" i="29"/>
  <c r="B3660" i="106" s="1"/>
  <c r="D3660" i="106" s="1"/>
  <c r="B7242" i="106"/>
  <c r="D7242" i="106" s="1"/>
  <c r="B5914" i="106"/>
  <c r="D5914" i="106" s="1"/>
  <c r="B6014" i="106"/>
  <c r="D6014" i="106" s="1"/>
  <c r="C173" i="5"/>
  <c r="H275" i="5"/>
  <c r="B5915" i="106" s="1"/>
  <c r="D5915" i="106" s="1"/>
  <c r="H77" i="4"/>
  <c r="B3299" i="106" s="1"/>
  <c r="D3299" i="106" s="1"/>
  <c r="H8" i="4"/>
  <c r="B2658" i="106" s="1"/>
  <c r="D2658" i="106" s="1"/>
  <c r="D7253" i="106"/>
  <c r="B3621" i="106"/>
  <c r="D3621" i="106" s="1"/>
  <c r="C367" i="29"/>
  <c r="B3622" i="106" s="1"/>
  <c r="D3622" i="106" s="1"/>
  <c r="G173" i="5"/>
  <c r="B5770" i="106"/>
  <c r="D5770" i="106" s="1"/>
  <c r="C114" i="29"/>
  <c r="B757" i="106" s="1"/>
  <c r="D757" i="106" s="1"/>
  <c r="C4" i="4"/>
  <c r="B2551" i="106" s="1"/>
  <c r="D2551" i="106" s="1"/>
  <c r="D19" i="7"/>
  <c r="B1775" i="106" s="1"/>
  <c r="D1775" i="106" s="1"/>
  <c r="H151" i="29"/>
  <c r="B1273" i="106" s="1"/>
  <c r="D1273" i="106" s="1"/>
  <c r="D4" i="4"/>
  <c r="B2564" i="106" s="1"/>
  <c r="D2564" i="106" s="1"/>
  <c r="B1317" i="106"/>
  <c r="D1317" i="106" s="1"/>
  <c r="G4" i="4"/>
  <c r="B2603" i="106" s="1"/>
  <c r="D2603" i="106" s="1"/>
  <c r="K342" i="29"/>
  <c r="F13" i="34" s="1"/>
  <c r="B3670" i="106"/>
  <c r="D3670" i="106" s="1"/>
  <c r="K352" i="29"/>
  <c r="L16" i="11"/>
  <c r="B2061" i="106" s="1"/>
  <c r="D206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H10" i="4"/>
  <c r="B4127" i="106" s="1"/>
  <c r="D4127" i="106" s="1"/>
  <c r="D7" i="4"/>
  <c r="D275" i="5"/>
  <c r="B5507" i="106"/>
  <c r="D5507" i="106" s="1"/>
  <c r="B7298" i="106"/>
  <c r="B7299" i="106"/>
  <c r="F6" i="4" l="1"/>
  <c r="B2593" i="106" s="1"/>
  <c r="D2593" i="106" s="1"/>
  <c r="B5653" i="106"/>
  <c r="D5653" i="106" s="1"/>
  <c r="F275" i="5"/>
  <c r="B5720" i="106" s="1"/>
  <c r="D5720" i="106" s="1"/>
  <c r="B5778" i="106"/>
  <c r="D5778" i="106" s="1"/>
  <c r="G6" i="4"/>
  <c r="B2604" i="106" s="1"/>
  <c r="D2604" i="106" s="1"/>
  <c r="F8" i="4"/>
  <c r="J8" i="4"/>
  <c r="J10" i="4" s="1"/>
  <c r="B6225" i="106" s="1"/>
  <c r="D6225" i="106" s="1"/>
  <c r="B5223" i="106"/>
  <c r="D5223" i="106" s="1"/>
  <c r="C6" i="4"/>
  <c r="B2553" i="106" s="1"/>
  <c r="D2553" i="106" s="1"/>
  <c r="B1145" i="106"/>
  <c r="D1145" i="106" s="1"/>
  <c r="E41" i="108"/>
  <c r="E44" i="108" s="1"/>
  <c r="E45" i="108" s="1"/>
  <c r="G41" i="108"/>
  <c r="G44" i="108" s="1"/>
  <c r="G45" i="108" s="1"/>
  <c r="B7224" i="106"/>
  <c r="D7224" i="106" s="1"/>
  <c r="J17" i="4"/>
  <c r="B6227" i="106" s="1"/>
  <c r="D6227"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K17" i="4" l="1"/>
  <c r="F76" i="34"/>
  <c r="D10" i="171"/>
  <c r="D19" i="171" s="1"/>
  <c r="D32" i="171" s="1"/>
  <c r="D49" i="171" s="1"/>
  <c r="J20" i="4"/>
  <c r="J78" i="4" s="1"/>
  <c r="J19" i="4"/>
  <c r="B6229" i="106" s="1"/>
  <c r="D6229"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<sst xmlns="http://schemas.openxmlformats.org/spreadsheetml/2006/main" count="5281" uniqueCount="2234">
  <si>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</si>
  <si>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</si>
  <si>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</si>
  <si>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</si>
  <si>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</si>
  <si>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</si>
  <si>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</si>
  <si>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</si>
  <si>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</si>
  <si>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</si>
  <si>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</si>
  <si>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</si>
  <si>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</si>
  <si>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</si>
  <si>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</si>
  <si>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</si>
  <si>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</si>
  <si>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</si>
  <si>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</si>
  <si>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</si>
  <si>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</si>
  <si>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</si>
  <si>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</si>
  <si>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</si>
  <si>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</si>
  <si>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</si>
  <si>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</si>
  <si>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</si>
  <si>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</si>
  <si>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</si>
  <si>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</si>
  <si>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</si>
  <si>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</si>
  <si>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</si>
  <si>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</si>
  <si>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</si>
  <si>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</si>
  <si>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</si>
  <si>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</si>
  <si>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</si>
  <si>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</si>
  <si>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</si>
  <si>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</si>
  <si>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</si>
  <si>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</si>
  <si>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</si>
  <si>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</si>
  <si>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</si>
  <si>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</si>
  <si>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</si>
  <si>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</si>
  <si>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</si>
  <si>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</si>
  <si>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</si>
  <si>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</si>
  <si>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</si>
  <si>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</si>
  <si>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</si>
  <si>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</si>
  <si>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</si>
  <si>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</si>
  <si>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</si>
  <si>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</si>
  <si>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</si>
  <si>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</si>
  <si>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</si>
  <si>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</si>
  <si>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</si>
  <si>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</si>
  <si>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</si>
  <si>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</si>
  <si>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</si>
  <si>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</si>
  <si>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</si>
  <si>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</si>
  <si>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</si>
  <si>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</si>
  <si>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</si>
  <si>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</si>
  <si>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</si>
  <si>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</si>
  <si>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</si>
  <si>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</si>
  <si>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</si>
  <si>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</si>
  <si>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</si>
  <si>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</si>
  <si>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</si>
  <si>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</si>
  <si>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</si>
  <si>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</si>
  <si>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</si>
  <si>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</si>
  <si>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</si>
  <si>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</si>
  <si>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</si>
  <si>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</si>
  <si>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</si>
  <si>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</si>
  <si>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</si>
  <si>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</si>
  <si>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</si>
  <si>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</si>
  <si>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</si>
  <si>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</si>
  <si>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</si>
  <si>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</si>
  <si>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</si>
  <si>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</si>
  <si>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</si>
  <si>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</si>
  <si>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</si>
  <si>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</si>
  <si>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</si>
  <si>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</si>
  <si>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</si>
  <si>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</si>
  <si>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</si>
  <si>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</si>
  <si>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</si>
  <si>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</si>
  <si>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</si>
  <si>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</si>
  <si>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</si>
  <si>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</si>
  <si>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</si>
  <si>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</si>
  <si>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</si>
  <si>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</si>
  <si>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</si>
  <si>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</si>
  <si>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</si>
  <si>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</si>
  <si>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</si>
  <si>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</si>
  <si>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</si>
  <si>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</si>
  <si>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</si>
  <si>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</si>
  <si>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</si>
  <si>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</si>
  <si>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</si>
  <si>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</si>
  <si>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</si>
  <si>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</si>
  <si>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</si>
  <si>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</si>
  <si>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</si>
  <si>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</si>
  <si>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</si>
  <si>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</si>
  <si>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</si>
  <si>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</si>
  <si>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</si>
  <si>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</si>
  <si>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</si>
  <si>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</si>
  <si>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</si>
  <si>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</si>
  <si>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</si>
  <si>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</si>
  <si>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</si>
  <si>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</si>
  <si>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</si>
  <si>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</si>
  <si>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</si>
  <si>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</si>
  <si>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</si>
  <si>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</si>
  <si>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</si>
  <si>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</si>
  <si>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</si>
  <si>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</si>
  <si>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</si>
  <si>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</si>
  <si>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</si>
  <si>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</si>
  <si>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</si>
  <si>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</si>
  <si>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</si>
  <si>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</si>
  <si>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</si>
  <si>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</si>
  <si>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</si>
  <si>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</si>
  <si>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</si>
  <si>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</si>
  <si>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</si>
  <si>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</si>
  <si>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</si>
  <si>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</si>
  <si>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</si>
  <si>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</si>
  <si>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</si>
  <si>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</si>
  <si>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</si>
  <si>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</si>
  <si>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</si>
  <si>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</si>
  <si>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</si>
  <si>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</si>
  <si>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</si>
  <si>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</si>
  <si>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</si>
  <si>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</si>
  <si>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</si>
  <si>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</si>
  <si>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</si>
  <si>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</si>
  <si>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</si>
  <si>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</si>
  <si>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</si>
  <si>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</si>
  <si>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</si>
  <si>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</si>
  <si>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</si>
  <si>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</si>
  <si>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</si>
  <si>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</si>
  <si>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</si>
  <si>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</si>
  <si>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</si>
  <si>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</si>
  <si>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</si>
  <si>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</si>
  <si>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</si>
  <si>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</si>
  <si>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</si>
  <si>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</si>
  <si>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</si>
  <si>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</si>
  <si>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</si>
  <si>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</si>
  <si>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</si>
  <si>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</si>
  <si>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</si>
  <si>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</si>
  <si>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</si>
  <si>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</si>
  <si>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</si>
  <si>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</si>
  <si>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</si>
  <si>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</si>
  <si>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</si>
  <si>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</si>
  <si>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</si>
  <si>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</si>
  <si>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</si>
  <si>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</si>
  <si>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</si>
  <si>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</si>
  <si>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</si>
  <si>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</si>
  <si>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</si>
  <si>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</si>
  <si>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</si>
  <si>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</si>
  <si>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</si>
  <si>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</si>
  <si>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</si>
  <si>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</si>
  <si>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</si>
  <si>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</si>
  <si>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</si>
  <si>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</si>
  <si>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</si>
  <si>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</si>
  <si>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</si>
  <si>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</si>
  <si>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</si>
  <si>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</si>
  <si>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</si>
  <si>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</si>
  <si>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</si>
  <si>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</si>
  <si>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</si>
  <si>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</si>
  <si>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</si>
  <si>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</si>
  <si>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</si>
  <si>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</si>
  <si>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</si>
  <si>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</si>
  <si>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</si>
  <si>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</si>
  <si>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</si>
  <si>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</si>
  <si>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</si>
  <si>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</si>
  <si>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</si>
  <si>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</si>
  <si>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</si>
  <si>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</si>
  <si>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</si>
  <si>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</si>
  <si>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</si>
  <si>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</si>
  <si>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</si>
  <si>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</si>
  <si>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</si>
  <si>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</si>
  <si>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</si>
  <si>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</si>
  <si>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</si>
  <si>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</si>
  <si>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</si>
  <si>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</si>
  <si>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</si>
  <si>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</si>
  <si>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</si>
  <si>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</si>
  <si>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</si>
  <si>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</si>
  <si>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</si>
  <si>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</si>
  <si>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</si>
  <si>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</si>
  <si>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</si>
  <si>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</si>
  <si>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</si>
  <si>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</si>
  <si>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</si>
  <si>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</si>
  <si>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</si>
  <si>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</si>
  <si>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</si>
  <si>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</si>
  <si>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</si>
  <si>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</si>
  <si>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</si>
  <si>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</si>
  <si>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</si>
  <si>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</si>
  <si>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</si>
  <si>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</si>
  <si>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</si>
  <si>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</si>
  <si>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</si>
  <si>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</si>
  <si>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</si>
  <si>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</si>
  <si>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</si>
  <si>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</si>
  <si>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</si>
  <si>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</si>
  <si>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</si>
  <si>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</si>
  <si>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</si>
  <si>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</si>
  <si>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</si>
  <si>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</si>
  <si>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</si>
  <si>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</si>
  <si>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</si>
  <si>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</si>
  <si>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</si>
  <si>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</si>
  <si>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</si>
  <si>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</si>
  <si>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</si>
  <si>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</si>
  <si>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</si>
  <si>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</si>
  <si>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</si>
  <si>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</si>
  <si>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</si>
  <si>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</si>
  <si>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</si>
  <si>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</si>
  <si>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</si>
  <si>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</si>
  <si>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</si>
  <si>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</si>
  <si>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</si>
  <si>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</si>
  <si>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</si>
  <si>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</si>
  <si>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</si>
  <si>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</si>
  <si>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</si>
  <si>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</si>
  <si>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</si>
  <si>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</si>
  <si>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</si>
  <si>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</si>
  <si>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</si>
  <si>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</si>
  <si>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</si>
  <si>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</si>
  <si>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</si>
  <si>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</si>
  <si>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</si>
  <si>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</si>
  <si>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</si>
  <si>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</si>
  <si>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</si>
  <si>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</si>
  <si>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</si>
  <si>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</si>
  <si>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</si>
  <si>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</si>
  <si>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</si>
  <si>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</si>
  <si>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</si>
  <si>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</si>
  <si>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</si>
  <si>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</si>
  <si>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</si>
  <si>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</si>
  <si>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</si>
  <si>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</si>
  <si>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</si>
  <si>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</si>
  <si>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</si>
  <si>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</si>
  <si>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</si>
  <si>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</si>
  <si>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</si>
  <si>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</si>
  <si>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</si>
  <si>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</si>
  <si>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</si>
  <si>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</si>
  <si>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</si>
  <si>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</si>
  <si>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</si>
  <si>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</si>
  <si>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</si>
  <si>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</si>
  <si>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</si>
  <si>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</si>
  <si>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</si>
  <si>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</si>
  <si>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</si>
  <si>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</si>
  <si>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</si>
  <si>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</si>
  <si>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</si>
  <si>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</si>
  <si>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</si>
  <si>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</si>
  <si>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</si>
  <si>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</si>
  <si>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</si>
  <si>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</si>
  <si>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</si>
  <si>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</si>
  <si>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</si>
  <si>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</si>
  <si>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</si>
  <si>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</si>
  <si>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</si>
  <si>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</si>
  <si>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</si>
  <si>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</si>
  <si>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</si>
  <si>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</si>
  <si>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</si>
  <si>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</si>
  <si>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</si>
  <si>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</si>
  <si>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</si>
  <si>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</si>
  <si>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</si>
  <si>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</si>
  <si>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</si>
  <si>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</si>
  <si>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</si>
  <si>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</si>
  <si>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</si>
  <si>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</si>
  <si>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</si>
  <si>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</si>
  <si>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</si>
  <si>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</si>
  <si>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</si>
  <si>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</si>
  <si>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</si>
  <si>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</si>
  <si>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</si>
  <si>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</si>
  <si>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</si>
  <si>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</si>
  <si>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</si>
  <si>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</si>
  <si>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</si>
  <si>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</si>
  <si>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</si>
  <si>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</si>
  <si>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</si>
  <si>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</si>
  <si>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</si>
  <si>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</si>
  <si>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</si>
  <si>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</si>
  <si>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</si>
  <si>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</si>
  <si>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</si>
  <si>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</si>
  <si>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</si>
  <si>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</si>
  <si>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</si>
  <si>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</si>
  <si>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</si>
  <si>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</si>
  <si>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</si>
  <si>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</si>
  <si>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</si>
  <si>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</si>
  <si>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</si>
  <si>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</si>
  <si>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</si>
  <si>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</si>
  <si>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</si>
  <si>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</si>
  <si>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</si>
  <si>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</si>
  <si>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</si>
  <si>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</si>
  <si>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</si>
  <si>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</si>
  <si>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</si>
  <si>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</si>
  <si>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</si>
  <si>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</si>
  <si>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</si>
  <si>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</si>
  <si>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</si>
  <si>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</si>
  <si>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</si>
  <si>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</si>
  <si>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</si>
  <si>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</si>
  <si>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</si>
  <si>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</si>
  <si>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</si>
  <si>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</si>
  <si>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</si>
  <si>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</si>
  <si>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</si>
  <si>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</si>
  <si>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</si>
  <si>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</si>
  <si>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</si>
  <si>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</si>
  <si>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</si>
  <si>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</si>
  <si>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</si>
  <si>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</si>
  <si>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</si>
  <si>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</si>
  <si>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</si>
  <si>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</si>
  <si>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</si>
  <si>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</si>
  <si>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</si>
  <si>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</si>
  <si>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</si>
  <si>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</si>
  <si>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</si>
  <si>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</si>
  <si>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</si>
  <si>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</si>
  <si>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</si>
  <si>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</si>
  <si>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</si>
  <si>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</si>
  <si>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</si>
  <si>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</si>
  <si>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</si>
  <si>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</si>
  <si>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</si>
  <si>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</si>
  <si>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</si>
  <si>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</si>
  <si>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</si>
  <si>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</si>
  <si>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</si>
  <si>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</si>
  <si>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</si>
  <si>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</si>
  <si>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</si>
  <si>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</si>
  <si>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</si>
  <si>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</si>
  <si>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</si>
  <si>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</si>
  <si>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</si>
  <si>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</si>
  <si>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</si>
  <si>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</si>
  <si>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</si>
  <si>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</si>
  <si>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</si>
  <si>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</si>
  <si>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</si>
  <si>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</si>
  <si>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</si>
  <si>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</si>
  <si>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</si>
  <si>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</si>
  <si>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</si>
  <si>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</si>
  <si>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</si>
  <si>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</si>
  <si>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</si>
  <si>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</si>
  <si>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</si>
  <si>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</si>
  <si>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</si>
  <si>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</si>
  <si>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</si>
  <si>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</si>
  <si>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</si>
  <si>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</si>
  <si>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</si>
  <si>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</si>
  <si>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</si>
  <si>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</si>
  <si>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</si>
  <si>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</si>
  <si>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</si>
  <si>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</si>
  <si>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</si>
  <si>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</si>
  <si>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</si>
  <si>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</si>
  <si>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</si>
  <si>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</si>
  <si>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</si>
  <si>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</si>
  <si>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</si>
  <si>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</si>
  <si>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</si>
  <si>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</si>
  <si>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</si>
  <si>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</si>
  <si>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</si>
  <si>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</si>
  <si>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</si>
  <si>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</si>
  <si>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</si>
  <si>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</si>
  <si>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</si>
  <si>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</si>
  <si>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</si>
  <si>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</si>
  <si>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</si>
  <si>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</si>
  <si>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</si>
  <si>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</si>
  <si>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</si>
  <si>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</si>
  <si>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</si>
  <si>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</si>
  <si>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</si>
  <si>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</si>
  <si>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</si>
  <si>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</si>
  <si>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</si>
  <si>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</si>
  <si>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</si>
  <si>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</si>
  <si>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</si>
  <si>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</si>
  <si>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</si>
  <si>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</si>
  <si>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</si>
  <si>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</si>
  <si>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</si>
  <si>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</si>
  <si>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</si>
  <si>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</si>
  <si>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</si>
  <si>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</si>
  <si>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</si>
  <si>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</si>
  <si>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</si>
  <si>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</si>
  <si>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</si>
  <si>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</si>
  <si>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</si>
  <si>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</si>
  <si>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</si>
  <si>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</si>
  <si>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</si>
  <si>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</si>
  <si>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</si>
  <si>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</si>
  <si>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</si>
  <si>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</si>
  <si>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</si>
  <si>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</si>
  <si>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</si>
  <si>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</si>
  <si>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</si>
  <si>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</si>
  <si>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</si>
  <si>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</si>
  <si>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</si>
  <si>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</si>
  <si>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</si>
  <si>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</si>
  <si>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</si>
  <si>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</si>
  <si>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</si>
  <si>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</si>
  <si>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</si>
  <si>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</si>
  <si>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</si>
  <si>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</si>
  <si>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</si>
  <si>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</si>
  <si>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</si>
  <si>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</si>
  <si>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</si>
  <si>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</si>
  <si>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</si>
  <si>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</si>
  <si>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</si>
  <si>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</si>
  <si>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</si>
  <si>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</si>
  <si>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</si>
  <si>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</si>
  <si>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</si>
  <si>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</si>
  <si>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</si>
  <si>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</si>
  <si>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</si>
  <si>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</si>
  <si>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</si>
  <si>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</si>
  <si>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</si>
  <si>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</si>
  <si>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</si>
  <si>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</si>
  <si>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</si>
  <si>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</si>
  <si>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</si>
  <si>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</si>
  <si>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</si>
  <si>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</si>
  <si>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</si>
  <si>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</si>
  <si>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</si>
  <si>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</si>
  <si>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</si>
  <si>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</si>
  <si>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</si>
  <si>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</si>
  <si>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</si>
  <si>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</si>
  <si>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</si>
  <si>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</si>
  <si>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</si>
  <si>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</si>
  <si>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</si>
  <si>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</si>
  <si>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</si>
  <si>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</si>
  <si>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</si>
  <si>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</si>
  <si>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</si>
  <si>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</si>
  <si>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</si>
  <si>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</si>
  <si>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</si>
  <si>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</si>
  <si>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</si>
  <si>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</si>
  <si>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</si>
  <si>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</si>
  <si>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</si>
  <si>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</si>
  <si>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</si>
  <si>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</si>
  <si>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</si>
  <si>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</si>
  <si>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</si>
  <si>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</si>
  <si>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</si>
  <si>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</si>
  <si>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</si>
  <si>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</si>
  <si>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</si>
  <si>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</si>
  <si>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</si>
  <si>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</si>
  <si>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</si>
  <si>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</si>
  <si>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</si>
  <si>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</si>
  <si>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</si>
  <si>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</si>
  <si>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</si>
  <si>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</si>
  <si>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</si>
  <si>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</si>
  <si>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</si>
  <si>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</si>
  <si>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</si>
  <si>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</si>
  <si>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</si>
  <si>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</si>
  <si>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</si>
  <si>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</si>
  <si>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</si>
  <si>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</si>
  <si>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</si>
  <si>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</si>
  <si>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</si>
  <si>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</si>
  <si>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</si>
  <si>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</si>
  <si>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</si>
  <si>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</si>
  <si>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</si>
  <si>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</si>
  <si>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</si>
  <si>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</si>
  <si>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</si>
  <si>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</si>
  <si>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</si>
  <si>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</si>
  <si>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</si>
  <si>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</si>
  <si>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</si>
  <si>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</si>
  <si>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</si>
  <si>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</si>
  <si>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</si>
  <si>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</si>
  <si>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</si>
  <si>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</si>
  <si>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</si>
  <si>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</si>
  <si>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</si>
  <si>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</si>
  <si>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</si>
  <si>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</si>
  <si>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</si>
  <si>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</si>
  <si>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</si>
  <si>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</si>
  <si>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</si>
  <si>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</si>
  <si>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</si>
  <si>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</si>
  <si>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</si>
  <si>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</si>
  <si>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</si>
  <si>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</si>
  <si>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</si>
  <si>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</si>
  <si>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</si>
  <si>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</si>
  <si>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</si>
  <si>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</si>
  <si>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</si>
  <si>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</si>
  <si>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</si>
  <si>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</si>
  <si>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</si>
  <si>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</si>
  <si>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</si>
  <si>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</si>
  <si>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</si>
  <si>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</si>
  <si>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</si>
  <si>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</si>
  <si>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</si>
  <si>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</si>
  <si>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</si>
  <si>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</si>
  <si>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</si>
  <si>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</si>
  <si>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</si>
  <si>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</si>
  <si>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</si>
  <si>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</si>
  <si>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</si>
  <si>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</si>
  <si>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</si>
  <si>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</si>
  <si>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</si>
  <si>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</si>
  <si>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</si>
  <si>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</si>
  <si>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</si>
  <si>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</si>
  <si>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</si>
  <si>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</si>
  <si>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</si>
  <si>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</si>
  <si>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</si>
  <si>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</si>
  <si>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</si>
  <si>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</si>
  <si>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</si>
  <si>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</si>
  <si>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</si>
  <si>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</si>
  <si>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</si>
  <si>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</si>
  <si>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</si>
  <si>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</si>
  <si>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</si>
  <si>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</si>
  <si>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</si>
  <si>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</si>
  <si>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</si>
  <si>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</si>
  <si>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</si>
  <si>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</si>
  <si>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</si>
  <si>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</si>
  <si>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</si>
  <si>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</si>
  <si>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</si>
  <si>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</si>
  <si>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</si>
  <si>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</si>
  <si>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</si>
  <si>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</si>
  <si>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</si>
  <si>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</si>
  <si>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</si>
  <si>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</si>
  <si>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</si>
  <si>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</si>
  <si>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</si>
  <si>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</si>
  <si>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</si>
  <si>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</si>
  <si>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</si>
  <si>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</si>
  <si>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</si>
  <si>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</si>
  <si>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</si>
  <si>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</si>
  <si>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</si>
  <si>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</si>
  <si>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</si>
  <si>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</si>
  <si>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</si>
  <si>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</si>
  <si>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</si>
  <si>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</si>
  <si>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</si>
  <si>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</si>
  <si>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</si>
  <si>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</si>
  <si>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</si>
  <si>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</si>
  <si>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</si>
  <si>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</si>
  <si>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</si>
  <si>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</si>
  <si>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</si>
  <si>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</si>
  <si>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</si>
  <si>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</si>
  <si>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</si>
  <si>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</si>
  <si>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</si>
  <si>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</si>
  <si>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</si>
  <si>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</si>
  <si>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</si>
  <si>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</si>
  <si>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</si>
  <si>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</si>
  <si>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</si>
  <si>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</si>
  <si>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</si>
  <si>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</si>
  <si>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</si>
  <si>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</si>
  <si>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</si>
  <si>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</si>
  <si>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</si>
  <si>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</si>
  <si>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</si>
  <si>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</si>
  <si>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</si>
  <si>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</si>
  <si>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</si>
  <si>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</si>
  <si>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</si>
  <si>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</si>
  <si>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</si>
  <si>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</si>
  <si>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</si>
  <si>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</si>
  <si>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</si>
  <si>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</si>
  <si>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</si>
  <si>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</si>
  <si>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</si>
  <si>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</si>
  <si>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</si>
  <si>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</si>
  <si>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</si>
  <si>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</si>
  <si>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</si>
  <si>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</si>
  <si>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</si>
  <si>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</si>
  <si>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</si>
  <si>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</si>
  <si>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</si>
  <si>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</si>
  <si>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</si>
  <si>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</si>
  <si>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</si>
  <si>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</si>
  <si>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</si>
  <si>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</si>
  <si>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</si>
  <si>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</si>
  <si>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</si>
  <si>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</si>
  <si>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</si>
  <si>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</si>
  <si>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</si>
  <si>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</si>
  <si>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</si>
  <si>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</si>
  <si>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</si>
  <si>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</si>
  <si>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</si>
  <si>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</si>
  <si>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</si>
  <si>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</si>
  <si>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</si>
  <si>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</si>
  <si>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</si>
  <si>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</si>
  <si>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</si>
  <si>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</si>
  <si>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</si>
  <si>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</si>
  <si>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</si>
  <si>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</si>
  <si>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</si>
  <si>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</si>
  <si>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</si>
  <si>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</si>
  <si>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</si>
  <si>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</si>
  <si>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</si>
  <si>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</si>
  <si>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</si>
  <si>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</si>
  <si>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</si>
  <si>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</si>
  <si>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</si>
  <si>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</si>
  <si>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</si>
  <si>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</si>
  <si>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</si>
  <si>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</si>
  <si>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</si>
  <si>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</si>
  <si>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</si>
  <si>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</si>
  <si>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</si>
  <si>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</si>
  <si>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</si>
  <si>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</si>
  <si>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</si>
  <si>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</si>
  <si>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</si>
  <si>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</si>
  <si>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</si>
  <si>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</si>
  <si>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</si>
  <si>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</si>
  <si>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</si>
  <si>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</si>
  <si>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</si>
  <si>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</si>
  <si>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</si>
  <si>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</si>
  <si>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</si>
  <si>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</si>
  <si>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</si>
  <si>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</si>
  <si>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</si>
  <si>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</si>
  <si>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</si>
  <si>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</si>
  <si>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</si>
  <si>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</si>
  <si>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</si>
  <si>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</si>
  <si>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</si>
  <si>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</si>
  <si>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</si>
  <si>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</si>
  <si>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</si>
  <si>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</si>
  <si>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</si>
  <si>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</si>
  <si>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</si>
  <si>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</si>
  <si>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</si>
  <si>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</si>
  <si>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</si>
  <si>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</si>
  <si>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</si>
  <si>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</si>
  <si>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</si>
  <si>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</si>
  <si>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</si>
  <si>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</si>
  <si>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</si>
  <si>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</si>
  <si>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</si>
  <si>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</si>
  <si>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</si>
  <si>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</si>
  <si>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</si>
  <si>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</si>
  <si>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</si>
  <si>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</si>
  <si>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</si>
  <si>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</si>
  <si>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</si>
  <si>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</si>
  <si>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</si>
  <si>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</si>
  <si>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</si>
  <si>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</si>
  <si>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</si>
  <si>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</si>
  <si>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</si>
  <si>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</si>
  <si>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</si>
  <si>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</si>
  <si>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</si>
  <si>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</si>
  <si>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</si>
  <si>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</si>
  <si>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</si>
  <si>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</si>
  <si>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</si>
  <si>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</si>
  <si>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</si>
  <si>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</si>
  <si>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</si>
  <si>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</si>
  <si>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</si>
  <si>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</si>
  <si>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</si>
  <si>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</si>
  <si>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</si>
  <si>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</si>
  <si>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</si>
  <si>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</si>
  <si>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</si>
  <si>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</si>
  <si>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</si>
  <si>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</si>
  <si>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</si>
  <si>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</si>
  <si>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</si>
  <si>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</si>
  <si>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</si>
  <si>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</si>
  <si>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</si>
  <si>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</si>
  <si>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</si>
  <si>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</si>
  <si>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</si>
  <si>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</si>
  <si>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</si>
  <si>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</si>
  <si>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</si>
  <si>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</si>
  <si>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</si>
  <si>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</si>
  <si>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</si>
  <si>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</si>
  <si>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</si>
  <si>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</si>
  <si>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</si>
  <si>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</si>
  <si>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</si>
  <si>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</si>
  <si>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</si>
  <si>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</si>
  <si>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</si>
  <si>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</si>
  <si>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</si>
  <si>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</si>
  <si>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</si>
  <si>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</si>
  <si>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</si>
  <si>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</si>
  <si>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</si>
  <si>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</si>
  <si>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</si>
  <si>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</si>
  <si>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</si>
  <si>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</si>
  <si>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</si>
  <si>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</si>
  <si>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</si>
  <si>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</si>
  <si>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</si>
  <si>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</si>
  <si>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</si>
  <si>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</si>
  <si>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</si>
  <si>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</si>
  <si>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</si>
  <si>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</si>
  <si>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</si>
  <si>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</si>
  <si>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</si>
  <si>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</si>
  <si>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</si>
  <si>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</si>
  <si>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</si>
  <si>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</si>
  <si>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</si>
  <si>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</si>
  <si>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</si>
  <si>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</si>
  <si>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</si>
  <si>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</si>
  <si>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</si>
  <si>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</si>
  <si>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</si>
  <si>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</si>
  <si>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</si>
  <si>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</si>
  <si>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</si>
  <si>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</si>
  <si>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</si>
  <si>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</si>
  <si>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</si>
  <si>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</si>
  <si>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</si>
  <si>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</si>
  <si>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</si>
  <si>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</si>
  <si>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</si>
  <si>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</si>
  <si>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</si>
  <si>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</si>
  <si>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</si>
  <si>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</si>
  <si>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</si>
  <si>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</si>
  <si>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</si>
  <si>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</si>
  <si>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</si>
  <si>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</si>
  <si>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</si>
  <si>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</si>
  <si>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</si>
  <si>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</si>
  <si>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</si>
  <si>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</si>
  <si>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</si>
  <si>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</si>
  <si>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</si>
  <si>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</si>
  <si>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</si>
  <si>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</si>
  <si>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</si>
  <si>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</si>
  <si>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</si>
  <si>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</si>
  <si>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</si>
  <si>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</si>
  <si>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</si>
  <si>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</si>
  <si>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</si>
  <si>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</si>
  <si>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</si>
  <si>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</si>
  <si>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</si>
  <si>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</si>
  <si>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</si>
  <si>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</si>
  <si>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</si>
  <si>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</si>
  <si>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</si>
  <si>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</si>
  <si>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</si>
  <si>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</si>
  <si>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</si>
  <si>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</si>
  <si>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</si>
  <si>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</si>
  <si>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</si>
  <si>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</si>
  <si>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</si>
  <si>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</si>
  <si>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</si>
  <si>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</si>
  <si>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</si>
  <si>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</si>
  <si>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</si>
  <si>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</si>
  <si>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</si>
  <si>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</si>
  <si>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</si>
  <si>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</si>
  <si>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</si>
  <si>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</si>
  <si>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</si>
  <si>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</si>
  <si>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</si>
  <si>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</si>
  <si>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</si>
  <si>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</si>
  <si>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</si>
  <si>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</si>
  <si>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</si>
  <si>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</si>
  <si>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</si>
  <si>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</si>
  <si>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</si>
  <si>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</si>
  <si>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</si>
  <si>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</si>
  <si>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</si>
  <si>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</si>
  <si>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</si>
  <si>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</si>
  <si>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</si>
  <si>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</si>
  <si>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</si>
  <si>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</si>
  <si>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</si>
  <si>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</si>
  <si>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</si>
  <si>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</si>
  <si>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</si>
  <si>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</si>
  <si>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</si>
  <si>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</si>
  <si>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</si>
  <si>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</si>
  <si>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</si>
  <si>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</si>
  <si>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</si>
  <si>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</si>
  <si>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</si>
  <si>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</si>
  <si>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</si>
  <si>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</si>
  <si>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</si>
  <si>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</si>
  <si>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</si>
  <si>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</si>
  <si>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</si>
  <si>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</si>
  <si>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</si>
  <si>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</si>
  <si>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</si>
  <si>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</si>
  <si>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</si>
  <si>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</si>
  <si>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</si>
  <si>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</si>
  <si>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</si>
  <si>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</si>
  <si>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</si>
  <si>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</si>
  <si>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</si>
  <si>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</si>
  <si>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</si>
  <si>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</si>
  <si>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</si>
  <si>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</si>
  <si>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</si>
  <si>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</si>
  <si>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</si>
  <si>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</si>
  <si>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</si>
  <si>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</si>
  <si>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</si>
  <si>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</si>
  <si>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</si>
  <si>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</si>
  <si>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</si>
  <si>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</si>
  <si>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</si>
  <si>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</si>
  <si>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</si>
  <si>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</si>
  <si>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</si>
  <si>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</si>
  <si>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</si>
  <si>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</si>
  <si>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</si>
  <si>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</si>
  <si>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</si>
  <si>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</si>
  <si>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</si>
  <si>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</si>
  <si>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</si>
  <si>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</si>
  <si>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</si>
  <si>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</si>
  <si>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</si>
  <si>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</si>
  <si>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</si>
  <si>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</si>
  <si>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</si>
  <si>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</si>
  <si>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</si>
  <si>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</si>
  <si>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</si>
  <si>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</si>
  <si>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</si>
  <si>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</si>
  <si>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</si>
  <si>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</si>
  <si>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</si>
  <si>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</si>
  <si>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</si>
  <si>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</si>
  <si>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</si>
  <si>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</si>
  <si>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</si>
  <si>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</si>
  <si>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</si>
  <si>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</si>
  <si>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</si>
  <si>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</si>
  <si>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</si>
  <si>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</si>
  <si>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</si>
  <si>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</si>
  <si>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</si>
  <si>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</si>
  <si>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</si>
  <si>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</si>
  <si>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</si>
  <si>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</si>
  <si>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</si>
  <si>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</si>
  <si>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</si>
  <si>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</si>
  <si>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</si>
  <si>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</si>
  <si>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</si>
  <si>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</si>
  <si>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</si>
  <si>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</si>
  <si>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</si>
  <si>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</si>
  <si>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</si>
  <si>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</si>
  <si>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</si>
  <si>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</si>
  <si>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</si>
  <si>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</si>
  <si>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</si>
  <si>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</si>
  <si>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</si>
  <si>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</si>
  <si>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</si>
  <si>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</si>
  <si>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</si>
  <si>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</si>
  <si>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</si>
  <si>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</si>
  <si>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</si>
  <si>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</si>
  <si>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</si>
  <si>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</si>
  <si>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</si>
  <si>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</si>
  <si>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</si>
  <si>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</si>
  <si>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</si>
  <si>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</si>
  <si>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</si>
  <si>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</si>
  <si>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</si>
  <si>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</si>
  <si>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</si>
  <si>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</si>
  <si>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</si>
  <si>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</si>
  <si>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</si>
  <si>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</si>
  <si>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</si>
  <si>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</si>
  <si>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</si>
  <si>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</si>
  <si>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</si>
  <si>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</si>
  <si>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</si>
  <si>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</si>
  <si>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</si>
  <si>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</si>
  <si>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</si>
  <si>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</si>
  <si>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</si>
  <si>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</si>
  <si>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</si>
  <si>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</si>
  <si>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</si>
  <si>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</si>
  <si>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</si>
  <si>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</si>
  <si>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</si>
  <si>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</si>
  <si>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</si>
  <si>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</si>
  <si>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</si>
  <si>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</si>
  <si>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</si>
  <si>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</si>
  <si>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</si>
  <si>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</si>
  <si>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</si>
  <si>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</si>
  <si>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</si>
  <si>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</si>
  <si>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</si>
  <si>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</si>
  <si>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</si>
  <si>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</si>
  <si>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</si>
  <si>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</si>
  <si>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</si>
  <si>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</si>
  <si>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</si>
  <si>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</si>
  <si>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</si>
  <si>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</si>
  <si>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</si>
  <si>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</si>
  <si>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</si>
  <si>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</si>
  <si>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</si>
  <si>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</si>
  <si>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</si>
  <si>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</si>
  <si>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</si>
  <si>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</si>
  <si>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</si>
  <si>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</si>
  <si>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</si>
  <si>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</si>
  <si>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</si>
  <si>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</si>
  <si>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</si>
  <si>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</si>
  <si>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</si>
  <si>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</si>
  <si>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</si>
  <si>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</si>
  <si>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</si>
  <si>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</si>
  <si>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</si>
  <si>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</si>
  <si>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</si>
  <si>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</si>
  <si>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</si>
  <si>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</si>
  <si>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</si>
  <si>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</si>
  <si>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</si>
  <si>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</si>
  <si>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</si>
  <si>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</si>
  <si>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</si>
  <si>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</si>
  <si>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</si>
  <si>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</si>
  <si>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</si>
  <si>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</si>
  <si>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</si>
  <si>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</si>
  <si>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</si>
  <si>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</si>
  <si>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</si>
  <si>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</si>
  <si>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</si>
  <si>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</si>
  <si>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</si>
  <si>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</si>
  <si>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</si>
  <si>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</si>
  <si>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</si>
  <si>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</si>
  <si>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</si>
  <si>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</si>
  <si>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</si>
  <si>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</si>
  <si>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</si>
  <si>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</si>
  <si>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</si>
  <si>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</si>
  <si>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</si>
  <si>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</si>
  <si>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</si>
  <si>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</si>
  <si>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</si>
  <si>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</si>
  <si>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</si>
  <si>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</si>
  <si>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</si>
  <si>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</si>
  <si>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</si>
  <si>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</si>
  <si>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</si>
  <si>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</si>
  <si>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</si>
  <si>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</si>
  <si>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</si>
  <si>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</si>
  <si>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</si>
  <si>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</si>
  <si>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</si>
  <si>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</si>
  <si>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</si>
  <si>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</si>
  <si>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</si>
  <si>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</si>
  <si>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</si>
  <si>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</si>
  <si>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</si>
  <si>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</si>
  <si>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</si>
  <si>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</si>
  <si>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</si>
  <si>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</si>
  <si>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</si>
  <si>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</si>
  <si>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</si>
  <si>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</si>
  <si>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</si>
  <si>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</si>
  <si>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</si>
  <si>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</si>
  <si>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</si>
  <si>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</si>
  <si>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</si>
  <si>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</si>
  <si>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</si>
  <si>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</si>
  <si>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</si>
  <si>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</si>
  <si>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</si>
  <si>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</si>
  <si>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</si>
  <si>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</si>
  <si>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</si>
  <si>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</si>
  <si>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</si>
  <si>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</si>
  <si>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</si>
  <si>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</si>
  <si>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</si>
  <si>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</si>
  <si>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</si>
  <si>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</si>
  <si>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</si>
  <si>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</si>
  <si>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</si>
  <si>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</si>
  <si>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</si>
  <si>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</si>
  <si>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</si>
  <si>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</si>
  <si>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</si>
  <si>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</si>
  <si>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</si>
  <si>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</si>
  <si>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</si>
  <si>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</si>
  <si>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</si>
  <si>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</si>
  <si>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</si>
  <si>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</si>
  <si>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</si>
  <si>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</si>
  <si>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</si>
  <si>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</si>
  <si>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</si>
  <si>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</si>
  <si>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</si>
  <si>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</si>
  <si>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</si>
  <si>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</si>
  <si>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</si>
  <si>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</si>
  <si>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</si>
  <si>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</si>
  <si>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</si>
  <si>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</si>
  <si>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</si>
  <si>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</si>
  <si>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</si>
  <si>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</si>
  <si>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</si>
  <si>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</si>
  <si>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</si>
  <si>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</si>
  <si>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</si>
  <si>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</si>
  <si>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</si>
  <si>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</si>
  <si>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</si>
  <si>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</si>
  <si>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</si>
  <si>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</si>
  <si>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</si>
  <si>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</si>
  <si>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</si>
  <si>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</si>
  <si>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</si>
  <si>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</si>
  <si>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</si>
  <si>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</si>
  <si>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</si>
  <si>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</si>
  <si>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</si>
  <si>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</si>
  <si>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</si>
  <si>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</si>
  <si>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</si>
  <si>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</si>
  <si>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</si>
  <si>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</si>
  <si>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</si>
  <si>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</si>
  <si>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</si>
  <si>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</si>
  <si>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</si>
  <si>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</si>
  <si>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</si>
  <si>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</si>
  <si>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</si>
  <si>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</si>
  <si>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</si>
  <si>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</si>
  <si>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</si>
  <si>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</si>
  <si>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</si>
  <si>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</si>
  <si>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</si>
  <si>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</si>
  <si>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</si>
  <si>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</si>
  <si>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</si>
  <si>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</si>
  <si>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</si>
  <si>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</si>
  <si>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</si>
  <si>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</si>
  <si>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</si>
  <si>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</si>
  <si>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</si>
  <si>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</si>
  <si>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</si>
  <si>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</si>
  <si>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</si>
  <si>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</si>
  <si>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</si>
  <si>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</si>
  <si>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</si>
  <si>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</si>
  <si>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</si>
  <si>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</si>
  <si>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</si>
  <si>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</si>
  <si>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</si>
  <si>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</si>
  <si>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</si>
  <si>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</si>
  <si>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</si>
  <si>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</si>
  <si>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</si>
  <si>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</si>
  <si>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</si>
  <si>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</si>
  <si>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</si>
  <si>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</si>
  <si>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</si>
  <si>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</si>
  <si>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</si>
  <si>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</si>
  <si>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</si>
  <si>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</si>
  <si>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</si>
  <si>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</si>
  <si>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</si>
  <si>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</si>
  <si>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</si>
  <si>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</si>
  <si>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</si>
  <si>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</si>
  <si>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</si>
  <si>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</si>
  <si>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</si>
  <si>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</si>
  <si>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</si>
  <si>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</si>
  <si>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</si>
  <si>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</si>
  <si>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</si>
  <si>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</si>
  <si>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</si>
  <si>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</si>
  <si>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</si>
  <si>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</si>
  <si>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</si>
  <si>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</si>
  <si>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</si>
  <si>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</si>
  <si>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</si>
  <si>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</si>
  <si>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</si>
  <si>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</si>
  <si>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</si>
  <si>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</si>
  <si>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</si>
  <si>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</si>
  <si>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</si>
  <si>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</si>
  <si>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</si>
  <si>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</si>
  <si>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</si>
  <si>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</si>
  <si>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</si>
  <si>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</si>
  <si>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</si>
  <si>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</si>
  <si>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</si>
  <si>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</si>
  <si>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</si>
  <si>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</si>
  <si>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</si>
  <si>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</si>
  <si>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</si>
  <si>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</si>
  <si>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</si>
  <si>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</si>
  <si>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</si>
  <si>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</si>
  <si>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</si>
  <si>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</si>
  <si>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</si>
  <si>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</si>
  <si>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</si>
  <si>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</si>
  <si>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</si>
  <si>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</si>
  <si>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</si>
  <si>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</si>
  <si>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</si>
  <si>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</si>
  <si>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</si>
  <si>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</si>
  <si>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</si>
  <si>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</si>
  <si>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</si>
  <si>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</si>
  <si>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</si>
  <si>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</si>
  <si>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</si>
  <si>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</si>
  <si>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</si>
  <si>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</si>
  <si>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</si>
  <si>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</si>
  <si>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</si>
  <si>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</si>
  <si>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</si>
  <si>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</si>
  <si>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</si>
  <si>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</si>
  <si>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</si>
  <si>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</si>
  <si>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</si>
  <si>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</si>
  <si>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</si>
  <si>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</si>
  <si>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</si>
  <si>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</si>
  <si>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</si>
  <si>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</si>
  <si>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</si>
  <si>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</si>
  <si>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</si>
  <si>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</si>
  <si>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</si>
  <si>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</si>
  <si>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</si>
  <si>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</si>
  <si>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</si>
  <si>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</si>
  <si>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</si>
  <si>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</si>
  <si>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</si>
  <si>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</si>
  <si>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</si>
  <si>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</si>
  <si>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</si>
  <si>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</si>
  <si>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</si>
  <si>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</si>
  <si>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</si>
  <si>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</si>
  <si>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</si>
  <si>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</si>
  <si>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</si>
  <si>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</si>
  <si>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</si>
  <si>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</si>
  <si>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</si>
  <si>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</si>
  <si>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</si>
  <si>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</si>
  <si>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</si>
  <si>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</si>
  <si>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</si>
  <si>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</si>
  <si>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</si>
  <si>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</si>
  <si>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</si>
  <si>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</si>
  <si>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</si>
  <si>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</si>
  <si>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</si>
  <si>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</si>
  <si>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</si>
  <si>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</si>
  <si>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</si>
  <si>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</si>
  <si>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</si>
  <si>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</si>
  <si>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</si>
  <si>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</si>
  <si>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</si>
  <si>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</si>
  <si>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</si>
  <si>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</si>
  <si>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</si>
  <si>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</si>
  <si>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</si>
  <si>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</si>
  <si>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</si>
  <si>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</si>
  <si>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</si>
  <si>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</si>
  <si>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</si>
  <si>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</si>
  <si>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</si>
  <si>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</si>
  <si>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</si>
  <si>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</si>
  <si>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</si>
  <si>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</si>
  <si>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</si>
  <si>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</si>
  <si>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</si>
  <si>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</si>
  <si>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</si>
  <si>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</si>
  <si>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</si>
  <si>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</si>
  <si>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</si>
  <si>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</si>
  <si>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</si>
  <si>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</si>
  <si>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</si>
  <si>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</si>
  <si>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</si>
  <si>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</si>
  <si>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</si>
  <si>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</si>
  <si>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</si>
  <si>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</si>
  <si>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</si>
  <si>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</si>
  <si>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</si>
  <si>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</si>
  <si>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</si>
  <si>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</si>
  <si>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</si>
  <si>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</si>
  <si>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</si>
  <si>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</si>
  <si>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</si>
  <si>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</si>
  <si>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</si>
  <si>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</si>
  <si>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</si>
  <si>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</si>
  <si>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</si>
  <si>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</si>
  <si>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</si>
  <si>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</si>
  <si>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</si>
  <si>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</si>
  <si>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</si>
  <si>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</si>
  <si>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</si>
  <si>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</si>
  <si>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</si>
  <si>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</si>
  <si>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</si>
  <si>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</si>
  <si>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</si>
  <si>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</si>
  <si>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</si>
  <si>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</si>
  <si>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</si>
  <si>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</si>
  <si>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</si>
  <si>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</si>
  <si>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</si>
  <si>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</si>
  <si>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</si>
  <si>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</si>
  <si>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</si>
  <si>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</si>
  <si>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</si>
  <si>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</si>
  <si>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</si>
  <si>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</si>
  <si>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</si>
  <si>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</si>
  <si>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</si>
  <si>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</si>
  <si>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</si>
  <si>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</si>
  <si>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</si>
  <si>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</si>
  <si>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</si>
  <si>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</si>
  <si>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</si>
  <si>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</si>
  <si>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</si>
  <si>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</si>
  <si>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</si>
  <si>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</si>
  <si>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</si>
  <si>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</si>
  <si>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</si>
  <si>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</si>
  <si>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</si>
  <si>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</si>
  <si>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</si>
  <si>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</si>
  <si>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</si>
  <si>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</si>
  <si>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</si>
  <si>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</si>
  <si>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</si>
  <si>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</si>
  <si>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</si>
  <si>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</si>
  <si>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</si>
  <si>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</si>
  <si>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</si>
  <si>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</si>
  <si>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</si>
  <si>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</si>
  <si>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</si>
  <si>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</si>
  <si>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</si>
  <si>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Jefferson County</t>
  </si>
  <si>
    <t>2710 North Street</t>
  </si>
  <si>
    <t>Mount Vernon</t>
  </si>
  <si>
    <t>districtmtv80.org</t>
  </si>
  <si>
    <t>Aletta Lawrence</t>
  </si>
  <si>
    <t>alawrence@mtv80.org</t>
  </si>
  <si>
    <t>618-244-8080</t>
  </si>
  <si>
    <t>618-244-8082</t>
  </si>
  <si>
    <t>Krehbiel &amp; Associates, LLC</t>
  </si>
  <si>
    <t>IL</t>
  </si>
  <si>
    <t>618-244-2666</t>
  </si>
  <si>
    <t>618-244-2372</t>
  </si>
  <si>
    <t>emilytynes@krehbielcpa.com</t>
  </si>
  <si>
    <t>General Obligation Series 2008 A</t>
  </si>
  <si>
    <t>General Obligation Series 2008 B</t>
  </si>
  <si>
    <t>General Obligation Debt Certificates Series C</t>
  </si>
  <si>
    <t>General Obligation Debt Certificates Series 2012</t>
  </si>
  <si>
    <t>Emily Tynes, CPA</t>
  </si>
  <si>
    <t>Ron Daniels</t>
  </si>
  <si>
    <t>rdaniels@roe13.org</t>
  </si>
  <si>
    <t>618-244-8040</t>
  </si>
  <si>
    <t>618-241-7868</t>
  </si>
  <si>
    <t>Debt Certificates</t>
  </si>
  <si>
    <t>GO Limited Tax Refunding Series 2017B</t>
  </si>
  <si>
    <t>General Obligation School Building, Series 2017A</t>
  </si>
  <si>
    <t>105ILCS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school board and filed with the regional superintedent of schools.</t>
  </si>
  <si>
    <t>During the fiscal year under audit, management failed to cover 25% of the highest available balance (cash and investments) with a School District Treasurer's Bond.</t>
  </si>
  <si>
    <t>During the fiscal year under audit, the District's highest available balance (cash and investments) was $ 14,048,224.  25% of that amount is $ 3,512,056.  The District's Treasurer's Bond was $ 2,000,000.</t>
  </si>
  <si>
    <t>The District's available balances were higher during the year than anticipated.</t>
  </si>
  <si>
    <t>For several months during the fiscal year, the District was not adequately covered by a Treasurer's Bond.  Coverage was not adequate as of June 30, 2018.</t>
  </si>
  <si>
    <t>The District should increase the Treasurer's Bond coverage to ensure covering 25% of the maximum amounts available during the  year, or monitor cash and investment balances more closely, in order that more coverage may be purchased when needed.</t>
  </si>
  <si>
    <t>Management will review the expected monthly revenues and expenditures and will increase the Treasurer's Bond coverage if needed.</t>
  </si>
  <si>
    <t>10-1690  Other Food Service - $ 103,599  relates to food service contract revenue for food services provided to other schools and entities.</t>
  </si>
  <si>
    <t>20-1999   Other Local Revenues - $ 477 relates to the sale of miscellaneous scrap metal.</t>
  </si>
  <si>
    <t>10-4299  Food Service - other - $ 7,733 is from NSLP Equipment Assistance Grant.</t>
  </si>
  <si>
    <t>10-4999  Other Restricted Revenue from Federal Soures - $ 17,672 is from NT-3 Grant.</t>
  </si>
  <si>
    <t>10-3099   Other Unrestricted Grants-in-Aid from State Sources - $ 1,945 is from a Library grant.</t>
  </si>
  <si>
    <t>10-1790  Other District/School Activity Revenue - $ 105,210 relates to fundraising activities held at the individual school locations.</t>
  </si>
  <si>
    <t>125 North 11th Street</t>
  </si>
  <si>
    <t>10-2900  Other Support Services - $ 1,980 Salaries; $ 608 employee benefits; and $ 35,341 purchased services relates to 21st Century program.</t>
  </si>
  <si>
    <t>20-2900  Other Support Services - $ 49,439  purchased services relates to rental equipment.</t>
  </si>
  <si>
    <t xml:space="preserve">30-5400  Debt services - other - $ 2,525 other objects relates to agent/bank fees </t>
  </si>
  <si>
    <t>50-2900  Other Support Services - $ 1 related to 21st Century program employee benefits.</t>
  </si>
  <si>
    <t>60-2900  Other Support Services - $ 20 purchased services which relates to miscellaneous fees.</t>
  </si>
  <si>
    <t xml:space="preserve">   - all relates to Pupil school activites and other support services.</t>
  </si>
  <si>
    <t xml:space="preserve">  10-2190  Other Support Services - Pupils - $ 6,336 Purchased services; $ 83,126  Supplies and Materials; $ 5,072 Capital Outlay; ($ 60) Other Objects</t>
  </si>
  <si>
    <t xml:space="preserve">   reimbursements, and other miscellaneous income.</t>
  </si>
  <si>
    <t xml:space="preserve">10-1999   Other Local Revenues - $ 8,530 relates to an Action for Health Kids Grant, an Art Grant, the sale of obsolete equipment, </t>
  </si>
  <si>
    <t>ROE 13-Woodlawn and Rome (All schools are Pre-K programs)</t>
  </si>
  <si>
    <t>Mt Vernon Township High School - tax appeals</t>
  </si>
  <si>
    <t>Franklin Jefferson Special Ed - Counselor</t>
  </si>
  <si>
    <t>Franklin Jefferson Special Ed</t>
  </si>
  <si>
    <t>ROE 13 - outsourced paper purchasing</t>
  </si>
  <si>
    <t xml:space="preserve">ROE 13 - Alternative School Transportation </t>
  </si>
  <si>
    <r>
      <t xml:space="preserve">The accompanying Schedule of Expenditures of Federal Awards includes the federal grant activity of </t>
    </r>
    <r>
      <rPr>
        <b/>
        <sz val="9"/>
        <rFont val="Calibri"/>
        <family val="2"/>
        <scheme val="minor"/>
      </rPr>
      <t>Mt. Vernon City Schools, District 80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</si>
  <si>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</si>
  <si>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t>
    </r>
    <r>
      <rPr>
        <b/>
        <sz val="9"/>
        <rFont val="Calibri"/>
        <family val="2"/>
        <scheme val="minor"/>
      </rPr>
      <t>Mt. Vernon City Schools, District 80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</si>
  <si>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</si>
  <si>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10.555 &amp; 10.553</t>
  </si>
  <si>
    <t>Nutrition Cluster</t>
  </si>
  <si>
    <t>Child &amp; Adult Care Food Program</t>
  </si>
  <si>
    <t>U.S. Department of Education</t>
  </si>
  <si>
    <t xml:space="preserve">  Passthrough from Illinois State Board of Education</t>
  </si>
  <si>
    <t xml:space="preserve">     Title VI - Rural Education Initiative</t>
  </si>
  <si>
    <t>84.358B</t>
  </si>
  <si>
    <t>17-4107-00</t>
  </si>
  <si>
    <t>18-4107-00</t>
  </si>
  <si>
    <t xml:space="preserve">     Title IV - 21st Century Comm Learning Centers</t>
  </si>
  <si>
    <t>84.287C</t>
  </si>
  <si>
    <t>17-4421-13</t>
  </si>
  <si>
    <t>17-4421-15</t>
  </si>
  <si>
    <t>18-4421-13</t>
  </si>
  <si>
    <t>18-4421-15</t>
  </si>
  <si>
    <t xml:space="preserve">     Title II - Teacher Quality</t>
  </si>
  <si>
    <t>84.367A</t>
  </si>
  <si>
    <t>17-4932-00</t>
  </si>
  <si>
    <t>18-4932-00</t>
  </si>
  <si>
    <t xml:space="preserve">     Title I - Low Income</t>
  </si>
  <si>
    <t>84.010A</t>
  </si>
  <si>
    <t>17-4300-00</t>
  </si>
  <si>
    <t>17-4305-00</t>
  </si>
  <si>
    <t xml:space="preserve">     Title I - Low Income - Neglected Priv</t>
  </si>
  <si>
    <t>18-4300-00</t>
  </si>
  <si>
    <t xml:space="preserve">     Preschool Expansion Grant</t>
  </si>
  <si>
    <t>84.419B</t>
  </si>
  <si>
    <t>17-4902-PE</t>
  </si>
  <si>
    <t>18-4902-PE</t>
  </si>
  <si>
    <t xml:space="preserve">     Fed. Sp. Ed. - I.D.E.A. - Room &amp; Board</t>
  </si>
  <si>
    <t>84.027A</t>
  </si>
  <si>
    <t>16-4625-XC</t>
  </si>
  <si>
    <t>N/A</t>
  </si>
  <si>
    <t xml:space="preserve">     Title IVA Student Support &amp; Academic Enrich</t>
  </si>
  <si>
    <t>84.424A</t>
  </si>
  <si>
    <t>18-4400-00</t>
  </si>
  <si>
    <t>Total U.S. Department of Ed - passthrough from ISBE</t>
  </si>
  <si>
    <t xml:space="preserve">  Passthrough from Franklin-Jefferson Sp Ed District</t>
  </si>
  <si>
    <t xml:space="preserve">     IDEA Part B Flow Through</t>
  </si>
  <si>
    <t>17-4620-00</t>
  </si>
  <si>
    <t>18-4620-00</t>
  </si>
  <si>
    <t>Total U.S. Dept of Ed - passthrough from FJSED</t>
  </si>
  <si>
    <t xml:space="preserve">  Passthrough from Illinois State University</t>
  </si>
  <si>
    <t xml:space="preserve">     Supporting Effective Instruction State Grant</t>
  </si>
  <si>
    <t>84.367D</t>
  </si>
  <si>
    <t>A16-0157-S007</t>
  </si>
  <si>
    <t>Total U.S. Dept of Ed - passthrough from ISU</t>
  </si>
  <si>
    <t xml:space="preserve">     Impact Aid</t>
  </si>
  <si>
    <t>S041B-2017-1510</t>
  </si>
  <si>
    <t>S041B-2016-1510</t>
  </si>
  <si>
    <t>Total U.S. Department of Education</t>
  </si>
  <si>
    <t>U.S. Department of Agriculture</t>
  </si>
  <si>
    <t xml:space="preserve">     Nutrition Cluster</t>
  </si>
  <si>
    <t xml:space="preserve">       National School Lunch Program (M)</t>
  </si>
  <si>
    <t xml:space="preserve">       Commodities (Non-Cash) (M)</t>
  </si>
  <si>
    <t xml:space="preserve">       Dept of Defense Fresh Fruits &amp; Veg (Non-Cash) (M)</t>
  </si>
  <si>
    <t>17-4210-00</t>
  </si>
  <si>
    <t>18-4210-00</t>
  </si>
  <si>
    <t>17-4220-00</t>
  </si>
  <si>
    <t>18-4220-00</t>
  </si>
  <si>
    <t xml:space="preserve">     Total Nutrition Cluster</t>
  </si>
  <si>
    <t xml:space="preserve">     Child &amp; Adult Care Food Program (M)</t>
  </si>
  <si>
    <t xml:space="preserve">       School Breakfast Program (M)</t>
  </si>
  <si>
    <t>17-4226-00</t>
  </si>
  <si>
    <t>18-4226-00</t>
  </si>
  <si>
    <t xml:space="preserve">     Fresh Fruits &amp; Vegetables</t>
  </si>
  <si>
    <t>17-4240-16</t>
  </si>
  <si>
    <t>17-4240-17</t>
  </si>
  <si>
    <t>18-4240-17</t>
  </si>
  <si>
    <t>18-4240-18</t>
  </si>
  <si>
    <t xml:space="preserve">     NSLP Equipment Assistance Grant</t>
  </si>
  <si>
    <t>17-4260-00</t>
  </si>
  <si>
    <t>Total U.S. Dept of Ag - passthrough from ISBE</t>
  </si>
  <si>
    <t>U.S. Department of Health &amp; Human Services</t>
  </si>
  <si>
    <t xml:space="preserve">  Passthrough from IL Dept of Healthcare &amp; Family Services</t>
  </si>
  <si>
    <t xml:space="preserve">     Medical Assistance Program</t>
  </si>
  <si>
    <t>17-4991-00</t>
  </si>
  <si>
    <t>18-4991-00</t>
  </si>
  <si>
    <t>Total U.S. Dept of HHS - passthrough from IDHFS</t>
  </si>
  <si>
    <t xml:space="preserve">  Passthrough from Region V</t>
  </si>
  <si>
    <t xml:space="preserve">     Headstart (M)</t>
  </si>
  <si>
    <t>05CH010083-02-02</t>
  </si>
  <si>
    <t>05CH010083-03-02</t>
  </si>
  <si>
    <t>Total U.S. Dept of HHS - passthrough from Region V</t>
  </si>
  <si>
    <t>Total Federal Awards - passthrough from ISBE</t>
  </si>
  <si>
    <t>Total Federal Awards - passthrough from other entities</t>
  </si>
  <si>
    <t>GRAND TOTAL - FEDERAL AWARDS</t>
  </si>
  <si>
    <t>2017-001</t>
  </si>
  <si>
    <t>The June 30, 2017 expenditure report did not agree to the District's general ledger and only included expenditures for June, 2017 instead of cumulative expenditures through June 30, 2017.</t>
  </si>
  <si>
    <t>Corrected</t>
  </si>
  <si>
    <t>ED-Instruction-Purchased Services</t>
  </si>
  <si>
    <t>Clearwave Communication</t>
  </si>
  <si>
    <t>Quality Network Services</t>
  </si>
  <si>
    <t>Rend Lake College</t>
  </si>
  <si>
    <t>Ed-Board of Education Services - Purchased Services</t>
  </si>
  <si>
    <t xml:space="preserve">     Title V - Rural Education Initiative</t>
  </si>
  <si>
    <t>x</t>
  </si>
  <si>
    <t>Mout Vernon SD 80</t>
  </si>
  <si>
    <t>10-1000-300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</si>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</sst>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 fontId="55" fillId="0" borderId="0" xfId="0" applyNumberFormat="1" applyFont="1"/>
    <xf numFmtId="179" fontId="55" fillId="0" borderId="0" xfId="3" applyNumberFormat="1" applyFont="1" applyBorder="1" applyAlignment="1" applyProtection="1">
      <alignment horizontal="center"/>
      <protection locked="0"/>
    </xf>
    <xf numFmtId="0" fontId="55" fillId="0" borderId="0" xfId="3" applyFont="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horizontal="left"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76200</xdr:rowOff>
        </xdr:from>
        <xdr:to>
          <xdr:col>1</xdr:col>
          <xdr:colOff>952500</xdr:colOff>
          <xdr:row>4</xdr:row>
          <xdr:rowOff>114300</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xdr:row>
          <xdr:rowOff>47625</xdr:rowOff>
        </xdr:from>
        <xdr:to>
          <xdr:col>1</xdr:col>
          <xdr:colOff>952500</xdr:colOff>
          <xdr:row>10</xdr:row>
          <xdr:rowOff>85725</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1323975</xdr:colOff>
          <xdr:row>6</xdr:row>
          <xdr:rowOff>104775</xdr:rowOff>
        </xdr:from>
        <xdr:to>
          <xdr:col>1</xdr:col>
          <xdr:colOff>2238375</xdr:colOff>
          <xdr:row>10</xdr:row>
          <xdr:rowOff>142875</xdr:rowOff>
        </xdr:to>
        <xdr:sp macro="" textlink="">
          <xdr:nvSpPr>
            <xdr:cNvPr id="35849" name="Object 9" hidden="1">
              <a:extLst>
                <a:ext uri="{63B3BB69-23CF-44E3-9099-C40C66FF867C}">
                  <a14:compatExt spid="_x0000_s358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2075</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2075</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13041080002</v>
      </c>
      <c r="B13" s="2007"/>
      <c r="C13" s="2007"/>
      <c r="D13" s="2007"/>
      <c r="E13" s="2007"/>
      <c r="F13" s="2007"/>
      <c r="G13" s="2007"/>
      <c r="H13" s="2008"/>
      <c r="I13" s="31"/>
      <c r="J13" s="30"/>
      <c r="K13" s="28"/>
      <c r="L13" s="30"/>
      <c r="M13" s="30"/>
      <c r="N13" s="30"/>
      <c r="O13" s="30"/>
      <c r="P13" s="30"/>
      <c r="Q13" s="30"/>
      <c r="R13" s="30"/>
      <c r="S13" s="30"/>
      <c r="T13" s="2011" t="s">
        <v>2084</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2076</v>
      </c>
      <c r="B15" s="2009"/>
      <c r="C15" s="2009"/>
      <c r="D15" s="2009"/>
      <c r="E15" s="2009"/>
      <c r="F15" s="2009"/>
      <c r="G15" s="2009"/>
      <c r="H15" s="2010"/>
      <c r="T15" s="1972" t="s">
        <v>2093</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2231</v>
      </c>
      <c r="B17" s="2034"/>
      <c r="C17" s="2034"/>
      <c r="D17" s="2034"/>
      <c r="E17" s="2034"/>
      <c r="F17" s="2034"/>
      <c r="G17" s="2034"/>
      <c r="H17" s="2035"/>
      <c r="T17" s="2021" t="s">
        <v>2114</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2077</v>
      </c>
      <c r="B19" s="2005"/>
      <c r="C19" s="2005"/>
      <c r="D19" s="2005"/>
      <c r="E19" s="2005"/>
      <c r="F19" s="2005"/>
      <c r="G19" s="2005"/>
      <c r="H19" s="2003"/>
      <c r="I19" s="30"/>
      <c r="J19" s="99"/>
      <c r="K19" s="40"/>
      <c r="L19" s="38"/>
      <c r="M19" s="112" t="s">
        <v>333</v>
      </c>
      <c r="P19" s="27"/>
      <c r="Q19" s="27"/>
      <c r="R19" s="27"/>
      <c r="S19" s="31"/>
      <c r="T19" s="2004" t="s">
        <v>2078</v>
      </c>
      <c r="U19" s="2002"/>
      <c r="V19" s="2002"/>
      <c r="W19" s="2003"/>
      <c r="X19" s="2019" t="s">
        <v>2085</v>
      </c>
      <c r="Y19" s="2020"/>
      <c r="Z19" s="2017">
        <v>62864</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2078</v>
      </c>
      <c r="B21" s="2002"/>
      <c r="C21" s="2002"/>
      <c r="D21" s="2002"/>
      <c r="E21" s="2002"/>
      <c r="F21" s="2002"/>
      <c r="G21" s="2002"/>
      <c r="H21" s="2003"/>
      <c r="I21" s="2027" t="s">
        <v>699</v>
      </c>
      <c r="J21" s="1990"/>
      <c r="K21" s="1990"/>
      <c r="L21" s="1990"/>
      <c r="M21" s="1990"/>
      <c r="N21" s="1990"/>
      <c r="O21" s="1990"/>
      <c r="P21" s="1990"/>
      <c r="Q21" s="1990"/>
      <c r="R21" s="1990"/>
      <c r="S21" s="1991"/>
      <c r="T21" s="1969" t="s">
        <v>2086</v>
      </c>
      <c r="U21" s="1970"/>
      <c r="V21" s="1970"/>
      <c r="W21" s="1970"/>
      <c r="X21" s="1983" t="s">
        <v>2087</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2079</v>
      </c>
      <c r="B23" s="2025"/>
      <c r="C23" s="2025"/>
      <c r="D23" s="2025"/>
      <c r="E23" s="2025"/>
      <c r="F23" s="2025"/>
      <c r="G23" s="2025"/>
      <c r="H23" s="2026"/>
      <c r="T23" s="1964">
        <v>65.040464</v>
      </c>
      <c r="U23" s="1965"/>
      <c r="V23" s="1965"/>
      <c r="W23" s="1965"/>
      <c r="X23" s="1980">
        <v>43373</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62864</v>
      </c>
      <c r="B25" s="2002"/>
      <c r="C25" s="2002"/>
      <c r="D25" s="2002"/>
      <c r="E25" s="2002"/>
      <c r="F25" s="2002"/>
      <c r="G25" s="2002"/>
      <c r="H25" s="2003"/>
      <c r="I25" s="113"/>
      <c r="J25" s="2068"/>
      <c r="K25" s="2068"/>
      <c r="L25" s="2068"/>
      <c r="M25" s="2068"/>
      <c r="N25" s="2068"/>
      <c r="O25" s="2068"/>
      <c r="P25" s="2068"/>
      <c r="Q25" s="2068"/>
      <c r="R25" s="2068"/>
      <c r="S25" s="2069"/>
      <c r="T25" s="1961" t="s">
        <v>2088</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2075</v>
      </c>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563</v>
      </c>
      <c r="D34" s="31"/>
      <c r="E34" s="31"/>
      <c r="F34" s="31"/>
      <c r="G34" s="31"/>
      <c r="H34" s="31"/>
      <c r="I34" s="54"/>
      <c r="J34" s="83"/>
      <c r="L34" s="101"/>
      <c r="M34" s="93" t="s">
        <v>731</v>
      </c>
      <c r="N34" s="30"/>
      <c r="O34" s="30"/>
      <c r="P34" s="30"/>
      <c r="Q34" s="30"/>
      <c r="R34" s="30"/>
      <c r="S34" s="55"/>
      <c r="T34" s="30"/>
      <c r="U34" s="148" t="s">
        <v>2075</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2080</v>
      </c>
      <c r="B38" s="2034"/>
      <c r="C38" s="2034"/>
      <c r="D38" s="2034"/>
      <c r="E38" s="2034"/>
      <c r="F38" s="2002"/>
      <c r="G38" s="2002"/>
      <c r="H38" s="2003"/>
      <c r="I38" s="2053"/>
      <c r="J38" s="1973"/>
      <c r="K38" s="1973"/>
      <c r="L38" s="1973"/>
      <c r="M38" s="1973"/>
      <c r="N38" s="1973"/>
      <c r="O38" s="1973"/>
      <c r="P38" s="1974"/>
      <c r="Q38" s="1974"/>
      <c r="R38" s="1974"/>
      <c r="S38" s="1975"/>
      <c r="T38" s="1972" t="s">
        <v>2094</v>
      </c>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2081</v>
      </c>
      <c r="B40" s="2061"/>
      <c r="C40" s="2062"/>
      <c r="D40" s="2062"/>
      <c r="E40" s="2062"/>
      <c r="F40" s="2063"/>
      <c r="G40" s="2063"/>
      <c r="H40" s="2064"/>
      <c r="I40" s="1976"/>
      <c r="J40" s="1978"/>
      <c r="K40" s="1978"/>
      <c r="L40" s="1978"/>
      <c r="M40" s="1978"/>
      <c r="N40" s="1978"/>
      <c r="O40" s="1978"/>
      <c r="P40" s="1978"/>
      <c r="Q40" s="1978"/>
      <c r="R40" s="1978"/>
      <c r="S40" s="1979"/>
      <c r="T40" s="1976" t="s">
        <v>2095</v>
      </c>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2082</v>
      </c>
      <c r="B42" s="2051"/>
      <c r="C42" s="2052"/>
      <c r="D42" s="2065" t="s">
        <v>2083</v>
      </c>
      <c r="E42" s="2051"/>
      <c r="F42" s="2051"/>
      <c r="G42" s="2051"/>
      <c r="H42" s="2052"/>
      <c r="I42" s="1971"/>
      <c r="J42" s="1967"/>
      <c r="K42" s="1967"/>
      <c r="L42" s="1967"/>
      <c r="M42" s="1967"/>
      <c r="N42" s="1967"/>
      <c r="O42" s="1968"/>
      <c r="P42" s="1966"/>
      <c r="Q42" s="1967"/>
      <c r="R42" s="1967"/>
      <c r="S42" s="1968"/>
      <c r="T42" s="1971" t="s">
        <v>2096</v>
      </c>
      <c r="U42" s="1967"/>
      <c r="V42" s="1967"/>
      <c r="W42" s="1968"/>
      <c r="X42" s="1966" t="s">
        <v>2097</v>
      </c>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3" t="s">
        <v>1903</v>
      </c>
      <c r="B2" s="1549" t="s">
        <v>2035</v>
      </c>
      <c r="C2" s="715" t="s">
        <v>1908</v>
      </c>
      <c r="D2" s="715" t="s">
        <v>1909</v>
      </c>
      <c r="E2" s="715" t="s">
        <v>1910</v>
      </c>
      <c r="F2" s="715" t="s">
        <v>1911</v>
      </c>
    </row>
    <row r="3" spans="1:6" ht="12" customHeight="1" x14ac:dyDescent="0.2">
      <c r="A3" s="2204"/>
      <c r="B3" s="1546"/>
      <c r="C3" s="1547"/>
      <c r="D3" s="1548" t="s">
        <v>274</v>
      </c>
      <c r="E3" s="1547"/>
      <c r="F3" s="1548" t="s">
        <v>275</v>
      </c>
    </row>
    <row r="4" spans="1:6" ht="13.7" customHeight="1" x14ac:dyDescent="0.2">
      <c r="A4" s="716" t="s">
        <v>1217</v>
      </c>
      <c r="B4" s="1770">
        <f>'Revenues 9-14'!C5</f>
        <v>2648386</v>
      </c>
      <c r="C4" s="1545"/>
      <c r="D4" s="1773">
        <f>B4-C4</f>
        <v>2648386</v>
      </c>
      <c r="E4" s="1545">
        <v>2793815</v>
      </c>
      <c r="F4" s="1773">
        <f>E4-C4</f>
        <v>2793815</v>
      </c>
    </row>
    <row r="5" spans="1:6" ht="13.7" customHeight="1" x14ac:dyDescent="0.2">
      <c r="A5" s="716" t="s">
        <v>925</v>
      </c>
      <c r="B5" s="1771">
        <f>'Revenues 9-14'!D5</f>
        <v>987793</v>
      </c>
      <c r="C5" s="585"/>
      <c r="D5" s="1774">
        <f t="shared" ref="D5:D18" si="0">B5-C5</f>
        <v>987793</v>
      </c>
      <c r="E5" s="585">
        <v>1029941</v>
      </c>
      <c r="F5" s="1774">
        <f>E5-C5</f>
        <v>1029941</v>
      </c>
    </row>
    <row r="6" spans="1:6" ht="13.7" customHeight="1" x14ac:dyDescent="0.2">
      <c r="A6" s="716" t="s">
        <v>431</v>
      </c>
      <c r="B6" s="1771">
        <f>'Revenues 9-14'!E5</f>
        <v>462043</v>
      </c>
      <c r="C6" s="585"/>
      <c r="D6" s="1774">
        <f t="shared" si="0"/>
        <v>462043</v>
      </c>
      <c r="E6" s="585">
        <v>459830</v>
      </c>
      <c r="F6" s="1774">
        <f t="shared" ref="F6:F18" si="1">E6-C6</f>
        <v>459830</v>
      </c>
    </row>
    <row r="7" spans="1:6" ht="13.7" customHeight="1" x14ac:dyDescent="0.2">
      <c r="A7" s="716" t="s">
        <v>157</v>
      </c>
      <c r="B7" s="1771">
        <f>'Revenues 9-14'!F5</f>
        <v>695510</v>
      </c>
      <c r="C7" s="585"/>
      <c r="D7" s="1774">
        <f t="shared" si="0"/>
        <v>695510</v>
      </c>
      <c r="E7" s="585">
        <v>739903</v>
      </c>
      <c r="F7" s="1774">
        <f t="shared" si="1"/>
        <v>739903</v>
      </c>
    </row>
    <row r="8" spans="1:6" ht="13.7" customHeight="1" x14ac:dyDescent="0.2">
      <c r="A8" s="716" t="s">
        <v>1241</v>
      </c>
      <c r="B8" s="1771">
        <f>'Revenues 9-14'!G5</f>
        <v>332848</v>
      </c>
      <c r="C8" s="585"/>
      <c r="D8" s="1774">
        <f t="shared" si="0"/>
        <v>332848</v>
      </c>
      <c r="E8" s="585">
        <v>347242</v>
      </c>
      <c r="F8" s="1774">
        <f t="shared" si="1"/>
        <v>347242</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89420</v>
      </c>
      <c r="C10" s="585"/>
      <c r="D10" s="1774">
        <f t="shared" si="0"/>
        <v>89420</v>
      </c>
      <c r="E10" s="585">
        <v>93633</v>
      </c>
      <c r="F10" s="1774">
        <f t="shared" si="1"/>
        <v>93633</v>
      </c>
    </row>
    <row r="11" spans="1:6" x14ac:dyDescent="0.2">
      <c r="A11" s="716" t="s">
        <v>429</v>
      </c>
      <c r="B11" s="1771">
        <f>'Revenues 9-14'!J5</f>
        <v>447118</v>
      </c>
      <c r="C11" s="585"/>
      <c r="D11" s="1774">
        <f t="shared" si="0"/>
        <v>447118</v>
      </c>
      <c r="E11" s="585">
        <v>465967</v>
      </c>
      <c r="F11" s="1774">
        <f t="shared" si="1"/>
        <v>465967</v>
      </c>
    </row>
    <row r="12" spans="1:6" ht="13.7" customHeight="1" x14ac:dyDescent="0.2">
      <c r="A12" s="716" t="s">
        <v>159</v>
      </c>
      <c r="B12" s="1771">
        <f>'Revenues 9-14'!K5</f>
        <v>89420</v>
      </c>
      <c r="C12" s="585"/>
      <c r="D12" s="1774">
        <f t="shared" si="0"/>
        <v>89420</v>
      </c>
      <c r="E12" s="585">
        <v>93802</v>
      </c>
      <c r="F12" s="1774">
        <f t="shared" si="1"/>
        <v>93802</v>
      </c>
    </row>
    <row r="13" spans="1:6" ht="13.7" customHeight="1" x14ac:dyDescent="0.2">
      <c r="A13" s="716" t="s">
        <v>993</v>
      </c>
      <c r="B13" s="1771">
        <f>SUM('Revenues 9-14'!C6:D6)</f>
        <v>49682</v>
      </c>
      <c r="C13" s="585"/>
      <c r="D13" s="1774">
        <f t="shared" si="0"/>
        <v>49682</v>
      </c>
      <c r="E13" s="585">
        <v>51893</v>
      </c>
      <c r="F13" s="1774">
        <f t="shared" si="1"/>
        <v>51893</v>
      </c>
    </row>
    <row r="14" spans="1:6" ht="13.7" customHeight="1" x14ac:dyDescent="0.2">
      <c r="A14" s="716" t="s">
        <v>430</v>
      </c>
      <c r="B14" s="1771">
        <f>SUM('Revenues 9-14'!C7:D7,'Revenues 9-14'!F7:H7)</f>
        <v>24832</v>
      </c>
      <c r="C14" s="585"/>
      <c r="D14" s="1774">
        <f t="shared" si="0"/>
        <v>24832</v>
      </c>
      <c r="E14" s="585">
        <v>25956</v>
      </c>
      <c r="F14" s="1774">
        <f t="shared" si="1"/>
        <v>25956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332848</v>
      </c>
      <c r="C16" s="585"/>
      <c r="D16" s="1774">
        <f t="shared" si="0"/>
        <v>332848</v>
      </c>
      <c r="E16" s="585">
        <v>347242</v>
      </c>
      <c r="F16" s="1774">
        <f t="shared" si="1"/>
        <v>347242</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6159900</v>
      </c>
      <c r="C19" s="1772">
        <f>SUM(C4:C18)</f>
        <v>0</v>
      </c>
      <c r="D19" s="1772">
        <f>SUM(D4:D18)</f>
        <v>6159900</v>
      </c>
      <c r="E19" s="1772">
        <f>SUM(E4:E18)</f>
        <v>6449224</v>
      </c>
      <c r="F19" s="1772">
        <f>SUM(F4:F18)</f>
        <v>6449224</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4" colorId="8" zoomScale="110" zoomScaleNormal="110" workbookViewId="0">
      <selection activeCell="J37" sqref="J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1903</v>
      </c>
      <c r="B2" s="2219"/>
      <c r="C2" s="1908" t="s">
        <v>2036</v>
      </c>
      <c r="D2" s="724" t="s">
        <v>2043</v>
      </c>
      <c r="E2" s="724" t="s">
        <v>2044</v>
      </c>
      <c r="F2" s="1908" t="s">
        <v>2037</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6">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7" t="s">
        <v>652</v>
      </c>
      <c r="B15" s="2208"/>
      <c r="C15" s="1776">
        <f>SUM(C6:C14)</f>
        <v>0</v>
      </c>
      <c r="D15" s="1776">
        <f>SUM(D6:D14)</f>
        <v>0</v>
      </c>
      <c r="E15" s="1776">
        <f>SUM(E6:E14)</f>
        <v>0</v>
      </c>
      <c r="F15" s="1776">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6">
        <f>SUM(C17+D17)-E17</f>
        <v>0</v>
      </c>
    </row>
    <row r="18" spans="1:11" ht="12.75" customHeight="1" thickTop="1" thickBot="1" x14ac:dyDescent="0.25">
      <c r="A18" s="2230" t="s">
        <v>6</v>
      </c>
      <c r="B18" s="2231"/>
      <c r="C18" s="727"/>
      <c r="D18" s="585"/>
      <c r="E18" s="727"/>
      <c r="F18" s="1776">
        <f>SUM(C18+D18)-E18</f>
        <v>0</v>
      </c>
    </row>
    <row r="19" spans="1:11" ht="12.75" customHeight="1" thickTop="1" thickBot="1" x14ac:dyDescent="0.25">
      <c r="A19" s="2230" t="s">
        <v>406</v>
      </c>
      <c r="B19" s="2231"/>
      <c r="C19" s="727"/>
      <c r="D19" s="585"/>
      <c r="E19" s="727"/>
      <c r="F19" s="1776">
        <f>SUM(C19+D19)-E19</f>
        <v>0</v>
      </c>
    </row>
    <row r="20" spans="1:11" ht="12.75" customHeight="1" thickTop="1" thickBot="1" x14ac:dyDescent="0.25">
      <c r="A20" s="2230" t="s">
        <v>468</v>
      </c>
      <c r="B20" s="2231"/>
      <c r="C20" s="727"/>
      <c r="D20" s="585"/>
      <c r="E20" s="727"/>
      <c r="F20" s="1776">
        <f>SUM(C20+D20)-E20</f>
        <v>0</v>
      </c>
    </row>
    <row r="21" spans="1:11" ht="14.25" thickTop="1" thickBot="1" x14ac:dyDescent="0.25">
      <c r="A21" s="2207" t="s">
        <v>653</v>
      </c>
      <c r="B21" s="2208"/>
      <c r="C21" s="1776">
        <f>SUM(C17:C20)</f>
        <v>0</v>
      </c>
      <c r="D21" s="1776">
        <f>SUM(D17:D20)</f>
        <v>0</v>
      </c>
      <c r="E21" s="1776">
        <f>SUM(E17:E20)</f>
        <v>0</v>
      </c>
      <c r="F21" s="1776">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6">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6">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6">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0"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2089</v>
      </c>
      <c r="B31" s="734">
        <v>39596</v>
      </c>
      <c r="C31" s="735">
        <v>965000</v>
      </c>
      <c r="D31" s="736">
        <v>2</v>
      </c>
      <c r="E31" s="735">
        <v>610000</v>
      </c>
      <c r="F31" s="735"/>
      <c r="G31" s="735"/>
      <c r="H31" s="735">
        <v>555000</v>
      </c>
      <c r="I31" s="1777">
        <f>((E31+F31)-H31)+G31</f>
        <v>55000</v>
      </c>
      <c r="J31" s="735">
        <v>54989</v>
      </c>
      <c r="K31" s="737"/>
    </row>
    <row r="32" spans="1:11" ht="12" customHeight="1" x14ac:dyDescent="0.2">
      <c r="A32" s="733" t="s">
        <v>2090</v>
      </c>
      <c r="B32" s="734">
        <v>39596</v>
      </c>
      <c r="C32" s="735">
        <v>2860000</v>
      </c>
      <c r="D32" s="736">
        <v>3</v>
      </c>
      <c r="E32" s="735">
        <v>505000</v>
      </c>
      <c r="F32" s="735"/>
      <c r="G32" s="735"/>
      <c r="H32" s="735">
        <v>375000</v>
      </c>
      <c r="I32" s="1777">
        <f>((E32+F32)-H32)+G32</f>
        <v>130000</v>
      </c>
      <c r="J32" s="735">
        <v>130000</v>
      </c>
      <c r="K32" s="737"/>
    </row>
    <row r="33" spans="1:11" ht="12" customHeight="1" x14ac:dyDescent="0.2">
      <c r="A33" s="733" t="s">
        <v>2091</v>
      </c>
      <c r="B33" s="734">
        <v>39596</v>
      </c>
      <c r="C33" s="735">
        <v>820000</v>
      </c>
      <c r="D33" s="736">
        <v>7</v>
      </c>
      <c r="E33" s="735">
        <v>370000</v>
      </c>
      <c r="F33" s="735"/>
      <c r="G33" s="735"/>
      <c r="H33" s="735">
        <v>70000</v>
      </c>
      <c r="I33" s="1777">
        <f t="shared" ref="I33:I48" si="1">((E33+F33)-H33)+G33</f>
        <v>300000</v>
      </c>
      <c r="J33" s="735">
        <v>300000</v>
      </c>
      <c r="K33" s="737"/>
    </row>
    <row r="34" spans="1:11" ht="12" customHeight="1" x14ac:dyDescent="0.2">
      <c r="A34" s="733" t="s">
        <v>2092</v>
      </c>
      <c r="B34" s="734">
        <v>41219</v>
      </c>
      <c r="C34" s="735">
        <v>3540000</v>
      </c>
      <c r="D34" s="736">
        <v>7</v>
      </c>
      <c r="E34" s="735">
        <v>2480000</v>
      </c>
      <c r="F34" s="735"/>
      <c r="G34" s="735"/>
      <c r="H34" s="735">
        <v>215000</v>
      </c>
      <c r="I34" s="1777">
        <f t="shared" si="1"/>
        <v>2265000</v>
      </c>
      <c r="J34" s="735">
        <v>2265000</v>
      </c>
      <c r="K34" s="738"/>
    </row>
    <row r="35" spans="1:11" ht="12" customHeight="1" x14ac:dyDescent="0.2">
      <c r="A35" s="733" t="s">
        <v>2100</v>
      </c>
      <c r="B35" s="734">
        <v>42927</v>
      </c>
      <c r="C35" s="739">
        <v>5500000</v>
      </c>
      <c r="D35" s="736">
        <v>6</v>
      </c>
      <c r="E35" s="739"/>
      <c r="F35" s="739">
        <v>5500000</v>
      </c>
      <c r="G35" s="739"/>
      <c r="H35" s="739"/>
      <c r="I35" s="1777">
        <f t="shared" si="1"/>
        <v>5500000</v>
      </c>
      <c r="J35" s="739">
        <v>5500000</v>
      </c>
      <c r="K35" s="738"/>
    </row>
    <row r="36" spans="1:11" ht="12" customHeight="1" x14ac:dyDescent="0.2">
      <c r="A36" s="733" t="s">
        <v>2099</v>
      </c>
      <c r="B36" s="734">
        <v>42927</v>
      </c>
      <c r="C36" s="735">
        <v>530000</v>
      </c>
      <c r="D36" s="736">
        <v>3</v>
      </c>
      <c r="E36" s="735"/>
      <c r="F36" s="735">
        <v>530000</v>
      </c>
      <c r="G36" s="735"/>
      <c r="H36" s="735"/>
      <c r="I36" s="1777">
        <f t="shared" si="1"/>
        <v>530000</v>
      </c>
      <c r="J36" s="735">
        <v>530000</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14215000</v>
      </c>
      <c r="D49" s="746"/>
      <c r="E49" s="1777">
        <f t="shared" ref="E49:J49" si="2">SUM(E31:E48)</f>
        <v>3965000</v>
      </c>
      <c r="F49" s="1777">
        <f t="shared" si="2"/>
        <v>6030000</v>
      </c>
      <c r="G49" s="1777">
        <f t="shared" si="2"/>
        <v>0</v>
      </c>
      <c r="H49" s="1777">
        <f t="shared" si="2"/>
        <v>1215000</v>
      </c>
      <c r="I49" s="1777">
        <f t="shared" si="2"/>
        <v>8780000</v>
      </c>
      <c r="J49" s="1777">
        <f t="shared" si="2"/>
        <v>8779989</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t="s">
        <v>2098</v>
      </c>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2" colorId="8" zoomScale="110" zoomScaleNormal="110" workbookViewId="0">
      <selection activeCell="H43" sqref="H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1"/>
      <c r="I1" s="761"/>
      <c r="J1" s="433"/>
    </row>
    <row r="2" spans="1:11" ht="26.25" x14ac:dyDescent="0.2">
      <c r="A2" s="2237" t="s">
        <v>1776</v>
      </c>
      <c r="B2" s="2238"/>
      <c r="C2" s="2238"/>
      <c r="D2" s="2238"/>
      <c r="E2" s="2239"/>
      <c r="F2" s="762" t="s">
        <v>960</v>
      </c>
      <c r="G2" s="763" t="s">
        <v>1773</v>
      </c>
      <c r="H2" s="763" t="s">
        <v>430</v>
      </c>
      <c r="I2" s="763" t="s">
        <v>1220</v>
      </c>
      <c r="J2" s="763" t="s">
        <v>1917</v>
      </c>
      <c r="K2" s="763" t="s">
        <v>140</v>
      </c>
    </row>
    <row r="3" spans="1:11" x14ac:dyDescent="0.2">
      <c r="A3" s="2240" t="s">
        <v>1698</v>
      </c>
      <c r="B3" s="2241"/>
      <c r="C3" s="2241"/>
      <c r="D3" s="2241"/>
      <c r="E3" s="2242"/>
      <c r="F3" s="764"/>
      <c r="G3" s="765"/>
      <c r="H3" s="765"/>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24832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1918</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8"/>
      <c r="G12" s="1779">
        <f>SUM(G5:G11)</f>
        <v>0</v>
      </c>
      <c r="H12" s="1779">
        <f>SUM(H5:H11)</f>
        <v>24832</v>
      </c>
      <c r="I12" s="1779">
        <f>SUM(I5:I11)</f>
        <v>0</v>
      </c>
      <c r="J12" s="1779">
        <f>SUM(J5:J11)</f>
        <v>0</v>
      </c>
      <c r="K12" s="1779">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24832</v>
      </c>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1914</v>
      </c>
      <c r="B19" s="2269"/>
      <c r="C19" s="2269"/>
      <c r="D19" s="2269"/>
      <c r="E19" s="2270"/>
      <c r="F19" s="790" t="s">
        <v>990</v>
      </c>
      <c r="G19" s="783"/>
      <c r="H19" s="783"/>
      <c r="I19" s="783"/>
      <c r="J19" s="766"/>
      <c r="K19" s="796"/>
    </row>
    <row r="20" spans="1:11" x14ac:dyDescent="0.2">
      <c r="A20" s="2248" t="s">
        <v>1919</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0"/>
      <c r="G21" s="793"/>
      <c r="H21" s="797"/>
      <c r="I21" s="797"/>
      <c r="J21" s="1781">
        <f>SUM(J18:J20)</f>
        <v>0</v>
      </c>
      <c r="K21" s="794"/>
    </row>
    <row r="22" spans="1:11" ht="13.5" thickTop="1" x14ac:dyDescent="0.2">
      <c r="A22" s="2234" t="s">
        <v>1920</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2"/>
      <c r="G23" s="1779">
        <f>SUM(G14:G16,G21,G22)</f>
        <v>0</v>
      </c>
      <c r="H23" s="1779">
        <f>SUM(H14:H16,H21,H22)</f>
        <v>24832</v>
      </c>
      <c r="I23" s="1779">
        <f>SUM(I14:I16,I21,I22)</f>
        <v>0</v>
      </c>
      <c r="J23" s="1779">
        <f>SUM(J14:J16,J21,J22)</f>
        <v>0</v>
      </c>
      <c r="K23" s="1779">
        <f>SUM(K14:K16,K21,K22)</f>
        <v>0</v>
      </c>
    </row>
    <row r="24" spans="1:11" ht="14.25" thickTop="1" thickBot="1" x14ac:dyDescent="0.25">
      <c r="A24" s="2255" t="s">
        <v>2024</v>
      </c>
      <c r="B24" s="2254"/>
      <c r="C24" s="2254"/>
      <c r="D24" s="2254"/>
      <c r="E24" s="225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1915</v>
      </c>
      <c r="B46" s="408" t="s">
        <v>1774</v>
      </c>
    </row>
    <row r="47" spans="1:11" s="824" customFormat="1" ht="12.75" customHeight="1" x14ac:dyDescent="0.2">
      <c r="A47" s="822"/>
      <c r="B47" s="823" t="s">
        <v>1775</v>
      </c>
      <c r="E47" s="823"/>
      <c r="K47" s="825"/>
    </row>
    <row r="48" spans="1:11" ht="12.75" customHeight="1" x14ac:dyDescent="0.2">
      <c r="A48" s="1553"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2033</v>
      </c>
      <c r="B1" s="2274"/>
      <c r="C1" s="2275"/>
      <c r="D1" s="827"/>
      <c r="E1" s="828"/>
      <c r="F1" s="828"/>
      <c r="G1" s="829"/>
      <c r="H1" s="830"/>
      <c r="I1" s="831"/>
      <c r="J1" s="2271"/>
      <c r="K1" s="2272"/>
      <c r="L1" s="2272"/>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1480769</v>
      </c>
      <c r="D5" s="842"/>
      <c r="E5" s="842"/>
      <c r="F5" s="1781">
        <f>(C5+D5)-E5</f>
        <v>1480769</v>
      </c>
      <c r="G5" s="838"/>
      <c r="H5" s="843"/>
      <c r="I5" s="843"/>
      <c r="J5" s="843"/>
      <c r="K5" s="794"/>
      <c r="L5" s="1790">
        <f>F5-K5</f>
        <v>1480769</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25236299</v>
      </c>
      <c r="D8" s="845"/>
      <c r="E8" s="845"/>
      <c r="F8" s="1781">
        <f>(C8+D8)-E8</f>
        <v>25236299</v>
      </c>
      <c r="G8" s="844">
        <v>50</v>
      </c>
      <c r="H8" s="766">
        <v>7170459</v>
      </c>
      <c r="I8" s="766">
        <v>492188</v>
      </c>
      <c r="J8" s="766"/>
      <c r="K8" s="1790">
        <f>(H8+I8)-J8</f>
        <v>7662647</v>
      </c>
      <c r="L8" s="1790">
        <f>F8-K8</f>
        <v>17573652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596765</v>
      </c>
      <c r="D10" s="847">
        <v>85938</v>
      </c>
      <c r="E10" s="847"/>
      <c r="F10" s="1785">
        <f>(C10+D10)-E10</f>
        <v>682703</v>
      </c>
      <c r="G10" s="844">
        <v>20</v>
      </c>
      <c r="H10" s="848">
        <v>316232</v>
      </c>
      <c r="I10" s="848">
        <v>30669</v>
      </c>
      <c r="J10" s="848"/>
      <c r="K10" s="1790">
        <f>(H10+I10)-J10</f>
        <v>346901</v>
      </c>
      <c r="L10" s="1790">
        <f>F10-K10</f>
        <v>335802</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2989379</v>
      </c>
      <c r="D12" s="845">
        <v>201940</v>
      </c>
      <c r="E12" s="845">
        <v>682702</v>
      </c>
      <c r="F12" s="1781">
        <f>(C12+D12)-E12</f>
        <v>2508617</v>
      </c>
      <c r="G12" s="844">
        <v>10</v>
      </c>
      <c r="H12" s="766">
        <v>1975750</v>
      </c>
      <c r="I12" s="766">
        <v>256291</v>
      </c>
      <c r="J12" s="766">
        <v>682702</v>
      </c>
      <c r="K12" s="1790">
        <f>(H12+I12)-J12</f>
        <v>1549339</v>
      </c>
      <c r="L12" s="1790">
        <f>F12-K12</f>
        <v>959278</v>
      </c>
    </row>
    <row r="13" spans="1:14" ht="14.25" thickTop="1" thickBot="1" x14ac:dyDescent="0.25">
      <c r="A13" s="849" t="s">
        <v>1184</v>
      </c>
      <c r="B13" s="841">
        <v>252</v>
      </c>
      <c r="C13" s="845"/>
      <c r="D13" s="845">
        <v>22379</v>
      </c>
      <c r="E13" s="845"/>
      <c r="F13" s="1781">
        <f>(C13+D13)-E13</f>
        <v>22379</v>
      </c>
      <c r="G13" s="844">
        <v>5</v>
      </c>
      <c r="H13" s="766"/>
      <c r="I13" s="766">
        <v>4476</v>
      </c>
      <c r="J13" s="766"/>
      <c r="K13" s="1790">
        <f>(H13+I13)-J13</f>
        <v>4476</v>
      </c>
      <c r="L13" s="1790">
        <f>F13-K13</f>
        <v>17903</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v>1456385</v>
      </c>
      <c r="E15" s="845"/>
      <c r="F15" s="1781">
        <f>(C15+D15)-E15</f>
        <v>1456385</v>
      </c>
      <c r="G15" s="850" t="s">
        <v>917</v>
      </c>
      <c r="H15" s="782"/>
      <c r="I15" s="782"/>
      <c r="J15" s="782"/>
      <c r="K15" s="782"/>
      <c r="L15" s="1790">
        <f>F15-K15</f>
        <v>1456385</v>
      </c>
    </row>
    <row r="16" spans="1:14" ht="15" customHeight="1" thickTop="1" thickBot="1" x14ac:dyDescent="0.25">
      <c r="A16" s="1786" t="s">
        <v>664</v>
      </c>
      <c r="B16" s="1787">
        <v>200</v>
      </c>
      <c r="C16" s="1781">
        <f>SUM(C3,C5:C6,C8:C10,C12:C15)</f>
        <v>30303212</v>
      </c>
      <c r="D16" s="1781">
        <f>SUM(D3,D5:D6,D8:D10,D12:D15)</f>
        <v>1766642</v>
      </c>
      <c r="E16" s="1781">
        <f>SUM(E3,E5:E6,E8:E10,E12:E15)</f>
        <v>682702</v>
      </c>
      <c r="F16" s="1781">
        <f>SUM(F3,F5:F6,F8:F10,F12:F15)</f>
        <v>31387152</v>
      </c>
      <c r="G16" s="844"/>
      <c r="H16" s="1781">
        <f>SUM(H3,H6,H8:H10,H12:H14,)</f>
        <v>9462441</v>
      </c>
      <c r="I16" s="1781">
        <f>SUM(I3,I6,I8:I10,I12:I14,)</f>
        <v>783624</v>
      </c>
      <c r="J16" s="1781">
        <f>SUM(J3,J6,J8:J10,J12:J14,)</f>
        <v>682702</v>
      </c>
      <c r="K16" s="1781">
        <f>(H16+I16)-J16</f>
        <v>9563363</v>
      </c>
      <c r="L16" s="1781">
        <f>F16-K16</f>
        <v>21823789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783624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16551764</v>
      </c>
      <c r="G8" s="866"/>
    </row>
    <row r="9" spans="1:7" x14ac:dyDescent="0.2">
      <c r="A9" s="870" t="s">
        <v>480</v>
      </c>
      <c r="B9" s="871" t="s">
        <v>1987</v>
      </c>
      <c r="C9" s="872"/>
      <c r="D9" s="870" t="s">
        <v>522</v>
      </c>
      <c r="E9" s="869"/>
      <c r="F9" s="1934">
        <f>'Expenditures 15-22'!K151</f>
        <v>1093693</v>
      </c>
      <c r="G9" s="873"/>
    </row>
    <row r="10" spans="1:7" x14ac:dyDescent="0.2">
      <c r="A10" s="870" t="s">
        <v>520</v>
      </c>
      <c r="B10" s="871" t="s">
        <v>1988</v>
      </c>
      <c r="C10" s="872"/>
      <c r="D10" s="870" t="s">
        <v>522</v>
      </c>
      <c r="E10" s="869"/>
      <c r="F10" s="1934">
        <f>'Expenditures 15-22'!K174</f>
        <v>1557054</v>
      </c>
      <c r="G10" s="873"/>
    </row>
    <row r="11" spans="1:7" x14ac:dyDescent="0.2">
      <c r="A11" s="870" t="s">
        <v>481</v>
      </c>
      <c r="B11" s="871" t="s">
        <v>1989</v>
      </c>
      <c r="C11" s="872"/>
      <c r="D11" s="870" t="s">
        <v>522</v>
      </c>
      <c r="E11" s="869"/>
      <c r="F11" s="1934">
        <f>'Expenditures 15-22'!K210</f>
        <v>1285107</v>
      </c>
      <c r="G11" s="873"/>
    </row>
    <row r="12" spans="1:7" x14ac:dyDescent="0.2">
      <c r="A12" s="870" t="s">
        <v>482</v>
      </c>
      <c r="B12" s="871" t="s">
        <v>1990</v>
      </c>
      <c r="C12" s="872"/>
      <c r="D12" s="870" t="s">
        <v>522</v>
      </c>
      <c r="E12" s="869"/>
      <c r="F12" s="1934">
        <f>'Expenditures 15-22'!K295</f>
        <v>591450</v>
      </c>
      <c r="G12" s="873"/>
    </row>
    <row r="13" spans="1:7" x14ac:dyDescent="0.2">
      <c r="A13" s="870" t="s">
        <v>108</v>
      </c>
      <c r="B13" s="871" t="s">
        <v>1991</v>
      </c>
      <c r="C13" s="872"/>
      <c r="D13" s="870" t="s">
        <v>522</v>
      </c>
      <c r="E13" s="869"/>
      <c r="F13" s="1934">
        <f>'Expenditures 15-22'!K342</f>
        <v>421811</v>
      </c>
      <c r="G13" s="874"/>
    </row>
    <row r="14" spans="1:7" ht="12" customHeight="1" thickBot="1" x14ac:dyDescent="0.25">
      <c r="A14" s="1791"/>
      <c r="B14" s="1792"/>
      <c r="C14" s="1793"/>
      <c r="D14" s="1794" t="s">
        <v>522</v>
      </c>
      <c r="E14" s="1795" t="s">
        <v>1015</v>
      </c>
      <c r="F14" s="1796">
        <f>SUM(F8:F13)</f>
        <v>21500879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1499231</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83819</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285127</v>
      </c>
      <c r="G52" s="866"/>
    </row>
    <row r="53" spans="1:7" x14ac:dyDescent="0.2">
      <c r="A53" s="870" t="s">
        <v>479</v>
      </c>
      <c r="B53" s="870" t="s">
        <v>1551</v>
      </c>
      <c r="C53" s="890">
        <f>'Expenditures 15-22'!B102</f>
        <v>4000</v>
      </c>
      <c r="D53" s="889" t="str">
        <f>'Expenditures 15-22'!A102</f>
        <v>Total Payments to Other Govt Units</v>
      </c>
      <c r="E53" s="869"/>
      <c r="F53" s="1938">
        <f>'Expenditures 15-22'!K102</f>
        <v>822517</v>
      </c>
      <c r="G53" s="866"/>
    </row>
    <row r="54" spans="1:7" x14ac:dyDescent="0.2">
      <c r="A54" s="870" t="s">
        <v>479</v>
      </c>
      <c r="B54" s="870" t="s">
        <v>1552</v>
      </c>
      <c r="C54" s="890" t="s">
        <v>1039</v>
      </c>
      <c r="D54" s="886" t="s">
        <v>1157</v>
      </c>
      <c r="E54" s="869"/>
      <c r="F54" s="1938">
        <f>'Expenditures 15-22'!G114</f>
        <v>137509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8">
        <f>'Expenditures 15-22'!K139</f>
        <v>1389</v>
      </c>
      <c r="G57" s="866"/>
    </row>
    <row r="58" spans="1:7" x14ac:dyDescent="0.2">
      <c r="A58" s="870" t="s">
        <v>480</v>
      </c>
      <c r="B58" s="870" t="s">
        <v>1993</v>
      </c>
      <c r="C58" s="887" t="s">
        <v>1039</v>
      </c>
      <c r="D58" s="886" t="s">
        <v>1157</v>
      </c>
      <c r="E58" s="869"/>
      <c r="F58" s="1940">
        <f>'Expenditures 15-22'!G151</f>
        <v>124517</v>
      </c>
      <c r="G58" s="866"/>
    </row>
    <row r="59" spans="1:7" x14ac:dyDescent="0.2">
      <c r="A59" s="894" t="s">
        <v>480</v>
      </c>
      <c r="B59" s="857" t="s">
        <v>1994</v>
      </c>
      <c r="C59" s="895" t="s">
        <v>1039</v>
      </c>
      <c r="D59" s="857" t="s">
        <v>309</v>
      </c>
      <c r="F59" s="1941">
        <f>'Expenditures 15-22'!I151</f>
        <v>0</v>
      </c>
      <c r="G59" s="866"/>
    </row>
    <row r="60" spans="1:7" x14ac:dyDescent="0.2">
      <c r="A60" s="894" t="s">
        <v>520</v>
      </c>
      <c r="B60" s="857" t="s">
        <v>1995</v>
      </c>
      <c r="C60" s="895">
        <v>4000</v>
      </c>
      <c r="D60" s="857" t="s">
        <v>330</v>
      </c>
      <c r="F60" s="1939">
        <f>'Expenditures 15-22'!K160</f>
        <v>0</v>
      </c>
      <c r="G60" s="866"/>
    </row>
    <row r="61" spans="1:7" x14ac:dyDescent="0.2">
      <c r="A61" s="896" t="s">
        <v>520</v>
      </c>
      <c r="B61" s="896" t="s">
        <v>1996</v>
      </c>
      <c r="C61" s="897" t="str">
        <f>'Expenditures 15-22'!B170</f>
        <v>5300</v>
      </c>
      <c r="D61" s="898" t="s">
        <v>329</v>
      </c>
      <c r="E61" s="880"/>
      <c r="F61" s="1938">
        <f>'Expenditures 15-22'!K170</f>
        <v>1215000</v>
      </c>
      <c r="G61" s="866"/>
    </row>
    <row r="62" spans="1:7" x14ac:dyDescent="0.2">
      <c r="A62" s="870" t="s">
        <v>481</v>
      </c>
      <c r="B62" s="870" t="s">
        <v>1997</v>
      </c>
      <c r="C62" s="887">
        <f>'Expenditures 15-22'!B185</f>
        <v>3000</v>
      </c>
      <c r="D62" s="877" t="s">
        <v>469</v>
      </c>
      <c r="E62" s="869"/>
      <c r="F62" s="1938">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1999</v>
      </c>
      <c r="C64" s="897" t="str">
        <f>'Expenditures 15-22'!B206</f>
        <v>5300</v>
      </c>
      <c r="D64" s="893" t="s">
        <v>329</v>
      </c>
      <c r="E64" s="869"/>
      <c r="F64" s="1938">
        <f>'Expenditures 15-22'!K206</f>
        <v>0</v>
      </c>
      <c r="G64" s="866"/>
    </row>
    <row r="65" spans="1:8" x14ac:dyDescent="0.2">
      <c r="A65" s="870" t="s">
        <v>481</v>
      </c>
      <c r="B65" s="870" t="s">
        <v>2000</v>
      </c>
      <c r="C65" s="887" t="s">
        <v>1039</v>
      </c>
      <c r="D65" s="886" t="s">
        <v>1157</v>
      </c>
      <c r="E65" s="869"/>
      <c r="F65" s="1938">
        <f>'Expenditures 15-22'!G210</f>
        <v>0</v>
      </c>
      <c r="G65" s="866"/>
    </row>
    <row r="66" spans="1:8" x14ac:dyDescent="0.2">
      <c r="A66" s="870" t="s">
        <v>481</v>
      </c>
      <c r="B66" s="870" t="s">
        <v>2001</v>
      </c>
      <c r="C66" s="887" t="s">
        <v>1039</v>
      </c>
      <c r="D66" s="886" t="s">
        <v>309</v>
      </c>
      <c r="E66" s="869"/>
      <c r="F66" s="1938">
        <f>'Expenditures 15-22'!I210</f>
        <v>0</v>
      </c>
      <c r="G66" s="866"/>
    </row>
    <row r="67" spans="1:8" x14ac:dyDescent="0.2">
      <c r="A67" s="870" t="s">
        <v>482</v>
      </c>
      <c r="B67" s="870" t="s">
        <v>2002</v>
      </c>
      <c r="C67" s="887" t="str">
        <f>'Expenditures 15-22'!B216</f>
        <v>1125</v>
      </c>
      <c r="D67" s="893" t="str">
        <f>'Expenditures 15-22'!A216</f>
        <v>Pre-K Programs</v>
      </c>
      <c r="E67" s="869"/>
      <c r="F67" s="1938">
        <f>'Expenditures 15-22'!K216</f>
        <v>-22</v>
      </c>
      <c r="G67" s="866"/>
    </row>
    <row r="68" spans="1:8" x14ac:dyDescent="0.2">
      <c r="A68" s="870" t="s">
        <v>482</v>
      </c>
      <c r="B68" s="870" t="s">
        <v>1555</v>
      </c>
      <c r="C68" s="887" t="str">
        <f>'Expenditures 15-22'!B218</f>
        <v>1225</v>
      </c>
      <c r="D68" s="893" t="str">
        <f>'Expenditures 15-22'!A218</f>
        <v>Special Education Programs - Pre-K</v>
      </c>
      <c r="E68" s="869"/>
      <c r="F68" s="1938">
        <f>'Expenditures 15-22'!K218</f>
        <v>2492</v>
      </c>
      <c r="G68" s="866"/>
    </row>
    <row r="69" spans="1:8" x14ac:dyDescent="0.2">
      <c r="A69" s="870" t="s">
        <v>482</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2004</v>
      </c>
      <c r="C70" s="887">
        <f>'Expenditures 15-22'!B221</f>
        <v>1300</v>
      </c>
      <c r="D70" s="888" t="str">
        <f>'Expenditures 15-22'!A221</f>
        <v>Adult/Continuing Education Programs</v>
      </c>
      <c r="E70" s="869"/>
      <c r="F70" s="1938">
        <f>'Expenditures 15-22'!K221</f>
        <v>0</v>
      </c>
      <c r="G70" s="866"/>
    </row>
    <row r="71" spans="1:8" x14ac:dyDescent="0.2">
      <c r="A71" s="870" t="s">
        <v>482</v>
      </c>
      <c r="B71" s="870" t="s">
        <v>2005</v>
      </c>
      <c r="C71" s="887">
        <f>'Expenditures 15-22'!B224</f>
        <v>1600</v>
      </c>
      <c r="D71" s="888" t="str">
        <f>'Expenditures 15-22'!A224</f>
        <v>Summer School Programs</v>
      </c>
      <c r="E71" s="869"/>
      <c r="F71" s="1938">
        <f>'Expenditures 15-22'!K224</f>
        <v>0</v>
      </c>
      <c r="G71" s="866"/>
    </row>
    <row r="72" spans="1:8" x14ac:dyDescent="0.2">
      <c r="A72" s="870" t="s">
        <v>482</v>
      </c>
      <c r="B72" s="870" t="s">
        <v>2006</v>
      </c>
      <c r="C72" s="887">
        <f>'Expenditures 15-22'!B280</f>
        <v>3000</v>
      </c>
      <c r="D72" s="877" t="s">
        <v>469</v>
      </c>
      <c r="E72" s="869"/>
      <c r="F72" s="1938">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2008</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1015</v>
      </c>
      <c r="F76" s="1799">
        <f>SUM(F18:F74)</f>
        <v>4171579</v>
      </c>
      <c r="G76" s="866"/>
    </row>
    <row r="77" spans="1:8" s="894" customFormat="1" ht="12" customHeight="1" thickTop="1" thickBot="1" x14ac:dyDescent="0.25">
      <c r="A77" s="1800"/>
      <c r="B77" s="1797"/>
      <c r="C77" s="1793"/>
      <c r="D77" s="1798" t="s">
        <v>2010</v>
      </c>
      <c r="E77" s="1795"/>
      <c r="F77" s="1801">
        <f>(F14-F76)</f>
        <v>17329300</v>
      </c>
      <c r="G77" s="870"/>
    </row>
    <row r="78" spans="1:8" s="894" customFormat="1" ht="12" customHeight="1" thickTop="1" x14ac:dyDescent="0.2">
      <c r="A78" s="1802"/>
      <c r="B78" s="1797"/>
      <c r="C78" s="1793"/>
      <c r="D78" s="1798" t="s">
        <v>2057</v>
      </c>
      <c r="E78" s="1795"/>
      <c r="F78" s="899">
        <v>1385.15</v>
      </c>
      <c r="G78" s="900"/>
      <c r="H78" s="870"/>
    </row>
    <row r="79" spans="1:8" s="894" customFormat="1" ht="12" customHeight="1" thickBot="1" x14ac:dyDescent="0.25">
      <c r="A79" s="1803"/>
      <c r="B79" s="1797"/>
      <c r="C79" s="1793"/>
      <c r="D79" s="1798" t="s">
        <v>2011</v>
      </c>
      <c r="E79" s="1795" t="s">
        <v>1015</v>
      </c>
      <c r="F79" s="1804">
        <f>IF(F78&gt;0,F77/F78," Complete Line 78")</f>
        <v>12510.775006317004</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108325</v>
      </c>
      <c r="G94" s="913"/>
    </row>
    <row r="95" spans="1:7" x14ac:dyDescent="0.2">
      <c r="A95" s="909" t="s">
        <v>142</v>
      </c>
      <c r="B95" s="909" t="s">
        <v>177</v>
      </c>
      <c r="C95" s="911">
        <v>1700</v>
      </c>
      <c r="D95" s="919" t="str">
        <f>'Revenues 9-14'!A82</f>
        <v>Total District/School Activity Income</v>
      </c>
      <c r="E95" s="907"/>
      <c r="F95" s="1810">
        <f>SUM('Revenues 9-14'!C82,'Revenues 9-14'!D82)</f>
        <v>105210</v>
      </c>
      <c r="G95" s="913"/>
    </row>
    <row r="96" spans="1:7" x14ac:dyDescent="0.2">
      <c r="A96" s="909" t="s">
        <v>479</v>
      </c>
      <c r="B96" s="909" t="s">
        <v>178</v>
      </c>
      <c r="C96" s="911">
        <f>'Revenues 9-14'!B84</f>
        <v>1811</v>
      </c>
      <c r="D96" s="912" t="str">
        <f>'Revenues 9-14'!A84</f>
        <v>Rentals - Regular Textbooks</v>
      </c>
      <c r="E96" s="907"/>
      <c r="F96" s="1810">
        <f>'Revenues 9-14'!C84</f>
        <v>6130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53995</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463946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22065</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967946</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-1578212</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1578212</v>
      </c>
      <c r="G127" s="931"/>
    </row>
    <row r="128" spans="1:7" x14ac:dyDescent="0.2">
      <c r="A128" s="928" t="s">
        <v>689</v>
      </c>
      <c r="B128" s="928" t="s">
        <v>858</v>
      </c>
      <c r="C128" s="933">
        <v>4100</v>
      </c>
      <c r="D128" s="934" t="str">
        <f>'Revenues 9-14'!A191</f>
        <v>Total Title V</v>
      </c>
      <c r="E128" s="907"/>
      <c r="F128" s="1810">
        <f>SUM('Revenues 9-14'!C191,'Revenues 9-14'!D191,'Revenues 9-14'!F191,'Revenues 9-14'!G191)</f>
        <v>24144</v>
      </c>
      <c r="G128" s="931"/>
    </row>
    <row r="129" spans="1:7" x14ac:dyDescent="0.2">
      <c r="A129" s="928" t="s">
        <v>685</v>
      </c>
      <c r="B129" s="928" t="s">
        <v>803</v>
      </c>
      <c r="C129" s="933">
        <v>4200</v>
      </c>
      <c r="D129" s="930" t="str">
        <f>'Revenues 9-14'!A201</f>
        <v>Total Food Service</v>
      </c>
      <c r="E129" s="907"/>
      <c r="F129" s="1810">
        <f>SUM('Revenues 9-14'!C201,'Revenues 9-14'!G201)</f>
        <v>1385756</v>
      </c>
      <c r="G129" s="931"/>
    </row>
    <row r="130" spans="1:7" x14ac:dyDescent="0.2">
      <c r="A130" s="928" t="s">
        <v>689</v>
      </c>
      <c r="B130" s="928" t="s">
        <v>804</v>
      </c>
      <c r="C130" s="933">
        <v>4300</v>
      </c>
      <c r="D130" s="934" t="str">
        <f>'Revenues 9-14'!A211</f>
        <v>Total Title I</v>
      </c>
      <c r="E130" s="907"/>
      <c r="F130" s="1810">
        <f>SUM('Revenues 9-14'!C211,'Revenues 9-14'!D211,'Revenues 9-14'!F211,'Revenues 9-14'!G211)</f>
        <v>1047220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290349</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87628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197318</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143976</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44119</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465997</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17672</v>
      </c>
      <c r="G174" s="928"/>
    </row>
    <row r="175" spans="1:7" x14ac:dyDescent="0.2">
      <c r="A175" s="1943" t="s">
        <v>5</v>
      </c>
      <c r="B175" s="1944" t="s">
        <v>2056</v>
      </c>
      <c r="C175" s="1945">
        <v>3100</v>
      </c>
      <c r="D175" s="1946" t="s">
        <v>2059</v>
      </c>
      <c r="E175" s="907"/>
      <c r="F175" s="1930">
        <v>574759</v>
      </c>
      <c r="G175" s="928"/>
    </row>
    <row r="176" spans="1:7" x14ac:dyDescent="0.2">
      <c r="A176" s="1943" t="s">
        <v>685</v>
      </c>
      <c r="B176" s="1944" t="s">
        <v>2056</v>
      </c>
      <c r="C176" s="1945">
        <v>3300</v>
      </c>
      <c r="D176" s="1946" t="s">
        <v>2060</v>
      </c>
      <c r="E176" s="907"/>
      <c r="F176" s="1930">
        <v>1857</v>
      </c>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1015</v>
      </c>
      <c r="F178" s="1809">
        <f>SUM(F84:F136,F161:F176)</f>
        <v>6008412</v>
      </c>
    </row>
    <row r="179" spans="1:7" ht="12" customHeight="1" x14ac:dyDescent="0.2">
      <c r="A179" s="1791"/>
      <c r="B179" s="1805"/>
      <c r="C179" s="1806"/>
      <c r="D179" s="1807" t="s">
        <v>2013</v>
      </c>
      <c r="E179" s="1808"/>
      <c r="F179" s="1810">
        <f>'PCTC-OEPP 27-28'!F77-F178</f>
        <v>11320888</v>
      </c>
    </row>
    <row r="180" spans="1:7" ht="12" customHeight="1" x14ac:dyDescent="0.2">
      <c r="A180" s="1791"/>
      <c r="B180" s="1805"/>
      <c r="C180" s="1806"/>
      <c r="D180" s="1807" t="s">
        <v>1922</v>
      </c>
      <c r="E180" s="1808"/>
      <c r="F180" s="1810">
        <f>'Cap Outlay Deprec 26'!I18</f>
        <v>783624</v>
      </c>
    </row>
    <row r="181" spans="1:7" ht="12" customHeight="1" x14ac:dyDescent="0.2">
      <c r="A181" s="1791"/>
      <c r="B181" s="1805"/>
      <c r="C181" s="1806"/>
      <c r="D181" s="1807" t="s">
        <v>2014</v>
      </c>
      <c r="E181" s="1808"/>
      <c r="F181" s="1810">
        <f>F179+F180</f>
        <v>12104512</v>
      </c>
    </row>
    <row r="182" spans="1:7" ht="12" customHeight="1" x14ac:dyDescent="0.2">
      <c r="A182" s="1791"/>
      <c r="B182" s="1811"/>
      <c r="C182" s="1806"/>
      <c r="D182" s="1807" t="str">
        <f>D78</f>
        <v>9 Month ADA from District Average Daily Attendance/Prior General State Aid Inquiry 2017-2018</v>
      </c>
      <c r="E182" s="1808"/>
      <c r="F182" s="1812">
        <f>'PCTC-OEPP 27-28'!F78</f>
        <v>1385.15</v>
      </c>
      <c r="G182" s="931"/>
    </row>
    <row r="183" spans="1:7" ht="12" customHeight="1" thickBot="1" x14ac:dyDescent="0.25">
      <c r="A183" s="1791"/>
      <c r="B183" s="1811"/>
      <c r="C183" s="1806"/>
      <c r="D183" s="1807" t="s">
        <v>2015</v>
      </c>
      <c r="E183" s="1808" t="s">
        <v>1626</v>
      </c>
      <c r="F183" s="1813">
        <f>F181/F182</f>
        <v>8738.7734180413663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1" sqref="B21"/>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0" t="s">
        <v>1923</v>
      </c>
      <c r="B4" s="2291"/>
      <c r="C4" s="2291"/>
      <c r="D4" s="2291"/>
      <c r="E4" s="2291"/>
      <c r="F4" s="2291"/>
      <c r="G4" s="2292"/>
    </row>
    <row r="5" spans="1:7" x14ac:dyDescent="0.25">
      <c r="A5" s="2293"/>
      <c r="B5" s="2294"/>
      <c r="C5" s="2294"/>
      <c r="D5" s="2294"/>
      <c r="E5" s="2294"/>
      <c r="F5" s="2294"/>
      <c r="G5" s="2295"/>
    </row>
    <row r="6" spans="1:7" ht="18.75" x14ac:dyDescent="0.25">
      <c r="A6" s="1555" t="s">
        <v>1924</v>
      </c>
      <c r="B6" s="1556"/>
      <c r="C6" s="1556"/>
      <c r="D6" s="1556"/>
      <c r="E6" s="1556"/>
      <c r="F6" s="1556"/>
      <c r="G6" s="1557"/>
    </row>
    <row r="7" spans="1:7" ht="30.75" customHeight="1" x14ac:dyDescent="0.25">
      <c r="A7" s="2296" t="s">
        <v>2073</v>
      </c>
      <c r="B7" s="2297"/>
      <c r="C7" s="2297"/>
      <c r="D7" s="2297"/>
      <c r="E7" s="2297"/>
      <c r="F7" s="2297"/>
      <c r="G7" s="2298"/>
    </row>
    <row r="8" spans="1:7" ht="15.75" customHeight="1" x14ac:dyDescent="0.25">
      <c r="A8" s="2299" t="s">
        <v>2022</v>
      </c>
      <c r="B8" s="2300"/>
      <c r="C8" s="2300"/>
      <c r="D8" s="2300"/>
      <c r="E8" s="2300"/>
      <c r="F8" s="2300"/>
      <c r="G8" s="2301"/>
    </row>
    <row r="9" spans="1:7" ht="35.25" customHeight="1" x14ac:dyDescent="0.25">
      <c r="A9" s="2296" t="s">
        <v>2021</v>
      </c>
      <c r="B9" s="2297"/>
      <c r="C9" s="2297"/>
      <c r="D9" s="2297"/>
      <c r="E9" s="2297"/>
      <c r="F9" s="2297"/>
      <c r="G9" s="2298"/>
    </row>
    <row r="10" spans="1:7" ht="15" customHeight="1" x14ac:dyDescent="0.25">
      <c r="A10" s="1558" t="s">
        <v>1925</v>
      </c>
      <c r="B10" s="1559"/>
      <c r="C10" s="1559"/>
      <c r="D10" s="1559"/>
      <c r="E10" s="1559"/>
      <c r="F10" s="1559"/>
      <c r="G10" s="1560"/>
    </row>
    <row r="11" spans="1:7" ht="17.25" customHeight="1" x14ac:dyDescent="0.25">
      <c r="A11" s="2296" t="s">
        <v>1939</v>
      </c>
      <c r="B11" s="2297"/>
      <c r="C11" s="2297"/>
      <c r="D11" s="2297"/>
      <c r="E11" s="2297"/>
      <c r="F11" s="2297"/>
      <c r="G11" s="2298"/>
    </row>
    <row r="12" spans="1:7" ht="15" customHeight="1" x14ac:dyDescent="0.25">
      <c r="A12" s="1558" t="s">
        <v>1930</v>
      </c>
      <c r="B12" s="1559"/>
      <c r="C12" s="1559"/>
      <c r="D12" s="1559"/>
      <c r="E12" s="1559"/>
      <c r="F12" s="1559"/>
      <c r="G12" s="1560"/>
    </row>
    <row r="13" spans="1:7" ht="32.25" customHeight="1" x14ac:dyDescent="0.25">
      <c r="A13" s="2287" t="s">
        <v>1931</v>
      </c>
      <c r="B13" s="2288"/>
      <c r="C13" s="2288"/>
      <c r="D13" s="2288"/>
      <c r="E13" s="2288"/>
      <c r="F13" s="2288"/>
      <c r="G13" s="2289"/>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8" t="s">
        <v>2224</v>
      </c>
      <c r="B17" s="1959" t="s">
        <v>2232</v>
      </c>
      <c r="C17" s="1960" t="s">
        <v>2225</v>
      </c>
      <c r="D17" s="1866">
        <v>82080</v>
      </c>
      <c r="E17" s="1561">
        <f t="shared" ref="E17:E141" si="1">IF(D17&lt;=25000,D17,IF(D17&gt;25000,25000,0))</f>
        <v>25000</v>
      </c>
      <c r="F17" s="1814">
        <f t="shared" si="0"/>
        <v>25000</v>
      </c>
      <c r="G17" s="1815">
        <f>IF(F17=0,0,D17-F17)</f>
        <v>57080</v>
      </c>
      <c r="H17" s="1668"/>
    </row>
    <row r="18" spans="1:8" x14ac:dyDescent="0.25">
      <c r="A18" s="1958" t="s">
        <v>2224</v>
      </c>
      <c r="B18" s="1959" t="s">
        <v>2232</v>
      </c>
      <c r="C18" s="1960" t="s">
        <v>2226</v>
      </c>
      <c r="D18" s="1866">
        <v>114934</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89934</v>
      </c>
    </row>
    <row r="19" spans="1:8" x14ac:dyDescent="0.25">
      <c r="A19" s="1958" t="s">
        <v>2224</v>
      </c>
      <c r="B19" s="1959" t="s">
        <v>2232</v>
      </c>
      <c r="C19" s="1960" t="s">
        <v>2227</v>
      </c>
      <c r="D19" s="1866">
        <v>27000</v>
      </c>
      <c r="E19" s="1561">
        <f t="shared" si="2"/>
        <v>25000</v>
      </c>
      <c r="F19" s="1814">
        <f t="shared" si="3"/>
        <v>25000</v>
      </c>
      <c r="G19" s="1815">
        <f t="shared" si="4"/>
        <v>2000</v>
      </c>
    </row>
    <row r="20" spans="1:8" x14ac:dyDescent="0.25">
      <c r="A20" s="1958" t="s">
        <v>2228</v>
      </c>
      <c r="B20" s="1959" t="s">
        <v>2233</v>
      </c>
      <c r="C20" s="1960" t="s">
        <v>2084</v>
      </c>
      <c r="D20" s="1866">
        <v>29550</v>
      </c>
      <c r="E20" s="1561">
        <f t="shared" si="2"/>
        <v>25000</v>
      </c>
      <c r="F20" s="1814">
        <f t="shared" si="3"/>
        <v>25000</v>
      </c>
      <c r="G20" s="1815">
        <f t="shared" si="4"/>
        <v>4550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958"/>
      <c r="B37" s="1959"/>
      <c r="C37" s="1960"/>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253564</v>
      </c>
      <c r="E141" s="1562">
        <f t="shared" si="1"/>
        <v>25000</v>
      </c>
      <c r="F141" s="1816">
        <f>SUM(F17:F140)</f>
        <v>100000</v>
      </c>
      <c r="G141" s="1817">
        <f>SUM(G17:G140)</f>
        <v>153564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K40" sqref="K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48540</v>
      </c>
      <c r="F8" s="975"/>
      <c r="G8" s="976"/>
      <c r="H8" s="162"/>
      <c r="I8" s="162"/>
    </row>
    <row r="9" spans="1:9" s="669" customFormat="1" ht="12" customHeight="1" x14ac:dyDescent="0.2">
      <c r="A9" s="971" t="s">
        <v>132</v>
      </c>
      <c r="B9" s="972"/>
      <c r="C9" s="972"/>
      <c r="D9" s="973"/>
      <c r="E9" s="974">
        <v>106179</v>
      </c>
      <c r="F9" s="975"/>
      <c r="G9" s="976"/>
      <c r="H9" s="162"/>
      <c r="I9" s="162"/>
    </row>
    <row r="10" spans="1:9" s="669" customFormat="1" ht="12" customHeight="1" x14ac:dyDescent="0.2">
      <c r="A10" s="971" t="s">
        <v>2074</v>
      </c>
      <c r="B10" s="972"/>
      <c r="C10" s="977"/>
      <c r="D10" s="973"/>
      <c r="E10" s="974">
        <v>81662</v>
      </c>
      <c r="F10" s="975"/>
      <c r="G10" s="976"/>
      <c r="H10" s="162"/>
      <c r="I10" s="162"/>
    </row>
    <row r="11" spans="1:9" s="669" customFormat="1" ht="22.5" customHeight="1" x14ac:dyDescent="0.2">
      <c r="A11" s="2307" t="s">
        <v>1943</v>
      </c>
      <c r="B11" s="2308"/>
      <c r="C11" s="2308"/>
      <c r="D11" s="2309"/>
      <c r="E11" s="978">
        <v>102296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10456832</v>
      </c>
      <c r="F19" s="1821"/>
      <c r="G19" s="1823">
        <f>'Expenditures 15-22'!K33-SUM('Expenditures 15-22'!G33,'Expenditures 15-22'!I33)+'Expenditures 15-22'!D229</f>
        <v>10456832</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837202</v>
      </c>
      <c r="F21" s="1824"/>
      <c r="G21" s="1827">
        <f>'Expenditures 15-22'!K42-SUM('Expenditures 15-22'!G42,'Expenditures 15-22'!I42)+'Expenditures 15-22'!K120-SUM('Expenditures 15-22'!G120,'Expenditures 15-22'!I120)+'Expenditures 15-22'!K180-SUM('Expenditures 15-22'!G180,'Expenditures 15-22'!I180)+'Expenditures 15-22'!D238</f>
        <v>837202</v>
      </c>
      <c r="H21" s="988"/>
      <c r="I21" s="162"/>
    </row>
    <row r="22" spans="1:9" s="669" customFormat="1" ht="12" customHeight="1" x14ac:dyDescent="0.2">
      <c r="A22" s="995" t="s">
        <v>585</v>
      </c>
      <c r="B22" s="996"/>
      <c r="C22" s="994">
        <v>2200</v>
      </c>
      <c r="D22" s="1824"/>
      <c r="E22" s="1826">
        <f>'Expenditures 15-22'!K47-SUM('Expenditures 15-22'!G47,'Expenditures 15-22'!I47)+'Expenditures 15-22'!D243</f>
        <v>463235</v>
      </c>
      <c r="F22" s="1824"/>
      <c r="G22" s="1827">
        <f>'Expenditures 15-22'!K47-SUM('Expenditures 15-22'!G47,'Expenditures 15-22'!I47)+'Expenditures 15-22'!D243</f>
        <v>463235</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1008842</v>
      </c>
      <c r="F23" s="1824"/>
      <c r="G23" s="1826">
        <f>'Expenditures 15-22'!K53-SUM('Expenditures 15-22'!G53,'Expenditures 15-22'!I53)+'Expenditures 15-22'!D257+'Expenditures 15-22'!K330-SUM('Expenditures 15-22'!G330,'Expenditures 15-22'!I330)</f>
        <v>1008842</v>
      </c>
      <c r="H23" s="988"/>
      <c r="I23" s="162"/>
    </row>
    <row r="24" spans="1:9" s="669" customFormat="1" ht="12" customHeight="1" x14ac:dyDescent="0.2">
      <c r="A24" s="995" t="s">
        <v>587</v>
      </c>
      <c r="B24" s="996"/>
      <c r="C24" s="994">
        <v>2400</v>
      </c>
      <c r="D24" s="1824"/>
      <c r="E24" s="1826">
        <f>'Expenditures 15-22'!K57-SUM('Expenditures 15-22'!G57,'Expenditures 15-22'!I57)+'Expenditures 15-22'!D261</f>
        <v>981917</v>
      </c>
      <c r="F24" s="1824"/>
      <c r="G24" s="1827">
        <f>'Expenditures 15-22'!K57-SUM('Expenditures 15-22'!G57,'Expenditures 15-22'!I57)+'Expenditures 15-22'!D261</f>
        <v>981917</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197907</v>
      </c>
      <c r="E27" s="1826">
        <f>E8</f>
        <v>48540</v>
      </c>
      <c r="F27" s="1826">
        <f>'Expenditures 15-22'!K60-SUM('Expenditures 15-22'!G60,'Expenditures 15-22'!I60)+'Expenditures 15-22'!D264-E8</f>
        <v>197907</v>
      </c>
      <c r="G27" s="1827">
        <f>E8</f>
        <v>48540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1655906</v>
      </c>
      <c r="F28" s="1828">
        <f>'Expenditures 15-22'!K61-SUM('Expenditures 15-22'!G61,'Expenditures 15-22'!I61)+'Expenditures 15-22'!K124-SUM('Expenditures 15-22'!G124,'Expenditures 15-22'!I124)+'Expenditures 15-22'!D266-E9</f>
        <v>1549727</v>
      </c>
      <c r="G28" s="1827">
        <f>E9</f>
        <v>106179</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1364010</v>
      </c>
      <c r="F29" s="1824"/>
      <c r="G29" s="1827">
        <f>'Expenditures 15-22'!K62-SUM('Expenditures 15-22'!G62,'Expenditures 15-22'!I62)+'Expenditures 15-22'!K125-SUM('Expenditures 15-22'!G125,'Expenditures 15-22'!I125)+'Expenditures 15-22'!K182-SUM('Expenditures 15-22'!G182,'Expenditures 15-22'!I182)+'Expenditures 15-22'!D267</f>
        <v>1364010</v>
      </c>
      <c r="H29" s="986"/>
    </row>
    <row r="30" spans="1:9" ht="12" customHeight="1" x14ac:dyDescent="0.2">
      <c r="A30" s="995" t="s">
        <v>102</v>
      </c>
      <c r="B30" s="998"/>
      <c r="C30" s="994">
        <v>2560</v>
      </c>
      <c r="D30" s="1824"/>
      <c r="E30" s="1826">
        <f>'Expenditures 15-22'!K63-SUM('Expenditures 15-22'!G63,'Expenditures 15-22'!I63)+'Expenditures 15-22'!D268-E10</f>
        <v>1351319</v>
      </c>
      <c r="F30" s="1824"/>
      <c r="G30" s="1826">
        <f>'Expenditures 15-22'!K63-SUM('Expenditures 15-22'!G63,'Expenditures 15-22'!I63)+'Expenditures 15-22'!D268-E10</f>
        <v>1351319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38025</v>
      </c>
      <c r="F34" s="1824"/>
      <c r="G34" s="1826">
        <f>'Expenditures 15-22'!K68-SUM('Expenditures 15-22'!G68,'Expenditures 15-22'!I68)+'Expenditures 15-22'!D273</f>
        <v>38025</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87369</v>
      </c>
      <c r="F38" s="1824"/>
      <c r="G38" s="1826">
        <f>'Expenditures 15-22'!K73-SUM('Expenditures 15-22'!G73,'Expenditures 15-22'!I73)+'Expenditures 15-22'!K128-SUM('Expenditures 15-22'!G128,'Expenditures 15-22'!I128)+'Expenditures 15-22'!K183-SUM('Expenditures 15-22'!G183,'Expenditures 15-22'!I183)+'Expenditures 15-22'!D278</f>
        <v>87369</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285127</v>
      </c>
      <c r="F39" s="1824"/>
      <c r="G39" s="1826">
        <f>'Expenditures 15-22'!K75-SUM('Expenditures 15-22'!G75,'Expenditures 15-22'!I75)+'Expenditures 15-22'!K130-SUM('Expenditures 15-22'!G130,'Expenditures 15-22'!I130)+'Expenditures 15-22'!K185-SUM('Expenditures 15-22'!G185,'Expenditures 15-22'!I185)+'Expenditures 15-22'!D280</f>
        <v>285127</v>
      </c>
    </row>
    <row r="40" spans="1:7" ht="12" customHeight="1" x14ac:dyDescent="0.2">
      <c r="A40" s="991" t="s">
        <v>1928</v>
      </c>
      <c r="B40" s="992"/>
      <c r="C40" s="994"/>
      <c r="D40" s="1824"/>
      <c r="E40" s="1828">
        <f>-'Contracts Paid in CY 29'!G141</f>
        <v>-153564</v>
      </c>
      <c r="F40" s="1824"/>
      <c r="G40" s="1828">
        <f>-'Contracts Paid in CY 29'!G141</f>
        <v>-153564</v>
      </c>
    </row>
    <row r="41" spans="1:7" ht="12" customHeight="1" x14ac:dyDescent="0.2">
      <c r="A41" s="999" t="s">
        <v>158</v>
      </c>
      <c r="B41" s="1000"/>
      <c r="C41" s="1001"/>
      <c r="D41" s="1828">
        <f>SUM(D19:D39)</f>
        <v>197907</v>
      </c>
      <c r="E41" s="1828">
        <f>SUM(E19:E40)</f>
        <v>18424760</v>
      </c>
      <c r="F41" s="1828">
        <f>SUM(F19:F39)</f>
        <v>1747634</v>
      </c>
      <c r="G41" s="1828">
        <f>SUM(G19:G40)</f>
        <v>16875033</v>
      </c>
    </row>
    <row r="42" spans="1:7" x14ac:dyDescent="0.2">
      <c r="A42" s="988"/>
      <c r="B42" s="162"/>
      <c r="C42" s="1002"/>
      <c r="D42" s="2305" t="s">
        <v>543</v>
      </c>
      <c r="E42" s="2306"/>
      <c r="F42" s="1003" t="s">
        <v>544</v>
      </c>
      <c r="G42" s="1004"/>
    </row>
    <row r="43" spans="1:7" ht="12" customHeight="1" x14ac:dyDescent="0.2">
      <c r="A43" s="988"/>
      <c r="B43" s="162"/>
      <c r="C43" s="1002"/>
      <c r="D43" s="1829" t="s">
        <v>493</v>
      </c>
      <c r="E43" s="1830">
        <f>D41</f>
        <v>197907</v>
      </c>
      <c r="F43" s="1829" t="s">
        <v>495</v>
      </c>
      <c r="G43" s="1830">
        <f>F41</f>
        <v>1747634</v>
      </c>
    </row>
    <row r="44" spans="1:7" ht="12" customHeight="1" x14ac:dyDescent="0.2">
      <c r="A44" s="988"/>
      <c r="B44" s="162"/>
      <c r="C44" s="1002"/>
      <c r="D44" s="1829" t="s">
        <v>494</v>
      </c>
      <c r="E44" s="1830">
        <f>E41</f>
        <v>18424760</v>
      </c>
      <c r="F44" s="1829" t="s">
        <v>494</v>
      </c>
      <c r="G44" s="1830">
        <f>G41</f>
        <v>16875033</v>
      </c>
    </row>
    <row r="45" spans="1:7" ht="12" customHeight="1" x14ac:dyDescent="0.2">
      <c r="A45" s="988"/>
      <c r="B45" s="162"/>
      <c r="C45" s="162"/>
      <c r="D45" s="1831" t="s">
        <v>1063</v>
      </c>
      <c r="E45" s="1832">
        <f>(E43/E44)</f>
        <v>1.0741361081501198E-2</v>
      </c>
      <c r="F45" s="1831" t="s">
        <v>1063</v>
      </c>
      <c r="G45" s="1832">
        <f>(G43/G44)</f>
        <v>0.10356329377252181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18" sqref="F18"/>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3" t="s">
        <v>1446</v>
      </c>
      <c r="B1" s="2313"/>
      <c r="C1" s="2313"/>
      <c r="D1" s="2313"/>
      <c r="E1" s="2313"/>
      <c r="F1" s="2313"/>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4" t="s">
        <v>1627</v>
      </c>
      <c r="B5" s="2315"/>
      <c r="C5" s="2316"/>
      <c r="D5" s="2316"/>
      <c r="E5" s="2316"/>
      <c r="F5" s="2316"/>
    </row>
    <row r="6" spans="1:10" ht="12" customHeight="1" x14ac:dyDescent="0.25">
      <c r="A6" s="1874"/>
      <c r="B6" s="1875"/>
      <c r="C6" s="2317" t="str">
        <f>COVER!A17</f>
        <v>Mout Vernon SD 80</v>
      </c>
      <c r="D6" s="2317"/>
      <c r="E6" s="2317"/>
      <c r="F6" s="1876"/>
    </row>
    <row r="7" spans="1:10" ht="11.25" customHeight="1" thickBot="1" x14ac:dyDescent="0.3">
      <c r="A7" s="1874"/>
      <c r="B7" s="1875"/>
      <c r="C7" s="2318">
        <f>COVER!A13</f>
        <v>13041080002</v>
      </c>
      <c r="D7" s="2318"/>
      <c r="E7" s="2318"/>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2075</v>
      </c>
      <c r="D13" s="1889" t="s">
        <v>2075</v>
      </c>
      <c r="E13" s="1892"/>
      <c r="F13" s="1891" t="s">
        <v>2124</v>
      </c>
      <c r="H13" s="1902">
        <f t="shared" si="0"/>
        <v>5</v>
      </c>
      <c r="I13" s="1902">
        <f t="shared" si="1"/>
        <v>5</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t="s">
        <v>2075</v>
      </c>
      <c r="D21" s="1889"/>
      <c r="E21" s="1892" t="s">
        <v>2075</v>
      </c>
      <c r="F21" s="1891" t="s">
        <v>2125</v>
      </c>
      <c r="H21" s="1902">
        <f t="shared" si="0"/>
        <v>5</v>
      </c>
      <c r="I21" s="1902">
        <f t="shared" si="1"/>
        <v>0</v>
      </c>
      <c r="J21" s="1902">
        <f t="shared" si="2"/>
        <v>5</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2075</v>
      </c>
      <c r="D25" s="1889" t="s">
        <v>2075</v>
      </c>
      <c r="E25" s="1892" t="s">
        <v>2075</v>
      </c>
      <c r="F25" s="1891" t="s">
        <v>2126</v>
      </c>
      <c r="H25" s="1902">
        <f t="shared" si="0"/>
        <v>5</v>
      </c>
      <c r="I25" s="1902">
        <f t="shared" si="1"/>
        <v>5</v>
      </c>
      <c r="J25" s="1902">
        <f t="shared" si="2"/>
        <v>5</v>
      </c>
    </row>
    <row r="26" spans="1:12" ht="12" customHeight="1" x14ac:dyDescent="0.2">
      <c r="A26" s="1887" t="s">
        <v>1615</v>
      </c>
      <c r="B26" s="1888"/>
      <c r="C26" s="1889" t="s">
        <v>2075</v>
      </c>
      <c r="D26" s="1889" t="s">
        <v>2075</v>
      </c>
      <c r="E26" s="1892" t="s">
        <v>2075</v>
      </c>
      <c r="F26" s="1891" t="s">
        <v>2127</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2075</v>
      </c>
      <c r="D28" s="1889" t="s">
        <v>2075</v>
      </c>
      <c r="E28" s="1892" t="s">
        <v>2075</v>
      </c>
      <c r="F28" s="1891" t="s">
        <v>2128</v>
      </c>
      <c r="H28" s="1902">
        <f t="shared" si="0"/>
        <v>5</v>
      </c>
      <c r="I28" s="1902">
        <f t="shared" si="1"/>
        <v>5</v>
      </c>
      <c r="J28" s="1902">
        <f t="shared" si="2"/>
        <v>5</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2075</v>
      </c>
      <c r="D30" s="1889"/>
      <c r="E30" s="1892"/>
      <c r="F30" s="1891" t="s">
        <v>2129</v>
      </c>
      <c r="H30" s="1902">
        <f t="shared" si="0"/>
        <v>5</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30</v>
      </c>
      <c r="I34" s="1902">
        <f>SUM(I11:I32)</f>
        <v>20</v>
      </c>
      <c r="J34" s="1902">
        <f>SUM(J11:J32)</f>
        <v>20</v>
      </c>
      <c r="K34" s="1902">
        <f>SUM(H34:J34)</f>
        <v>70</v>
      </c>
    </row>
    <row r="35" spans="1:11" ht="12" customHeight="1" x14ac:dyDescent="0.2">
      <c r="A35" s="1895" t="s">
        <v>1459</v>
      </c>
      <c r="B35" s="1896"/>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7"/>
      <c r="B39" s="1897"/>
      <c r="C39" s="1897"/>
      <c r="D39" s="1897"/>
      <c r="E39" s="1897"/>
      <c r="F39" s="1897"/>
    </row>
    <row r="40" spans="1:11" s="1894" customFormat="1" ht="12" customHeight="1" x14ac:dyDescent="0.25">
      <c r="A40" s="1898" t="s">
        <v>1458</v>
      </c>
      <c r="B40" s="1899"/>
      <c r="C40" s="2327"/>
      <c r="D40" s="2327"/>
      <c r="E40" s="2327"/>
      <c r="F40" s="2328"/>
      <c r="H40" s="1903"/>
      <c r="I40" s="1903"/>
      <c r="J40" s="1903"/>
      <c r="K40" s="1903"/>
    </row>
    <row r="41" spans="1:11" s="1894" customFormat="1" ht="12" customHeight="1" x14ac:dyDescent="0.25">
      <c r="A41" s="2329"/>
      <c r="B41" s="2330"/>
      <c r="C41" s="2330"/>
      <c r="D41" s="2330"/>
      <c r="E41" s="2330"/>
      <c r="F41" s="2331"/>
      <c r="H41" s="1903"/>
      <c r="I41" s="1903"/>
      <c r="J41" s="1903"/>
      <c r="K41" s="1903"/>
    </row>
    <row r="42" spans="1:11" s="1894" customFormat="1" ht="12" customHeight="1" x14ac:dyDescent="0.25">
      <c r="A42" s="2329"/>
      <c r="B42" s="2330"/>
      <c r="C42" s="2330"/>
      <c r="D42" s="2330"/>
      <c r="E42" s="2330"/>
      <c r="F42" s="2331"/>
      <c r="H42" s="1903"/>
      <c r="I42" s="1903"/>
      <c r="J42" s="1903"/>
      <c r="K42" s="1903"/>
    </row>
    <row r="43" spans="1:11" s="1894" customFormat="1" ht="15" x14ac:dyDescent="0.25">
      <c r="A43" s="2321"/>
      <c r="B43" s="2322"/>
      <c r="C43" s="2322"/>
      <c r="D43" s="2322"/>
      <c r="E43" s="2322"/>
      <c r="F43" s="2323"/>
      <c r="H43" s="1903"/>
      <c r="I43" s="1903"/>
      <c r="J43" s="1903"/>
      <c r="K43" s="1903"/>
    </row>
    <row r="44" spans="1:11" s="1894" customFormat="1" ht="12" hidden="1" customHeight="1" x14ac:dyDescent="0.25">
      <c r="A44" s="2321"/>
      <c r="B44" s="2322"/>
      <c r="C44" s="2322"/>
      <c r="D44" s="2322"/>
      <c r="E44" s="2322"/>
      <c r="F44" s="232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5"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37" t="str">
        <f>COVER!A17</f>
        <v>Mout Vernon SD 80</v>
      </c>
      <c r="J6" s="2338"/>
      <c r="Q6" s="1685"/>
    </row>
    <row r="7" spans="1:17" x14ac:dyDescent="0.2">
      <c r="A7" s="2339" t="s">
        <v>924</v>
      </c>
      <c r="B7" s="2340"/>
      <c r="C7" s="2340"/>
      <c r="D7" s="2340"/>
      <c r="E7" s="2341"/>
      <c r="F7" s="1018"/>
      <c r="G7" s="1010"/>
      <c r="H7" s="1017" t="s">
        <v>390</v>
      </c>
      <c r="I7" s="2342">
        <f>COVER!A13</f>
        <v>13041080002</v>
      </c>
      <c r="J7" s="2342"/>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403432</v>
      </c>
      <c r="F12" s="1040"/>
      <c r="G12" s="1833">
        <f t="shared" ref="G12:G18" si="0">SUM(E12:F12)</f>
        <v>403432</v>
      </c>
      <c r="H12" s="1041">
        <v>384297</v>
      </c>
      <c r="I12" s="1040"/>
      <c r="J12" s="1833">
        <f t="shared" ref="J12:J18" si="1">SUM(H12:I12)</f>
        <v>384297</v>
      </c>
    </row>
    <row r="13" spans="1:17" ht="15" customHeight="1" x14ac:dyDescent="0.2">
      <c r="A13" s="1036">
        <v>2</v>
      </c>
      <c r="B13" s="1037" t="s">
        <v>44</v>
      </c>
      <c r="C13" s="1038"/>
      <c r="D13" s="1039">
        <v>2330</v>
      </c>
      <c r="E13" s="1833">
        <f>'Expenditures 15-22'!K51</f>
        <v>103349</v>
      </c>
      <c r="F13" s="1040"/>
      <c r="G13" s="1833">
        <f t="shared" si="0"/>
        <v>103349</v>
      </c>
      <c r="H13" s="1041">
        <v>136792</v>
      </c>
      <c r="I13" s="1040"/>
      <c r="J13" s="1833">
        <f t="shared" si="1"/>
        <v>136792</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6" t="s">
        <v>7</v>
      </c>
      <c r="C18" s="2347"/>
      <c r="D18" s="234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506781</v>
      </c>
      <c r="F19" s="1835">
        <f t="shared" si="2"/>
        <v>0</v>
      </c>
      <c r="G19" s="1835">
        <f t="shared" si="2"/>
        <v>506781</v>
      </c>
      <c r="H19" s="1835">
        <f t="shared" si="2"/>
        <v>521089</v>
      </c>
      <c r="I19" s="1835">
        <f t="shared" si="2"/>
        <v>0</v>
      </c>
      <c r="J19" s="1835">
        <f t="shared" si="2"/>
        <v>521089</v>
      </c>
    </row>
    <row r="20" spans="1:10" ht="13.5" thickTop="1" x14ac:dyDescent="0.2">
      <c r="A20" s="1036">
        <v>9</v>
      </c>
      <c r="B20" s="2349" t="s">
        <v>1703</v>
      </c>
      <c r="C20" s="2349"/>
      <c r="D20" s="2350"/>
      <c r="E20" s="1047"/>
      <c r="F20" s="1047"/>
      <c r="G20" s="1047"/>
      <c r="H20" s="1047"/>
      <c r="I20" s="1047"/>
      <c r="J20" s="1836">
        <f>IF(AND(G19&gt;0,J19&gt;0),(((J19-G19)/G19)),"Enter Budget Data")</f>
        <v>2.8233102661701998E-2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1942</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v>2</v>
      </c>
      <c r="B6" s="329" t="s">
        <v>2113</v>
      </c>
    </row>
    <row r="7" spans="1:2" ht="11.25" customHeight="1" x14ac:dyDescent="0.2">
      <c r="A7" s="1069">
        <v>3</v>
      </c>
      <c r="B7" s="329" t="s">
        <v>2123</v>
      </c>
    </row>
    <row r="8" spans="1:2" x14ac:dyDescent="0.2">
      <c r="B8" s="329" t="s">
        <v>2122</v>
      </c>
    </row>
    <row r="9" spans="1:2" x14ac:dyDescent="0.2">
      <c r="A9" s="1069">
        <v>4</v>
      </c>
      <c r="B9" s="329" t="s">
        <v>2109</v>
      </c>
    </row>
    <row r="10" spans="1:2" x14ac:dyDescent="0.2">
      <c r="A10" s="1070">
        <v>5</v>
      </c>
      <c r="B10" s="329" t="s">
        <v>2112</v>
      </c>
    </row>
    <row r="11" spans="1:2" x14ac:dyDescent="0.2">
      <c r="A11" s="1070">
        <v>6</v>
      </c>
      <c r="B11" s="1955" t="s">
        <v>2110</v>
      </c>
    </row>
    <row r="12" spans="1:2" x14ac:dyDescent="0.2">
      <c r="A12" s="1070">
        <v>7</v>
      </c>
      <c r="B12" s="329" t="s">
        <v>2111</v>
      </c>
    </row>
    <row r="15" spans="1:2" x14ac:dyDescent="0.2">
      <c r="A15" s="1070">
        <v>8</v>
      </c>
      <c r="B15" s="1070" t="s">
        <v>2121</v>
      </c>
    </row>
    <row r="16" spans="1:2" x14ac:dyDescent="0.2">
      <c r="B16" s="329" t="s">
        <v>2120</v>
      </c>
    </row>
    <row r="17" spans="1:2" x14ac:dyDescent="0.2">
      <c r="A17" s="1070">
        <v>9</v>
      </c>
      <c r="B17" s="329" t="s">
        <v>2115</v>
      </c>
    </row>
    <row r="18" spans="1:2" x14ac:dyDescent="0.2">
      <c r="A18" s="1070">
        <v>10</v>
      </c>
      <c r="B18" s="329" t="s">
        <v>2116</v>
      </c>
    </row>
    <row r="19" spans="1:2" x14ac:dyDescent="0.2">
      <c r="A19" s="1070">
        <v>11</v>
      </c>
      <c r="B19" s="329" t="s">
        <v>2117</v>
      </c>
    </row>
    <row r="20" spans="1:2" x14ac:dyDescent="0.2">
      <c r="A20" s="1070">
        <v>12</v>
      </c>
      <c r="B20" s="329" t="s">
        <v>2118</v>
      </c>
    </row>
    <row r="21" spans="1:2" x14ac:dyDescent="0.2">
      <c r="A21" s="1070">
        <v>13</v>
      </c>
      <c r="B21" s="329" t="s">
        <v>2119</v>
      </c>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Mout Vernon SD 80</v>
      </c>
    </row>
    <row r="65" spans="2:2" x14ac:dyDescent="0.2">
      <c r="B65" s="1071">
        <f>COVER!A13</f>
        <v>13041080002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H81" sqref="H8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8" t="s">
        <v>1709</v>
      </c>
    </row>
    <row r="23" spans="1:5" x14ac:dyDescent="0.2">
      <c r="A23" s="168"/>
      <c r="B23" s="162" t="s">
        <v>1967</v>
      </c>
      <c r="D23" s="167" t="s">
        <v>658</v>
      </c>
      <c r="E23" s="1858"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35847" r:id="rId4">
          <objectPr defaultSize="0" r:id="rId5">
            <anchor moveWithCells="1">
              <from>
                <xdr:col>1</xdr:col>
                <xdr:colOff>38100</xdr:colOff>
                <xdr:row>0</xdr:row>
                <xdr:rowOff>76200</xdr:rowOff>
              </from>
              <to>
                <xdr:col>1</xdr:col>
                <xdr:colOff>952500</xdr:colOff>
                <xdr:row>4</xdr:row>
                <xdr:rowOff>114300</xdr:rowOff>
              </to>
            </anchor>
          </objectPr>
        </oleObject>
      </mc:Choice>
      <mc:Fallback>
        <oleObject progId="AcroExch.Document.11" dvAspect="DVASPECT_ICON" shapeId="35847" r:id="rId4"/>
      </mc:Fallback>
    </mc:AlternateContent>
    <mc:AlternateContent xmlns:mc="http://schemas.openxmlformats.org/markup-compatibility/2006">
      <mc:Choice Requires="x14">
        <oleObject progId="AcroExch.Document.11" dvAspect="DVASPECT_ICON" shapeId="35848" r:id="rId6">
          <objectPr defaultSize="0" r:id="rId7">
            <anchor moveWithCells="1">
              <from>
                <xdr:col>1</xdr:col>
                <xdr:colOff>38100</xdr:colOff>
                <xdr:row>6</xdr:row>
                <xdr:rowOff>47625</xdr:rowOff>
              </from>
              <to>
                <xdr:col>1</xdr:col>
                <xdr:colOff>952500</xdr:colOff>
                <xdr:row>10</xdr:row>
                <xdr:rowOff>85725</xdr:rowOff>
              </to>
            </anchor>
          </objectPr>
        </oleObject>
      </mc:Choice>
      <mc:Fallback>
        <oleObject progId="AcroExch.Document.11" dvAspect="DVASPECT_ICON" shapeId="35848" r:id="rId6"/>
      </mc:Fallback>
    </mc:AlternateContent>
    <mc:AlternateContent xmlns:mc="http://schemas.openxmlformats.org/markup-compatibility/2006">
      <mc:Choice Requires="x14">
        <oleObject progId="AcroExch.Document.11" dvAspect="DVASPECT_ICON" shapeId="35849" r:id="rId8">
          <objectPr defaultSize="0" r:id="rId9">
            <anchor moveWithCells="1">
              <from>
                <xdr:col>1</xdr:col>
                <xdr:colOff>1323975</xdr:colOff>
                <xdr:row>6</xdr:row>
                <xdr:rowOff>104775</xdr:rowOff>
              </from>
              <to>
                <xdr:col>1</xdr:col>
                <xdr:colOff>2238375</xdr:colOff>
                <xdr:row>10</xdr:row>
                <xdr:rowOff>142875</xdr:rowOff>
              </to>
            </anchor>
          </objectPr>
        </oleObject>
      </mc:Choice>
      <mc:Fallback>
        <oleObject progId="AcroExch.Document.11" dvAspect="DVASPECT_ICON" shapeId="3584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2054</v>
      </c>
      <c r="B4" s="2377"/>
      <c r="C4" s="2377"/>
      <c r="D4" s="2377"/>
      <c r="E4" s="2377"/>
      <c r="F4" s="2378"/>
      <c r="G4" s="1075"/>
      <c r="H4" s="1075"/>
    </row>
    <row r="5" spans="1:8" ht="14.25" customHeight="1" x14ac:dyDescent="0.2">
      <c r="A5" s="2379" t="s">
        <v>2055</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17950829</v>
      </c>
      <c r="C8" s="1837">
        <f>'Acct Summary 7-8'!D8</f>
        <v>1098231</v>
      </c>
      <c r="D8" s="1837">
        <f>'Acct Summary 7-8'!F8</f>
        <v>1663654</v>
      </c>
      <c r="E8" s="1837">
        <f>'Acct Summary 7-8'!I8</f>
        <v>100018</v>
      </c>
      <c r="F8" s="1837">
        <f>SUM(B8:E8)</f>
        <v>20812732</v>
      </c>
    </row>
    <row r="9" spans="1:8" s="1080" customFormat="1" ht="14.25" customHeight="1" thickBot="1" x14ac:dyDescent="0.25">
      <c r="A9" s="1079" t="s">
        <v>1436</v>
      </c>
      <c r="B9" s="1838">
        <f>'Acct Summary 7-8'!C17</f>
        <v>16551764</v>
      </c>
      <c r="C9" s="1838">
        <f>'Acct Summary 7-8'!D17</f>
        <v>1093693</v>
      </c>
      <c r="D9" s="1838">
        <f>'Acct Summary 7-8'!F17</f>
        <v>1285107</v>
      </c>
      <c r="E9" s="1837"/>
      <c r="F9" s="1837">
        <f>SUM(B9:E9)</f>
        <v>18930564</v>
      </c>
    </row>
    <row r="10" spans="1:8" s="1080" customFormat="1" ht="14.25" thickTop="1" thickBot="1" x14ac:dyDescent="0.25">
      <c r="A10" s="1081" t="s">
        <v>1437</v>
      </c>
      <c r="B10" s="1839">
        <f>(B8-B9)</f>
        <v>1399065</v>
      </c>
      <c r="C10" s="1839">
        <f>(C8-C9)</f>
        <v>4538</v>
      </c>
      <c r="D10" s="1839">
        <f>(D8-D9)</f>
        <v>378547</v>
      </c>
      <c r="E10" s="1838">
        <f>(E8-E9)</f>
        <v>100018</v>
      </c>
      <c r="F10" s="1840">
        <f>SUM(F8-F9)</f>
        <v>1882168</v>
      </c>
    </row>
    <row r="11" spans="1:8" s="1080" customFormat="1" ht="14.25" thickTop="1" thickBot="1" x14ac:dyDescent="0.25">
      <c r="A11" s="1082" t="s">
        <v>1785</v>
      </c>
      <c r="B11" s="1841">
        <f>'Acct Summary 7-8'!C81</f>
        <v>4791016</v>
      </c>
      <c r="C11" s="1841">
        <f>'Acct Summary 7-8'!D81</f>
        <v>302460</v>
      </c>
      <c r="D11" s="1841">
        <f>'Acct Summary 7-8'!F81</f>
        <v>-335267</v>
      </c>
      <c r="E11" s="1841">
        <f>'Acct Summary 7-8'!I81</f>
        <v>1465267</v>
      </c>
      <c r="F11" s="1842">
        <f>SUM(B11:E11)</f>
        <v>6223476</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13041080002</v>
      </c>
    </row>
    <row r="3" spans="1:2" x14ac:dyDescent="0.2">
      <c r="A3" t="s">
        <v>1013</v>
      </c>
      <c r="B3" s="138" t="str">
        <f>COVER!A15</f>
        <v>Jefferson County</v>
      </c>
    </row>
    <row r="4" spans="1:2" x14ac:dyDescent="0.2">
      <c r="A4" t="s">
        <v>1064</v>
      </c>
      <c r="B4" s="138" t="str">
        <f>COVER!A17</f>
        <v>Mout Vernon SD 80</v>
      </c>
    </row>
    <row r="5" spans="1:2" x14ac:dyDescent="0.2">
      <c r="A5" t="s">
        <v>728</v>
      </c>
      <c r="B5" s="138" t="str">
        <f>COVER!A38</f>
        <v>Aletta Lawrence</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f>COVER!T23</f>
        <v>65.040464</v>
      </c>
    </row>
    <row r="16" spans="1:2" x14ac:dyDescent="0.2">
      <c r="A16" t="s">
        <v>442</v>
      </c>
      <c r="B16" s="138" t="str">
        <f>COVER!T13</f>
        <v>Krehbiel &amp; Associates, LLC</v>
      </c>
    </row>
    <row r="17" spans="1:2" x14ac:dyDescent="0.2">
      <c r="A17" t="s">
        <v>939</v>
      </c>
      <c r="B17" s="138" t="str">
        <f>COVER!T15</f>
        <v>Emily Tynes, CPA</v>
      </c>
    </row>
    <row r="18" spans="1:2" x14ac:dyDescent="0.2">
      <c r="A18" t="s">
        <v>1212</v>
      </c>
      <c r="B18" s="138" t="str">
        <f>COVER!T17</f>
        <v>125 North 11th Street</v>
      </c>
    </row>
    <row r="19" spans="1:2" x14ac:dyDescent="0.2">
      <c r="A19" t="s">
        <v>941</v>
      </c>
      <c r="B19" s="138" t="str">
        <f>COVER!T25</f>
        <v>emilytynes@krehbielcpa.com</v>
      </c>
    </row>
    <row r="20" spans="1:2" x14ac:dyDescent="0.2">
      <c r="A20" t="s">
        <v>942</v>
      </c>
      <c r="B20" s="138" t="str">
        <f>COVER!T19</f>
        <v>Mount Vernon</v>
      </c>
    </row>
    <row r="21" spans="1:2" x14ac:dyDescent="0.2">
      <c r="A21" t="s">
        <v>500</v>
      </c>
      <c r="B21" s="138" t="str">
        <f>COVER!X19</f>
        <v>IL</v>
      </c>
    </row>
    <row r="22" spans="1:2" x14ac:dyDescent="0.2">
      <c r="A22" t="s">
        <v>943</v>
      </c>
      <c r="B22" s="138">
        <f>COVER!Z19</f>
        <v>62864</v>
      </c>
    </row>
    <row r="23" spans="1:2" x14ac:dyDescent="0.2">
      <c r="A23" t="s">
        <v>1214</v>
      </c>
      <c r="B23" s="138" t="str">
        <f>COVER!T21</f>
        <v>618-244-2666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36129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4939461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148445</v>
      </c>
      <c r="C91" s="2" t="s">
        <v>594</v>
      </c>
      <c r="D91" s="2" t="str">
        <f t="shared" si="0"/>
        <v>Error?</v>
      </c>
    </row>
    <row r="92" spans="1:4" x14ac:dyDescent="0.2">
      <c r="A92" s="5">
        <v>31</v>
      </c>
      <c r="B92" s="138">
        <f>'Assets-Liab 5-6'!C39</f>
        <v>4744130</v>
      </c>
      <c r="D92" s="2" t="str">
        <f t="shared" si="0"/>
        <v>Error?</v>
      </c>
    </row>
    <row r="93" spans="1:4" x14ac:dyDescent="0.2">
      <c r="A93" s="5">
        <v>32</v>
      </c>
      <c r="B93" s="138">
        <f>'Assets-Liab 5-6'!C41</f>
        <v>4939461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302460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269980</v>
      </c>
      <c r="D123" s="2" t="str">
        <f t="shared" si="0"/>
        <v>Error?</v>
      </c>
    </row>
    <row r="124" spans="1:4" x14ac:dyDescent="0.2">
      <c r="A124" s="5">
        <v>63</v>
      </c>
      <c r="B124" s="138">
        <f>'Assets-Liab 5-6'!D41</f>
        <v>302460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10320</v>
      </c>
      <c r="C139" s="2" t="s">
        <v>594</v>
      </c>
      <c r="D139" s="2" t="str">
        <f t="shared" si="1"/>
        <v>Error?</v>
      </c>
    </row>
    <row r="140" spans="1:4" x14ac:dyDescent="0.2">
      <c r="A140" s="5">
        <v>79</v>
      </c>
      <c r="B140" s="138">
        <f>'Assets-Liab 5-6'!E39</f>
        <v>-10309</v>
      </c>
      <c r="D140" s="2" t="str">
        <f t="shared" si="1"/>
        <v>Error?</v>
      </c>
    </row>
    <row r="141" spans="1:4" x14ac:dyDescent="0.2">
      <c r="A141" s="5">
        <v>80</v>
      </c>
      <c r="B141" s="138">
        <f>'Assets-Liab 5-6'!E41</f>
        <v>11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335283</v>
      </c>
      <c r="C169" s="2" t="s">
        <v>594</v>
      </c>
      <c r="D169" s="2" t="str">
        <f t="shared" si="1"/>
        <v>Error?</v>
      </c>
    </row>
    <row r="170" spans="1:4" x14ac:dyDescent="0.2">
      <c r="A170" s="5">
        <v>109</v>
      </c>
      <c r="B170" s="138">
        <f>'Assets-Liab 5-6'!F39</f>
        <v>-335267</v>
      </c>
      <c r="D170" s="2" t="str">
        <f t="shared" si="1"/>
        <v>Error?</v>
      </c>
    </row>
    <row r="171" spans="1:4" x14ac:dyDescent="0.2">
      <c r="A171" s="5">
        <v>110</v>
      </c>
      <c r="B171" s="138">
        <f>'Assets-Liab 5-6'!F41</f>
        <v>16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478773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242862</v>
      </c>
      <c r="D189" s="2" t="str">
        <f t="shared" si="1"/>
        <v>Error?</v>
      </c>
    </row>
    <row r="190" spans="1:4" x14ac:dyDescent="0.2">
      <c r="A190" s="5">
        <v>129</v>
      </c>
      <c r="B190" s="138">
        <f>'Assets-Liab 5-6'!G41</f>
        <v>478773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4112362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4112362</v>
      </c>
      <c r="D212" s="2" t="str">
        <f t="shared" si="2"/>
        <v>Error?</v>
      </c>
    </row>
    <row r="213" spans="1:4" x14ac:dyDescent="0.2">
      <c r="A213" s="12">
        <v>152</v>
      </c>
      <c r="B213" s="138">
        <f>'Assets-Liab 5-6'!H41</f>
        <v>4112362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1480769</v>
      </c>
      <c r="D273" s="2" t="str">
        <f t="shared" si="3"/>
        <v>Error?</v>
      </c>
    </row>
    <row r="274" spans="1:4" x14ac:dyDescent="0.2">
      <c r="A274" s="5">
        <v>213</v>
      </c>
      <c r="B274" s="138">
        <f>'Assets-Liab 5-6'!M17</f>
        <v>17573652</v>
      </c>
      <c r="D274" s="2" t="str">
        <f t="shared" si="3"/>
        <v>Error?</v>
      </c>
    </row>
    <row r="275" spans="1:4" x14ac:dyDescent="0.2">
      <c r="A275" s="5">
        <v>214</v>
      </c>
      <c r="B275" s="138">
        <f>'Assets-Liab 5-6'!M18</f>
        <v>335802</v>
      </c>
      <c r="D275" s="2" t="str">
        <f t="shared" si="3"/>
        <v>Error?</v>
      </c>
    </row>
    <row r="276" spans="1:4" x14ac:dyDescent="0.2">
      <c r="A276" s="5">
        <v>215</v>
      </c>
      <c r="B276" s="138">
        <f>'Assets-Liab 5-6'!M19</f>
        <v>977181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21823790</v>
      </c>
      <c r="C279" s="2" t="s">
        <v>594</v>
      </c>
      <c r="D279" s="2" t="str">
        <f t="shared" si="3"/>
        <v>Error?</v>
      </c>
    </row>
    <row r="280" spans="1:4" x14ac:dyDescent="0.2">
      <c r="A280" s="5">
        <v>219</v>
      </c>
      <c r="B280" s="138">
        <f>'Assets-Liab 5-6'!M40</f>
        <v>21823790</v>
      </c>
      <c r="D280" s="2" t="str">
        <f t="shared" si="3"/>
        <v>Error?</v>
      </c>
    </row>
    <row r="281" spans="1:4" x14ac:dyDescent="0.2">
      <c r="A281" s="5">
        <v>220</v>
      </c>
      <c r="B281" s="138">
        <f>'Assets-Liab 5-6'!M41</f>
        <v>21823790</v>
      </c>
      <c r="C281" s="2" t="s">
        <v>594</v>
      </c>
      <c r="D281" s="2" t="str">
        <f t="shared" si="3"/>
        <v>Error?</v>
      </c>
    </row>
    <row r="282" spans="1:4" x14ac:dyDescent="0.2">
      <c r="A282" s="5">
        <v>221</v>
      </c>
      <c r="B282" s="138">
        <f>'Assets-Liab 5-6'!N21</f>
        <v>11</v>
      </c>
      <c r="D282" s="2" t="str">
        <f t="shared" si="3"/>
        <v>Error?</v>
      </c>
    </row>
    <row r="283" spans="1:4" x14ac:dyDescent="0.2">
      <c r="A283" s="5">
        <v>222</v>
      </c>
      <c r="B283" s="138">
        <f>'Assets-Liab 5-6'!N22</f>
        <v>8779989</v>
      </c>
      <c r="D283" s="2" t="str">
        <f t="shared" si="3"/>
        <v>Error?</v>
      </c>
    </row>
    <row r="284" spans="1:4" x14ac:dyDescent="0.2">
      <c r="A284" s="5">
        <v>223</v>
      </c>
      <c r="B284" s="138">
        <f>'Assets-Liab 5-6'!N23</f>
        <v>8780000</v>
      </c>
      <c r="C284" s="2" t="s">
        <v>594</v>
      </c>
      <c r="D284" s="2" t="str">
        <f t="shared" si="3"/>
        <v>Error?</v>
      </c>
    </row>
    <row r="285" spans="1:4" x14ac:dyDescent="0.2">
      <c r="A285" s="5">
        <v>224</v>
      </c>
      <c r="B285" s="138">
        <f>'Assets-Liab 5-6'!N36</f>
        <v>8780000</v>
      </c>
      <c r="D285" s="2" t="str">
        <f t="shared" si="3"/>
        <v>Error?</v>
      </c>
    </row>
    <row r="286" spans="1:4" x14ac:dyDescent="0.2">
      <c r="A286" s="10">
        <v>225</v>
      </c>
      <c r="D286" s="2" t="str">
        <f t="shared" si="3"/>
        <v>OK</v>
      </c>
    </row>
    <row r="287" spans="1:4" x14ac:dyDescent="0.2">
      <c r="A287" s="5">
        <v>226</v>
      </c>
      <c r="B287" s="138">
        <f>'Assets-Liab 5-6'!N37</f>
        <v>8780000</v>
      </c>
      <c r="C287" s="2" t="s">
        <v>594</v>
      </c>
      <c r="D287" s="2" t="str">
        <f t="shared" si="3"/>
        <v>Error?</v>
      </c>
    </row>
    <row r="288" spans="1:4" x14ac:dyDescent="0.2">
      <c r="A288" s="5">
        <v>227</v>
      </c>
      <c r="B288" s="138">
        <f>'Assets-Liab 5-6'!N41</f>
        <v>8780000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14088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5500000</v>
      </c>
      <c r="D618" s="2" t="str">
        <f t="shared" si="8"/>
        <v>Error?</v>
      </c>
    </row>
    <row r="619" spans="1:4" x14ac:dyDescent="0.2">
      <c r="A619" s="5">
        <v>558</v>
      </c>
      <c r="B619" s="138">
        <f>'Acct Summary 7-8'!H34</f>
        <v>329553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4109717</v>
      </c>
      <c r="D705" s="2" t="str">
        <f t="shared" si="10"/>
        <v>Error?</v>
      </c>
    </row>
    <row r="706" spans="1:4" x14ac:dyDescent="0.2">
      <c r="A706" s="5">
        <v>645</v>
      </c>
      <c r="B706" s="138">
        <f>'Expenditures 15-22'!C16</f>
        <v>64889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36430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7584089</v>
      </c>
      <c r="C720" s="2" t="s">
        <v>594</v>
      </c>
      <c r="D720" s="2" t="str">
        <f t="shared" si="10"/>
        <v>Error?</v>
      </c>
    </row>
    <row r="721" spans="1:4" x14ac:dyDescent="0.2">
      <c r="A721" s="5">
        <v>660</v>
      </c>
      <c r="B721" s="138">
        <f>'Expenditures 15-22'!C36</f>
        <v>100331</v>
      </c>
      <c r="D721" s="2" t="str">
        <f t="shared" si="10"/>
        <v>Error?</v>
      </c>
    </row>
    <row r="722" spans="1:4" x14ac:dyDescent="0.2">
      <c r="A722" s="5">
        <v>661</v>
      </c>
      <c r="B722" s="138">
        <f>'Expenditures 15-22'!C37</f>
        <v>163374</v>
      </c>
      <c r="D722" s="2" t="str">
        <f t="shared" si="10"/>
        <v>Error?</v>
      </c>
    </row>
    <row r="723" spans="1:4" x14ac:dyDescent="0.2">
      <c r="A723" s="5">
        <v>662</v>
      </c>
      <c r="B723" s="138">
        <f>'Expenditures 15-22'!C38</f>
        <v>153138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177880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594723</v>
      </c>
      <c r="C727" s="2" t="s">
        <v>594</v>
      </c>
      <c r="D727" s="2" t="str">
        <f t="shared" si="10"/>
        <v>Error?</v>
      </c>
    </row>
    <row r="728" spans="1:4" x14ac:dyDescent="0.2">
      <c r="A728" s="5">
        <v>667</v>
      </c>
      <c r="B728" s="138">
        <f>'Expenditures 15-22'!C44</f>
        <v>286824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286824</v>
      </c>
      <c r="C731" s="2" t="s">
        <v>594</v>
      </c>
      <c r="D731" s="2" t="str">
        <f t="shared" si="10"/>
        <v>Error?</v>
      </c>
    </row>
    <row r="732" spans="1:4" x14ac:dyDescent="0.2">
      <c r="A732" s="5">
        <v>671</v>
      </c>
      <c r="B732" s="138">
        <f>'Expenditures 15-22'!C49</f>
        <v>6862</v>
      </c>
      <c r="D732" s="2" t="str">
        <f t="shared" si="10"/>
        <v>Error?</v>
      </c>
    </row>
    <row r="733" spans="1:4" x14ac:dyDescent="0.2">
      <c r="A733" s="5">
        <v>672</v>
      </c>
      <c r="B733" s="138">
        <f>'Expenditures 15-22'!C50</f>
        <v>328847</v>
      </c>
      <c r="D733" s="2" t="str">
        <f t="shared" si="10"/>
        <v>Error?</v>
      </c>
    </row>
    <row r="734" spans="1:4" x14ac:dyDescent="0.2">
      <c r="A734" s="5">
        <v>673</v>
      </c>
      <c r="B734" s="138">
        <f>'Expenditures 15-22'!C53</f>
        <v>419617</v>
      </c>
      <c r="C734" s="2" t="s">
        <v>594</v>
      </c>
      <c r="D734" s="2" t="str">
        <f t="shared" si="10"/>
        <v>Error?</v>
      </c>
    </row>
    <row r="735" spans="1:4" x14ac:dyDescent="0.2">
      <c r="A735" s="5">
        <v>674</v>
      </c>
      <c r="B735" s="138">
        <f>'Expenditures 15-22'!C55</f>
        <v>783182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783182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185579</v>
      </c>
      <c r="D739" s="2" t="str">
        <f t="shared" si="10"/>
        <v>Error?</v>
      </c>
    </row>
    <row r="740" spans="1:4" x14ac:dyDescent="0.2">
      <c r="A740" s="5">
        <v>679</v>
      </c>
      <c r="B740" s="138">
        <f>'Expenditures 15-22'!C61</f>
        <v>103024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529185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817788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1980</v>
      </c>
      <c r="D754" s="2" t="str">
        <f t="shared" si="10"/>
        <v>Error?</v>
      </c>
    </row>
    <row r="755" spans="1:4" x14ac:dyDescent="0.2">
      <c r="A755" s="5">
        <v>694</v>
      </c>
      <c r="B755" s="138">
        <f>'Expenditures 15-22'!C74</f>
        <v>2904114</v>
      </c>
      <c r="C755" s="2" t="s">
        <v>594</v>
      </c>
      <c r="D755" s="2" t="str">
        <f t="shared" si="10"/>
        <v>Error?</v>
      </c>
    </row>
    <row r="756" spans="1:4" x14ac:dyDescent="0.2">
      <c r="A756" s="5">
        <v>695</v>
      </c>
      <c r="B756" s="138">
        <f>'Expenditures 15-22'!C75</f>
        <v>121604</v>
      </c>
      <c r="D756" s="2" t="str">
        <f t="shared" si="10"/>
        <v>Error?</v>
      </c>
    </row>
    <row r="757" spans="1:4" x14ac:dyDescent="0.2">
      <c r="A757" s="5">
        <v>696</v>
      </c>
      <c r="B757" s="138">
        <f>'Expenditures 15-22'!C114</f>
        <v>10609807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757616</v>
      </c>
      <c r="D763" s="2" t="str">
        <f t="shared" si="10"/>
        <v>Error?</v>
      </c>
    </row>
    <row r="764" spans="1:4" x14ac:dyDescent="0.2">
      <c r="A764" s="5">
        <v>703</v>
      </c>
      <c r="B764" s="138">
        <f>'Expenditures 15-22'!D16</f>
        <v>9261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1825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1486960</v>
      </c>
      <c r="C778" s="2" t="s">
        <v>594</v>
      </c>
      <c r="D778" s="2" t="str">
        <f t="shared" si="11"/>
        <v>Error?</v>
      </c>
    </row>
    <row r="779" spans="1:4" x14ac:dyDescent="0.2">
      <c r="A779" s="5">
        <v>718</v>
      </c>
      <c r="B779" s="138">
        <f>'Expenditures 15-22'!D36</f>
        <v>27760</v>
      </c>
      <c r="D779" s="2" t="str">
        <f t="shared" si="11"/>
        <v>Error?</v>
      </c>
    </row>
    <row r="780" spans="1:4" x14ac:dyDescent="0.2">
      <c r="A780" s="5">
        <v>719</v>
      </c>
      <c r="B780" s="138">
        <f>'Expenditures 15-22'!D37</f>
        <v>35517</v>
      </c>
      <c r="D780" s="2" t="str">
        <f t="shared" si="11"/>
        <v>Error?</v>
      </c>
    </row>
    <row r="781" spans="1:4" x14ac:dyDescent="0.2">
      <c r="A781" s="5">
        <v>720</v>
      </c>
      <c r="B781" s="138">
        <f>'Expenditures 15-22'!D38</f>
        <v>23810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40400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127487</v>
      </c>
      <c r="C785" s="2" t="s">
        <v>594</v>
      </c>
      <c r="D785" s="2" t="str">
        <f t="shared" si="11"/>
        <v>Error?</v>
      </c>
    </row>
    <row r="786" spans="1:4" x14ac:dyDescent="0.2">
      <c r="A786" s="5">
        <v>725</v>
      </c>
      <c r="B786" s="138">
        <f>'Expenditures 15-22'!D44</f>
        <v>76881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76881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44244</v>
      </c>
      <c r="D791" s="2" t="str">
        <f t="shared" si="11"/>
        <v>Error?</v>
      </c>
    </row>
    <row r="792" spans="1:4" x14ac:dyDescent="0.2">
      <c r="A792" s="5">
        <v>731</v>
      </c>
      <c r="B792" s="138">
        <f>'Expenditures 15-22'!D53</f>
        <v>61254</v>
      </c>
      <c r="C792" s="2" t="s">
        <v>594</v>
      </c>
      <c r="D792" s="2" t="str">
        <f t="shared" si="11"/>
        <v>Error?</v>
      </c>
    </row>
    <row r="793" spans="1:4" x14ac:dyDescent="0.2">
      <c r="A793" s="5">
        <v>732</v>
      </c>
      <c r="B793" s="138">
        <f>'Expenditures 15-22'!D55</f>
        <v>132542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132542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17451</v>
      </c>
      <c r="D797" s="2" t="str">
        <f t="shared" si="11"/>
        <v>Error?</v>
      </c>
    </row>
    <row r="798" spans="1:4" x14ac:dyDescent="0.2">
      <c r="A798" s="5">
        <v>737</v>
      </c>
      <c r="B798" s="138">
        <f>'Expenditures 15-22'!D61</f>
        <v>23917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34909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76277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608</v>
      </c>
      <c r="D812" s="2" t="str">
        <f t="shared" si="11"/>
        <v>Error?</v>
      </c>
    </row>
    <row r="813" spans="1:4" x14ac:dyDescent="0.2">
      <c r="A813" s="5">
        <v>752</v>
      </c>
      <c r="B813" s="138">
        <f>'Expenditures 15-22'!D74</f>
        <v>475049</v>
      </c>
      <c r="C813" s="2" t="s">
        <v>594</v>
      </c>
      <c r="D813" s="2" t="str">
        <f t="shared" si="11"/>
        <v>Error?</v>
      </c>
    </row>
    <row r="814" spans="1:4" x14ac:dyDescent="0.2">
      <c r="A814" s="5">
        <v>753</v>
      </c>
      <c r="B814" s="138">
        <f>'Expenditures 15-22'!D75</f>
        <v>31819</v>
      </c>
      <c r="D814" s="2" t="str">
        <f t="shared" si="11"/>
        <v>Error?</v>
      </c>
    </row>
    <row r="815" spans="1:4" x14ac:dyDescent="0.2">
      <c r="A815" s="5">
        <v>754</v>
      </c>
      <c r="B815" s="138">
        <f>'Expenditures 15-22'!D114</f>
        <v>1993828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427097</v>
      </c>
      <c r="D821" s="2" t="str">
        <f t="shared" si="11"/>
        <v>Error?</v>
      </c>
    </row>
    <row r="822" spans="1:4" x14ac:dyDescent="0.2">
      <c r="A822" s="5">
        <v>761</v>
      </c>
      <c r="B822" s="138">
        <f>'Expenditures 15-22'!E16</f>
        <v>1810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587633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2061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1632</v>
      </c>
      <c r="D841" s="2" t="str">
        <f t="shared" si="12"/>
        <v>Error?</v>
      </c>
    </row>
    <row r="842" spans="1:4" x14ac:dyDescent="0.2">
      <c r="A842" s="5">
        <v>781</v>
      </c>
      <c r="B842" s="138">
        <f>'Expenditures 15-22'!E41</f>
        <v>6336</v>
      </c>
      <c r="D842" s="2" t="str">
        <f t="shared" si="12"/>
        <v>Error?</v>
      </c>
    </row>
    <row r="843" spans="1:4" x14ac:dyDescent="0.2">
      <c r="A843" s="5">
        <v>782</v>
      </c>
      <c r="B843" s="138">
        <f>'Expenditures 15-22'!E42</f>
        <v>10029</v>
      </c>
      <c r="C843" s="2" t="s">
        <v>594</v>
      </c>
      <c r="D843" s="2" t="str">
        <f t="shared" si="12"/>
        <v>Error?</v>
      </c>
    </row>
    <row r="844" spans="1:4" x14ac:dyDescent="0.2">
      <c r="A844" s="5">
        <v>783</v>
      </c>
      <c r="B844" s="138">
        <f>'Expenditures 15-22'!E44</f>
        <v>91033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91033</v>
      </c>
      <c r="C847" s="2" t="s">
        <v>594</v>
      </c>
      <c r="D847" s="2" t="str">
        <f t="shared" si="12"/>
        <v>Error?</v>
      </c>
    </row>
    <row r="848" spans="1:4" x14ac:dyDescent="0.2">
      <c r="A848" s="5">
        <v>787</v>
      </c>
      <c r="B848" s="138">
        <f>'Expenditures 15-22'!E49</f>
        <v>50399</v>
      </c>
      <c r="D848" s="2" t="str">
        <f t="shared" si="12"/>
        <v>Error?</v>
      </c>
    </row>
    <row r="849" spans="1:4" x14ac:dyDescent="0.2">
      <c r="A849" s="5">
        <v>788</v>
      </c>
      <c r="B849" s="138">
        <f>'Expenditures 15-22'!E50</f>
        <v>13826</v>
      </c>
      <c r="D849" s="2" t="str">
        <f t="shared" si="12"/>
        <v>Error?</v>
      </c>
    </row>
    <row r="850" spans="1:4" x14ac:dyDescent="0.2">
      <c r="A850" s="5">
        <v>789</v>
      </c>
      <c r="B850" s="138">
        <f>'Expenditures 15-22'!E53</f>
        <v>64225</v>
      </c>
      <c r="C850" s="2" t="s">
        <v>594</v>
      </c>
      <c r="D850" s="2" t="str">
        <f t="shared" si="12"/>
        <v>Error?</v>
      </c>
    </row>
    <row r="851" spans="1:4" x14ac:dyDescent="0.2">
      <c r="A851" s="5">
        <v>790</v>
      </c>
      <c r="B851" s="138">
        <f>'Expenditures 15-22'!E55</f>
        <v>23925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23925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11208</v>
      </c>
      <c r="D855" s="2" t="str">
        <f t="shared" si="12"/>
        <v>Error?</v>
      </c>
    </row>
    <row r="856" spans="1:4" x14ac:dyDescent="0.2">
      <c r="A856" s="5">
        <v>795</v>
      </c>
      <c r="B856" s="138">
        <f>'Expenditures 15-22'!E61</f>
        <v>118705</v>
      </c>
      <c r="D856" s="2" t="str">
        <f t="shared" si="12"/>
        <v>Error?</v>
      </c>
    </row>
    <row r="857" spans="1:4" x14ac:dyDescent="0.2">
      <c r="A857" s="5">
        <v>796</v>
      </c>
      <c r="B857" s="138">
        <f>'Expenditures 15-22'!E62</f>
        <v>78903</v>
      </c>
      <c r="D857" s="2" t="str">
        <f t="shared" si="12"/>
        <v>Error?</v>
      </c>
    </row>
    <row r="858" spans="1:4" x14ac:dyDescent="0.2">
      <c r="A858" s="5">
        <v>797</v>
      </c>
      <c r="B858" s="138">
        <f>'Expenditures 15-22'!E63</f>
        <v>25605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234421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38025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38025</v>
      </c>
      <c r="C869" s="2" t="s">
        <v>594</v>
      </c>
      <c r="D869" s="2" t="str">
        <f t="shared" si="12"/>
        <v>Error?</v>
      </c>
    </row>
    <row r="870" spans="1:4" x14ac:dyDescent="0.2">
      <c r="A870" s="5">
        <v>809</v>
      </c>
      <c r="B870" s="138">
        <f>'Expenditures 15-22'!E73</f>
        <v>35341</v>
      </c>
      <c r="D870" s="2" t="str">
        <f t="shared" si="12"/>
        <v>Error?</v>
      </c>
    </row>
    <row r="871" spans="1:4" x14ac:dyDescent="0.2">
      <c r="A871" s="5">
        <v>810</v>
      </c>
      <c r="B871" s="138">
        <f>'Expenditures 15-22'!E74</f>
        <v>496999</v>
      </c>
      <c r="C871" s="2" t="s">
        <v>594</v>
      </c>
      <c r="D871" s="2" t="str">
        <f t="shared" si="12"/>
        <v>Error?</v>
      </c>
    </row>
    <row r="872" spans="1:4" x14ac:dyDescent="0.2">
      <c r="A872" s="5">
        <v>811</v>
      </c>
      <c r="B872" s="138">
        <f>'Expenditures 15-22'!E75</f>
        <v>126594</v>
      </c>
      <c r="D872" s="2" t="str">
        <f t="shared" si="12"/>
        <v>Error?</v>
      </c>
    </row>
    <row r="873" spans="1:4" x14ac:dyDescent="0.2">
      <c r="A873" s="5">
        <v>812</v>
      </c>
      <c r="B873" s="138">
        <f>'Expenditures 15-22'!E114</f>
        <v>1648932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178914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9531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433812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50</v>
      </c>
      <c r="D896" s="2" t="str">
        <f t="shared" si="13"/>
        <v>Error?</v>
      </c>
    </row>
    <row r="897" spans="1:4" x14ac:dyDescent="0.2">
      <c r="A897" s="5">
        <v>836</v>
      </c>
      <c r="B897" s="138">
        <f>'Expenditures 15-22'!F38</f>
        <v>4045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573</v>
      </c>
      <c r="D899" s="2" t="str">
        <f t="shared" si="13"/>
        <v>Error?</v>
      </c>
    </row>
    <row r="900" spans="1:4" x14ac:dyDescent="0.2">
      <c r="A900" s="5">
        <v>839</v>
      </c>
      <c r="B900" s="138">
        <f>'Expenditures 15-22'!F41</f>
        <v>83126</v>
      </c>
      <c r="D900" s="2" t="str">
        <f t="shared" si="13"/>
        <v>Error?</v>
      </c>
    </row>
    <row r="901" spans="1:4" x14ac:dyDescent="0.2">
      <c r="A901" s="5">
        <v>840</v>
      </c>
      <c r="B901" s="138">
        <f>'Expenditures 15-22'!F42</f>
        <v>87794</v>
      </c>
      <c r="C901" s="2" t="s">
        <v>594</v>
      </c>
      <c r="D901" s="2" t="str">
        <f t="shared" si="13"/>
        <v>Error?</v>
      </c>
    </row>
    <row r="902" spans="1:4" x14ac:dyDescent="0.2">
      <c r="A902" s="5">
        <v>841</v>
      </c>
      <c r="B902" s="138">
        <f>'Expenditures 15-22'!F44</f>
        <v>7032</v>
      </c>
      <c r="D902" s="2" t="str">
        <f t="shared" si="13"/>
        <v>Error?</v>
      </c>
    </row>
    <row r="903" spans="1:4" x14ac:dyDescent="0.2">
      <c r="A903" s="5">
        <v>842</v>
      </c>
      <c r="B903" s="138">
        <f>'Expenditures 15-22'!F45</f>
        <v>379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7411</v>
      </c>
      <c r="C905" s="2" t="s">
        <v>594</v>
      </c>
      <c r="D905" s="2" t="str">
        <f t="shared" si="13"/>
        <v>Error?</v>
      </c>
    </row>
    <row r="906" spans="1:4" x14ac:dyDescent="0.2">
      <c r="A906" s="5">
        <v>845</v>
      </c>
      <c r="B906" s="138">
        <f>'Expenditures 15-22'!F49</f>
        <v>3387</v>
      </c>
      <c r="D906" s="2" t="str">
        <f t="shared" si="13"/>
        <v>Error?</v>
      </c>
    </row>
    <row r="907" spans="1:4" x14ac:dyDescent="0.2">
      <c r="A907" s="5">
        <v>846</v>
      </c>
      <c r="B907" s="138">
        <f>'Expenditures 15-22'!F50</f>
        <v>13001</v>
      </c>
      <c r="D907" s="2" t="str">
        <f t="shared" si="13"/>
        <v>Error?</v>
      </c>
    </row>
    <row r="908" spans="1:4" x14ac:dyDescent="0.2">
      <c r="A908" s="5">
        <v>847</v>
      </c>
      <c r="B908" s="138">
        <f>'Expenditures 15-22'!F53</f>
        <v>18819</v>
      </c>
      <c r="C908" s="2" t="s">
        <v>594</v>
      </c>
      <c r="D908" s="2" t="str">
        <f t="shared" si="13"/>
        <v>Error?</v>
      </c>
    </row>
    <row r="909" spans="1:4" x14ac:dyDescent="0.2">
      <c r="A909" s="5">
        <v>848</v>
      </c>
      <c r="B909" s="138">
        <f>'Expenditures 15-22'!F55</f>
        <v>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3533</v>
      </c>
      <c r="D913" s="2" t="str">
        <f t="shared" si="13"/>
        <v>Error?</v>
      </c>
    </row>
    <row r="914" spans="1:4" x14ac:dyDescent="0.2">
      <c r="A914" s="5">
        <v>853</v>
      </c>
      <c r="B914" s="138">
        <f>'Expenditures 15-22'!F61</f>
        <v>364649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759062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1127244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1241304</v>
      </c>
      <c r="C929" s="2" t="s">
        <v>594</v>
      </c>
      <c r="D929" s="2" t="str">
        <f t="shared" si="13"/>
        <v>Error?</v>
      </c>
    </row>
    <row r="930" spans="1:4" x14ac:dyDescent="0.2">
      <c r="A930" s="5">
        <v>869</v>
      </c>
      <c r="B930" s="138">
        <f>'Expenditures 15-22'!F75</f>
        <v>5110</v>
      </c>
      <c r="D930" s="2" t="str">
        <f t="shared" si="13"/>
        <v>Error?</v>
      </c>
    </row>
    <row r="931" spans="1:4" x14ac:dyDescent="0.2">
      <c r="A931" s="5">
        <v>870</v>
      </c>
      <c r="B931" s="138">
        <f>'Expenditures 15-22'!F114</f>
        <v>1680226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26839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92632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1490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5072</v>
      </c>
      <c r="D958" s="2" t="str">
        <f t="shared" si="13"/>
        <v>Error?</v>
      </c>
    </row>
    <row r="959" spans="1:4" x14ac:dyDescent="0.2">
      <c r="A959" s="5">
        <v>898</v>
      </c>
      <c r="B959" s="138">
        <f>'Expenditures 15-22'!G42</f>
        <v>6562</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1401</v>
      </c>
      <c r="D965" s="2" t="str">
        <f t="shared" si="14"/>
        <v>Error?</v>
      </c>
    </row>
    <row r="966" spans="1:4" x14ac:dyDescent="0.2">
      <c r="A966" s="5">
        <v>905</v>
      </c>
      <c r="B966" s="138">
        <f>'Expenditures 15-22'!G53</f>
        <v>1401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1730</v>
      </c>
      <c r="D971" s="2" t="str">
        <f t="shared" si="14"/>
        <v>Error?</v>
      </c>
    </row>
    <row r="972" spans="1:4" x14ac:dyDescent="0.2">
      <c r="A972" s="5">
        <v>911</v>
      </c>
      <c r="B972" s="138">
        <f>'Expenditures 15-22'!G61</f>
        <v>22017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13167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36914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44877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137509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87922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-60</v>
      </c>
      <c r="D1016" s="2" t="str">
        <f t="shared" si="14"/>
        <v>Error?</v>
      </c>
    </row>
    <row r="1017" spans="1:4" x14ac:dyDescent="0.2">
      <c r="A1017" s="5">
        <v>956</v>
      </c>
      <c r="B1017" s="138">
        <f>'Expenditures 15-22'!H42</f>
        <v>101</v>
      </c>
      <c r="C1017" s="2" t="s">
        <v>594</v>
      </c>
      <c r="D1017" s="2" t="str">
        <f t="shared" si="14"/>
        <v>Error?</v>
      </c>
    </row>
    <row r="1018" spans="1:4" x14ac:dyDescent="0.2">
      <c r="A1018" s="5">
        <v>957</v>
      </c>
      <c r="B1018" s="138">
        <f>'Expenditures 15-22'!H44</f>
        <v>474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474</v>
      </c>
      <c r="C1021" s="2" t="s">
        <v>594</v>
      </c>
      <c r="D1021" s="2" t="str">
        <f t="shared" si="14"/>
        <v>Error?</v>
      </c>
    </row>
    <row r="1022" spans="1:4" x14ac:dyDescent="0.2">
      <c r="A1022" s="5">
        <v>961</v>
      </c>
      <c r="B1022" s="138">
        <f>'Expenditures 15-22'!H49</f>
        <v>2970</v>
      </c>
      <c r="D1022" s="2" t="str">
        <f t="shared" si="14"/>
        <v>Error?</v>
      </c>
    </row>
    <row r="1023" spans="1:4" x14ac:dyDescent="0.2">
      <c r="A1023" s="5">
        <v>962</v>
      </c>
      <c r="B1023" s="138">
        <f>'Expenditures 15-22'!H50</f>
        <v>2113</v>
      </c>
      <c r="D1023" s="2" t="str">
        <f t="shared" ref="D1023:D1086" si="15">IF(ISBLANK(B1023),"OK",IF(A1023-B1023=0,"OK","Error?"))</f>
        <v>Error?</v>
      </c>
    </row>
    <row r="1024" spans="1:4" x14ac:dyDescent="0.2">
      <c r="A1024" s="5">
        <v>963</v>
      </c>
      <c r="B1024" s="138">
        <f>'Expenditures 15-22'!H53</f>
        <v>5083</v>
      </c>
      <c r="C1024" s="2" t="s">
        <v>594</v>
      </c>
      <c r="D1024" s="2" t="str">
        <f t="shared" si="15"/>
        <v>Error?</v>
      </c>
    </row>
    <row r="1025" spans="1:4" x14ac:dyDescent="0.2">
      <c r="A1025" s="5">
        <v>964</v>
      </c>
      <c r="B1025" s="138">
        <f>'Expenditures 15-22'!H55</f>
        <v>1530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1530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153</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1541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8729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384811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481462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5505702</v>
      </c>
      <c r="C1093" s="2" t="s">
        <v>594</v>
      </c>
      <c r="D1093" s="2" t="str">
        <f t="shared" si="16"/>
        <v>Error?</v>
      </c>
    </row>
    <row r="1094" spans="1:4" x14ac:dyDescent="0.2">
      <c r="A1094" s="5">
        <v>1033</v>
      </c>
      <c r="B1094" s="138">
        <f>'Expenditures 15-22'!K16</f>
        <v>75960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55051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10273048</v>
      </c>
      <c r="C1108" s="2" t="s">
        <v>594</v>
      </c>
      <c r="D1108" s="2" t="str">
        <f t="shared" si="16"/>
        <v>Error?</v>
      </c>
    </row>
    <row r="1109" spans="1:4" x14ac:dyDescent="0.2">
      <c r="A1109" s="5">
        <v>1048</v>
      </c>
      <c r="B1109" s="138">
        <f>'Expenditures 15-22'!K36</f>
        <v>128091</v>
      </c>
      <c r="C1109" s="2" t="s">
        <v>594</v>
      </c>
      <c r="D1109" s="2" t="str">
        <f t="shared" si="16"/>
        <v>Error?</v>
      </c>
    </row>
    <row r="1110" spans="1:4" x14ac:dyDescent="0.2">
      <c r="A1110" s="5">
        <v>1049</v>
      </c>
      <c r="B1110" s="138">
        <f>'Expenditures 15-22'!K37</f>
        <v>198941</v>
      </c>
      <c r="C1110" s="2" t="s">
        <v>594</v>
      </c>
      <c r="D1110" s="2" t="str">
        <f t="shared" si="16"/>
        <v>Error?</v>
      </c>
    </row>
    <row r="1111" spans="1:4" x14ac:dyDescent="0.2">
      <c r="A1111" s="5">
        <v>1050</v>
      </c>
      <c r="B1111" s="138">
        <f>'Expenditures 15-22'!K38</f>
        <v>184705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220485</v>
      </c>
      <c r="C1113" s="2" t="s">
        <v>594</v>
      </c>
      <c r="D1113" s="2" t="str">
        <f t="shared" si="16"/>
        <v>Error?</v>
      </c>
    </row>
    <row r="1114" spans="1:4" x14ac:dyDescent="0.2">
      <c r="A1114" s="5">
        <v>1053</v>
      </c>
      <c r="B1114" s="138">
        <f>'Expenditures 15-22'!K41</f>
        <v>94474</v>
      </c>
      <c r="C1114" s="2" t="s">
        <v>594</v>
      </c>
      <c r="D1114" s="2" t="str">
        <f t="shared" si="16"/>
        <v>Error?</v>
      </c>
    </row>
    <row r="1115" spans="1:4" x14ac:dyDescent="0.2">
      <c r="A1115" s="5">
        <v>1054</v>
      </c>
      <c r="B1115" s="138">
        <f>'Expenditures 15-22'!K42</f>
        <v>826696</v>
      </c>
      <c r="C1115" s="2" t="s">
        <v>594</v>
      </c>
      <c r="D1115" s="2" t="str">
        <f t="shared" si="16"/>
        <v>Error?</v>
      </c>
    </row>
    <row r="1116" spans="1:4" x14ac:dyDescent="0.2">
      <c r="A1116" s="5">
        <v>1055</v>
      </c>
      <c r="B1116" s="138">
        <f>'Expenditures 15-22'!K44</f>
        <v>462244</v>
      </c>
      <c r="C1116" s="2" t="s">
        <v>594</v>
      </c>
      <c r="D1116" s="2" t="str">
        <f t="shared" si="16"/>
        <v>Error?</v>
      </c>
    </row>
    <row r="1117" spans="1:4" x14ac:dyDescent="0.2">
      <c r="A1117" s="5">
        <v>1056</v>
      </c>
      <c r="B1117" s="138">
        <f>'Expenditures 15-22'!K45</f>
        <v>379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462623</v>
      </c>
      <c r="C1119" s="2" t="s">
        <v>594</v>
      </c>
      <c r="D1119" s="2" t="str">
        <f t="shared" si="16"/>
        <v>Error?</v>
      </c>
    </row>
    <row r="1120" spans="1:4" x14ac:dyDescent="0.2">
      <c r="A1120" s="5">
        <v>1059</v>
      </c>
      <c r="B1120" s="138">
        <f>'Expenditures 15-22'!K49</f>
        <v>63618</v>
      </c>
      <c r="C1120" s="2" t="s">
        <v>594</v>
      </c>
      <c r="D1120" s="2" t="str">
        <f t="shared" si="16"/>
        <v>Error?</v>
      </c>
    </row>
    <row r="1121" spans="1:4" x14ac:dyDescent="0.2">
      <c r="A1121" s="5">
        <v>1060</v>
      </c>
      <c r="B1121" s="138">
        <f>'Expenditures 15-22'!K50</f>
        <v>403432</v>
      </c>
      <c r="C1121" s="2" t="s">
        <v>594</v>
      </c>
      <c r="D1121" s="2" t="str">
        <f t="shared" si="16"/>
        <v>Error?</v>
      </c>
    </row>
    <row r="1122" spans="1:4" x14ac:dyDescent="0.2">
      <c r="A1122" s="5">
        <v>1061</v>
      </c>
      <c r="B1122" s="138">
        <f>'Expenditures 15-22'!K53</f>
        <v>570399</v>
      </c>
      <c r="C1122" s="2" t="s">
        <v>594</v>
      </c>
      <c r="D1122" s="2" t="str">
        <f t="shared" si="16"/>
        <v>Error?</v>
      </c>
    </row>
    <row r="1123" spans="1:4" x14ac:dyDescent="0.2">
      <c r="A1123" s="5">
        <v>1062</v>
      </c>
      <c r="B1123" s="138">
        <f>'Expenditures 15-22'!K55</f>
        <v>941215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941215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219841</v>
      </c>
      <c r="C1127" s="2" t="s">
        <v>594</v>
      </c>
      <c r="D1127" s="2" t="str">
        <f t="shared" si="16"/>
        <v>Error?</v>
      </c>
    </row>
    <row r="1128" spans="1:4" x14ac:dyDescent="0.2">
      <c r="A1128" s="5">
        <v>1067</v>
      </c>
      <c r="B1128" s="138">
        <f>'Expenditures 15-22'!K61</f>
        <v>632465</v>
      </c>
      <c r="C1128" s="2" t="s">
        <v>594</v>
      </c>
      <c r="D1128" s="2" t="str">
        <f t="shared" si="16"/>
        <v>Error?</v>
      </c>
    </row>
    <row r="1129" spans="1:4" x14ac:dyDescent="0.2">
      <c r="A1129" s="5">
        <v>1068</v>
      </c>
      <c r="B1129" s="138">
        <f>'Expenditures 15-22'!K62</f>
        <v>78903</v>
      </c>
      <c r="C1129" s="2" t="s">
        <v>594</v>
      </c>
      <c r="D1129" s="2" t="str">
        <f t="shared" si="16"/>
        <v>Error?</v>
      </c>
    </row>
    <row r="1130" spans="1:4" x14ac:dyDescent="0.2">
      <c r="A1130" s="5">
        <v>1069</v>
      </c>
      <c r="B1130" s="138">
        <f>'Expenditures 15-22'!K63</f>
        <v>1362976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2294185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38025</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38025</v>
      </c>
      <c r="C1141" s="2" t="s">
        <v>594</v>
      </c>
      <c r="D1141" s="2" t="str">
        <f t="shared" si="16"/>
        <v>Error?</v>
      </c>
    </row>
    <row r="1142" spans="1:4" x14ac:dyDescent="0.2">
      <c r="A1142" s="5">
        <v>1081</v>
      </c>
      <c r="B1142" s="138">
        <f>'Expenditures 15-22'!K73</f>
        <v>37929</v>
      </c>
      <c r="C1142" s="2" t="s">
        <v>594</v>
      </c>
      <c r="D1142" s="2" t="str">
        <f t="shared" si="16"/>
        <v>Error?</v>
      </c>
    </row>
    <row r="1143" spans="1:4" x14ac:dyDescent="0.2">
      <c r="A1143" s="5">
        <v>1082</v>
      </c>
      <c r="B1143" s="138">
        <f>'Expenditures 15-22'!K74</f>
        <v>5171072</v>
      </c>
      <c r="C1143" s="2" t="s">
        <v>594</v>
      </c>
      <c r="D1143" s="2" t="str">
        <f t="shared" si="16"/>
        <v>Error?</v>
      </c>
    </row>
    <row r="1144" spans="1:4" x14ac:dyDescent="0.2">
      <c r="A1144" s="5">
        <v>1083</v>
      </c>
      <c r="B1144" s="138">
        <f>'Expenditures 15-22'!K75</f>
        <v>285127</v>
      </c>
      <c r="C1144" s="2" t="s">
        <v>594</v>
      </c>
      <c r="D1144" s="2" t="str">
        <f t="shared" si="16"/>
        <v>Error?</v>
      </c>
    </row>
    <row r="1145" spans="1:4" x14ac:dyDescent="0.2">
      <c r="A1145" s="5">
        <v>1084</v>
      </c>
      <c r="B1145" s="138">
        <f>'Expenditures 15-22'!K102</f>
        <v>822517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16551764</v>
      </c>
      <c r="C1152" s="2" t="s">
        <v>594</v>
      </c>
      <c r="D1152" s="2" t="str">
        <f t="shared" si="17"/>
        <v>Error?</v>
      </c>
    </row>
    <row r="1153" spans="1:4" x14ac:dyDescent="0.2">
      <c r="A1153" s="5">
        <v>1092</v>
      </c>
      <c r="B1153" s="138">
        <f>'Expenditures 15-22'!K115</f>
        <v>1399065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686254</v>
      </c>
      <c r="D1221" s="2" t="str">
        <f t="shared" si="18"/>
        <v>Error?</v>
      </c>
    </row>
    <row r="1222" spans="1:4" x14ac:dyDescent="0.2">
      <c r="A1222" s="10">
        <v>1161</v>
      </c>
      <c r="D1222" s="2" t="str">
        <f t="shared" si="18"/>
        <v>OK</v>
      </c>
    </row>
    <row r="1223" spans="1:4" x14ac:dyDescent="0.2">
      <c r="A1223" s="5">
        <v>1162</v>
      </c>
      <c r="B1223" s="138">
        <f>'Expenditures 15-22'!C127</f>
        <v>686254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686254</v>
      </c>
      <c r="C1225" s="2" t="s">
        <v>594</v>
      </c>
      <c r="D1225" s="2" t="str">
        <f t="shared" si="18"/>
        <v>Error?</v>
      </c>
    </row>
    <row r="1226" spans="1:4" x14ac:dyDescent="0.2">
      <c r="A1226" s="5">
        <v>1165</v>
      </c>
      <c r="B1226" s="138">
        <f>'Expenditures 15-22'!C151</f>
        <v>686254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41214</v>
      </c>
      <c r="D1229" s="2" t="str">
        <f t="shared" si="18"/>
        <v>Error?</v>
      </c>
    </row>
    <row r="1230" spans="1:4" x14ac:dyDescent="0.2">
      <c r="A1230" s="10">
        <v>1169</v>
      </c>
      <c r="D1230" s="2" t="str">
        <f t="shared" si="18"/>
        <v>OK</v>
      </c>
    </row>
    <row r="1231" spans="1:4" x14ac:dyDescent="0.2">
      <c r="A1231" s="5">
        <v>1170</v>
      </c>
      <c r="B1231" s="138">
        <f>'Expenditures 15-22'!D127</f>
        <v>41214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41214</v>
      </c>
      <c r="C1233" s="2" t="s">
        <v>594</v>
      </c>
      <c r="D1233" s="2" t="str">
        <f t="shared" si="18"/>
        <v>Error?</v>
      </c>
    </row>
    <row r="1234" spans="1:4" x14ac:dyDescent="0.2">
      <c r="A1234" s="5">
        <v>1173</v>
      </c>
      <c r="B1234" s="138">
        <f>'Expenditures 15-22'!D151</f>
        <v>41214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137083</v>
      </c>
      <c r="D1237" s="2" t="str">
        <f t="shared" si="18"/>
        <v>Error?</v>
      </c>
    </row>
    <row r="1238" spans="1:4" x14ac:dyDescent="0.2">
      <c r="A1238" s="10">
        <v>1177</v>
      </c>
      <c r="D1238" s="2" t="str">
        <f t="shared" si="18"/>
        <v>OK</v>
      </c>
    </row>
    <row r="1239" spans="1:4" x14ac:dyDescent="0.2">
      <c r="A1239" s="5">
        <v>1178</v>
      </c>
      <c r="B1239" s="138">
        <f>'Expenditures 15-22'!E127</f>
        <v>137083</v>
      </c>
      <c r="C1239" s="2" t="s">
        <v>594</v>
      </c>
      <c r="D1239" s="2" t="str">
        <f t="shared" si="18"/>
        <v>Error?</v>
      </c>
    </row>
    <row r="1240" spans="1:4" x14ac:dyDescent="0.2">
      <c r="A1240" s="5">
        <v>1179</v>
      </c>
      <c r="B1240" s="138">
        <f>'Expenditures 15-22'!E128</f>
        <v>49439</v>
      </c>
      <c r="D1240" s="2" t="str">
        <f t="shared" si="18"/>
        <v>Error?</v>
      </c>
    </row>
    <row r="1241" spans="1:4" x14ac:dyDescent="0.2">
      <c r="A1241" s="5">
        <v>1180</v>
      </c>
      <c r="B1241" s="138">
        <f>'Expenditures 15-22'!E129</f>
        <v>186522</v>
      </c>
      <c r="C1241" s="2" t="s">
        <v>594</v>
      </c>
      <c r="D1241" s="2" t="str">
        <f t="shared" si="18"/>
        <v>Error?</v>
      </c>
    </row>
    <row r="1242" spans="1:4" x14ac:dyDescent="0.2">
      <c r="A1242" s="5">
        <v>1181</v>
      </c>
      <c r="B1242" s="138">
        <f>'Expenditures 15-22'!E151</f>
        <v>186522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53797</v>
      </c>
      <c r="D1245" s="2" t="str">
        <f t="shared" si="18"/>
        <v>Error?</v>
      </c>
    </row>
    <row r="1246" spans="1:4" x14ac:dyDescent="0.2">
      <c r="A1246" s="10">
        <v>1185</v>
      </c>
      <c r="D1246" s="2" t="str">
        <f t="shared" si="18"/>
        <v>OK</v>
      </c>
    </row>
    <row r="1247" spans="1:4" x14ac:dyDescent="0.2">
      <c r="A1247" s="5">
        <v>1186</v>
      </c>
      <c r="B1247" s="138">
        <f>'Expenditures 15-22'!F127</f>
        <v>53797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53797</v>
      </c>
      <c r="C1249" s="2" t="s">
        <v>594</v>
      </c>
      <c r="D1249" s="2" t="str">
        <f t="shared" si="18"/>
        <v>Error?</v>
      </c>
    </row>
    <row r="1250" spans="1:4" x14ac:dyDescent="0.2">
      <c r="A1250" s="5">
        <v>1189</v>
      </c>
      <c r="B1250" s="138">
        <f>'Expenditures 15-22'!F151</f>
        <v>53797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124517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124517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124517</v>
      </c>
      <c r="C1258" s="2" t="s">
        <v>594</v>
      </c>
      <c r="D1258" s="2" t="str">
        <f t="shared" si="18"/>
        <v>Error?</v>
      </c>
    </row>
    <row r="1259" spans="1:4" x14ac:dyDescent="0.2">
      <c r="A1259" s="5">
        <v>1198</v>
      </c>
      <c r="B1259" s="138">
        <f>'Expenditures 15-22'!G151</f>
        <v>124517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1389</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1389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1042865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1042865</v>
      </c>
      <c r="C1279" s="2" t="s">
        <v>594</v>
      </c>
      <c r="D1279" s="2" t="str">
        <f t="shared" ref="D1279:D1342" si="19">IF(ISBLANK(B1279),"OK",IF(A1279-B1279=0,"OK","Error?"))</f>
        <v>Error?</v>
      </c>
    </row>
    <row r="1280" spans="1:4" x14ac:dyDescent="0.2">
      <c r="A1280" s="5">
        <v>1219</v>
      </c>
      <c r="B1280" s="138">
        <f>'Expenditures 15-22'!K128</f>
        <v>49439</v>
      </c>
      <c r="C1280" s="2" t="s">
        <v>594</v>
      </c>
      <c r="D1280" s="2" t="str">
        <f t="shared" si="19"/>
        <v>Error?</v>
      </c>
    </row>
    <row r="1281" spans="1:4" x14ac:dyDescent="0.2">
      <c r="A1281" s="5">
        <v>1220</v>
      </c>
      <c r="B1281" s="138">
        <f>'Expenditures 15-22'!K129</f>
        <v>1092304</v>
      </c>
      <c r="C1281" s="2" t="s">
        <v>594</v>
      </c>
      <c r="D1281" s="2" t="str">
        <f t="shared" si="19"/>
        <v>Error?</v>
      </c>
    </row>
    <row r="1282" spans="1:4" x14ac:dyDescent="0.2">
      <c r="A1282" s="5">
        <v>1221</v>
      </c>
      <c r="B1282" s="138">
        <f>'Expenditures 15-22'!K139</f>
        <v>1389</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1093693</v>
      </c>
      <c r="C1288" s="2" t="s">
        <v>594</v>
      </c>
      <c r="D1288" s="2" t="str">
        <f t="shared" si="19"/>
        <v>Error?</v>
      </c>
    </row>
    <row r="1289" spans="1:4" x14ac:dyDescent="0.2">
      <c r="A1289" s="5">
        <v>1228</v>
      </c>
      <c r="B1289" s="138">
        <f>'Expenditures 15-22'!K152</f>
        <v>4538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339529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1215000</v>
      </c>
      <c r="D1315" s="2" t="str">
        <f t="shared" si="19"/>
        <v>Error?</v>
      </c>
    </row>
    <row r="1316" spans="1:4" x14ac:dyDescent="0.2">
      <c r="A1316" s="5">
        <v>1255</v>
      </c>
      <c r="B1316" s="138">
        <f>'Expenditures 15-22'!H171</f>
        <v>2525</v>
      </c>
      <c r="D1316" s="2" t="str">
        <f t="shared" si="19"/>
        <v>Error?</v>
      </c>
    </row>
    <row r="1317" spans="1:4" x14ac:dyDescent="0.2">
      <c r="A1317" s="5">
        <v>1256</v>
      </c>
      <c r="B1317" s="138">
        <f>'Expenditures 15-22'!H172</f>
        <v>1557054</v>
      </c>
      <c r="C1317" s="2" t="s">
        <v>594</v>
      </c>
      <c r="D1317" s="2" t="str">
        <f t="shared" si="19"/>
        <v>Error?</v>
      </c>
    </row>
    <row r="1318" spans="1:4" x14ac:dyDescent="0.2">
      <c r="A1318" s="5">
        <v>1257</v>
      </c>
      <c r="B1318" s="138">
        <f>'Expenditures 15-22'!H174</f>
        <v>1557054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339529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1215000</v>
      </c>
      <c r="C1329" s="2" t="s">
        <v>594</v>
      </c>
      <c r="D1329" s="2" t="str">
        <f t="shared" si="19"/>
        <v>Error?</v>
      </c>
    </row>
    <row r="1330" spans="1:4" x14ac:dyDescent="0.2">
      <c r="A1330" s="5">
        <v>1269</v>
      </c>
      <c r="B1330" s="138">
        <f>'Expenditures 15-22'!K171</f>
        <v>2525</v>
      </c>
      <c r="C1330" s="2" t="s">
        <v>594</v>
      </c>
      <c r="D1330" s="2" t="str">
        <f t="shared" si="19"/>
        <v>Error?</v>
      </c>
    </row>
    <row r="1331" spans="1:4" x14ac:dyDescent="0.2">
      <c r="A1331" s="5">
        <v>1270</v>
      </c>
      <c r="B1331" s="138">
        <f>'Expenditures 15-22'!K172</f>
        <v>1557054</v>
      </c>
      <c r="C1331" s="2" t="s">
        <v>594</v>
      </c>
      <c r="D1331" s="2" t="str">
        <f t="shared" si="19"/>
        <v>Error?</v>
      </c>
    </row>
    <row r="1332" spans="1:4" x14ac:dyDescent="0.2">
      <c r="A1332" s="5">
        <v>1271</v>
      </c>
      <c r="B1332" s="138">
        <f>'Expenditures 15-22'!K174</f>
        <v>1557054</v>
      </c>
      <c r="C1332" s="2" t="s">
        <v>594</v>
      </c>
      <c r="D1332" s="2" t="str">
        <f t="shared" si="19"/>
        <v>Error?</v>
      </c>
    </row>
    <row r="1333" spans="1:4" x14ac:dyDescent="0.2">
      <c r="A1333" s="5">
        <v>1272</v>
      </c>
      <c r="B1333" s="138">
        <f>'Expenditures 15-22'!K175</f>
        <v>-832415</v>
      </c>
      <c r="C1333" s="2" t="s">
        <v>594</v>
      </c>
      <c r="D1333" s="2" t="str">
        <f t="shared" si="19"/>
        <v>Error?</v>
      </c>
    </row>
    <row r="1334" spans="1:4" x14ac:dyDescent="0.2">
      <c r="A1334" s="10">
        <v>1273</v>
      </c>
      <c r="D1334" s="2" t="str">
        <f t="shared" si="19"/>
        <v>OK</v>
      </c>
    </row>
    <row r="1335" spans="1:4" x14ac:dyDescent="0.2">
      <c r="A1335" s="5">
        <v>1274</v>
      </c>
      <c r="B1335" s="138">
        <f>'Expenditures 15-22'!C182</f>
        <v>6846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6846</v>
      </c>
      <c r="C1339" s="2" t="s">
        <v>594</v>
      </c>
      <c r="D1339" s="2" t="str">
        <f t="shared" si="19"/>
        <v>Error?</v>
      </c>
    </row>
    <row r="1340" spans="1:4" x14ac:dyDescent="0.2">
      <c r="A1340" s="5">
        <v>1279</v>
      </c>
      <c r="B1340" s="138">
        <f>'Expenditures 15-22'!C210</f>
        <v>6846</v>
      </c>
      <c r="C1340" s="2" t="s">
        <v>594</v>
      </c>
      <c r="D1340" s="2" t="str">
        <f t="shared" si="19"/>
        <v>Error?</v>
      </c>
    </row>
    <row r="1341" spans="1:4" x14ac:dyDescent="0.2">
      <c r="A1341" s="5">
        <v>1280</v>
      </c>
      <c r="B1341" s="138">
        <f>'Expenditures 15-22'!D182</f>
        <v>677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677</v>
      </c>
      <c r="C1345" s="2" t="s">
        <v>594</v>
      </c>
      <c r="D1345" s="2" t="str">
        <f t="shared" si="20"/>
        <v>Error?</v>
      </c>
    </row>
    <row r="1346" spans="1:4" x14ac:dyDescent="0.2">
      <c r="A1346" s="5">
        <v>1285</v>
      </c>
      <c r="B1346" s="138">
        <f>'Expenditures 15-22'!D210</f>
        <v>677</v>
      </c>
      <c r="C1346" s="2" t="s">
        <v>594</v>
      </c>
      <c r="D1346" s="2" t="str">
        <f t="shared" si="20"/>
        <v>Error?</v>
      </c>
    </row>
    <row r="1347" spans="1:4" x14ac:dyDescent="0.2">
      <c r="A1347" s="5">
        <v>1286</v>
      </c>
      <c r="B1347" s="138">
        <f>'Expenditures 15-22'!E182</f>
        <v>1277584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1277584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1277584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1285107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1285107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1285107</v>
      </c>
      <c r="C1388" s="2" t="s">
        <v>594</v>
      </c>
      <c r="D1388" s="2" t="str">
        <f t="shared" si="20"/>
        <v>Error?</v>
      </c>
    </row>
    <row r="1389" spans="1:4" x14ac:dyDescent="0.2">
      <c r="A1389" s="5">
        <v>1328</v>
      </c>
      <c r="B1389" s="138">
        <f>'Expenditures 15-22'!K211</f>
        <v>378547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876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3464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276416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1297</v>
      </c>
      <c r="D1412" s="2" t="str">
        <f t="shared" si="21"/>
        <v>Error?</v>
      </c>
    </row>
    <row r="1413" spans="1:4" x14ac:dyDescent="0.2">
      <c r="A1413" s="5">
        <v>1352</v>
      </c>
      <c r="B1413" s="138">
        <f>'Expenditures 15-22'!D234</f>
        <v>13726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2045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17068</v>
      </c>
      <c r="C1417" s="2" t="s">
        <v>594</v>
      </c>
      <c r="D1417" s="2" t="str">
        <f t="shared" si="21"/>
        <v>Error?</v>
      </c>
    </row>
    <row r="1418" spans="1:4" x14ac:dyDescent="0.2">
      <c r="A1418" s="5">
        <v>1357</v>
      </c>
      <c r="B1418" s="138">
        <f>'Expenditures 15-22'!D240</f>
        <v>612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612</v>
      </c>
      <c r="C1421" s="2" t="s">
        <v>594</v>
      </c>
      <c r="D1421" s="2" t="str">
        <f t="shared" si="21"/>
        <v>Error?</v>
      </c>
    </row>
    <row r="1422" spans="1:4" x14ac:dyDescent="0.2">
      <c r="A1422" s="5">
        <v>1361</v>
      </c>
      <c r="B1422" s="138">
        <f>'Expenditures 15-22'!D245</f>
        <v>18</v>
      </c>
      <c r="D1422" s="2" t="str">
        <f t="shared" si="21"/>
        <v>Error?</v>
      </c>
    </row>
    <row r="1423" spans="1:4" x14ac:dyDescent="0.2">
      <c r="A1423" s="5">
        <v>1362</v>
      </c>
      <c r="B1423" s="138">
        <f>'Expenditures 15-22'!D246</f>
        <v>18015</v>
      </c>
      <c r="D1423" s="2" t="str">
        <f t="shared" si="21"/>
        <v>Error?</v>
      </c>
    </row>
    <row r="1424" spans="1:4" x14ac:dyDescent="0.2">
      <c r="A1424" s="5">
        <v>1363</v>
      </c>
      <c r="B1424" s="138">
        <f>'Expenditures 15-22'!D257</f>
        <v>18033</v>
      </c>
      <c r="C1424" s="2" t="s">
        <v>594</v>
      </c>
      <c r="D1424" s="2" t="str">
        <f t="shared" si="21"/>
        <v>Error?</v>
      </c>
    </row>
    <row r="1425" spans="1:4" x14ac:dyDescent="0.2">
      <c r="A1425" s="5">
        <v>1364</v>
      </c>
      <c r="B1425" s="138">
        <f>'Expenditures 15-22'!D259</f>
        <v>40702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40702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28336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127110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83172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238618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v>
      </c>
      <c r="D1445" s="2" t="str">
        <f t="shared" si="21"/>
        <v>Error?</v>
      </c>
    </row>
    <row r="1446" spans="1:4" x14ac:dyDescent="0.2">
      <c r="A1446" s="5">
        <v>1385</v>
      </c>
      <c r="B1446" s="138">
        <f>'Expenditures 15-22'!D279</f>
        <v>315034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591450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876</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3464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276416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1297</v>
      </c>
      <c r="C1476" s="2" t="s">
        <v>594</v>
      </c>
      <c r="D1476" s="2" t="str">
        <f t="shared" si="22"/>
        <v>Error?</v>
      </c>
    </row>
    <row r="1477" spans="1:4" x14ac:dyDescent="0.2">
      <c r="A1477" s="5">
        <v>1416</v>
      </c>
      <c r="B1477" s="138">
        <f>'Expenditures 15-22'!K234</f>
        <v>13726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2045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17068</v>
      </c>
      <c r="C1481" s="2" t="s">
        <v>594</v>
      </c>
      <c r="D1481" s="2" t="str">
        <f t="shared" si="22"/>
        <v>Error?</v>
      </c>
    </row>
    <row r="1482" spans="1:4" x14ac:dyDescent="0.2">
      <c r="A1482" s="5">
        <v>1421</v>
      </c>
      <c r="B1482" s="138">
        <f>'Expenditures 15-22'!K240</f>
        <v>612</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612</v>
      </c>
      <c r="C1485" s="2" t="s">
        <v>594</v>
      </c>
      <c r="D1485" s="2" t="str">
        <f t="shared" si="22"/>
        <v>Error?</v>
      </c>
    </row>
    <row r="1486" spans="1:4" x14ac:dyDescent="0.2">
      <c r="A1486" s="5">
        <v>1425</v>
      </c>
      <c r="B1486" s="138">
        <f>'Expenditures 15-22'!K245</f>
        <v>18</v>
      </c>
      <c r="C1486" s="2" t="s">
        <v>594</v>
      </c>
      <c r="D1486" s="2" t="str">
        <f t="shared" si="22"/>
        <v>Error?</v>
      </c>
    </row>
    <row r="1487" spans="1:4" x14ac:dyDescent="0.2">
      <c r="A1487" s="5">
        <v>1426</v>
      </c>
      <c r="B1487" s="138">
        <f>'Expenditures 15-22'!K246</f>
        <v>18015</v>
      </c>
      <c r="C1487" s="2" t="s">
        <v>594</v>
      </c>
      <c r="D1487" s="2" t="str">
        <f t="shared" si="22"/>
        <v>Error?</v>
      </c>
    </row>
    <row r="1488" spans="1:4" x14ac:dyDescent="0.2">
      <c r="A1488" s="5">
        <v>1427</v>
      </c>
      <c r="B1488" s="138">
        <f>'Expenditures 15-22'!K257</f>
        <v>18033</v>
      </c>
      <c r="C1488" s="2" t="s">
        <v>594</v>
      </c>
      <c r="D1488" s="2" t="str">
        <f t="shared" si="22"/>
        <v>Error?</v>
      </c>
    </row>
    <row r="1489" spans="1:4" x14ac:dyDescent="0.2">
      <c r="A1489" s="5">
        <v>1428</v>
      </c>
      <c r="B1489" s="138">
        <f>'Expenditures 15-22'!K259</f>
        <v>40702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40702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28336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127110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83172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238618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v>
      </c>
      <c r="C1509" s="2" t="s">
        <v>594</v>
      </c>
      <c r="D1509" s="2" t="str">
        <f t="shared" si="22"/>
        <v>Error?</v>
      </c>
    </row>
    <row r="1510" spans="1:4" x14ac:dyDescent="0.2">
      <c r="A1510" s="5">
        <v>1449</v>
      </c>
      <c r="B1510" s="138">
        <f>'Expenditures 15-22'!K279</f>
        <v>315034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591450</v>
      </c>
      <c r="C1517" s="2" t="s">
        <v>594</v>
      </c>
      <c r="D1517" s="2" t="str">
        <f t="shared" si="22"/>
        <v>Error?</v>
      </c>
    </row>
    <row r="1518" spans="1:4" x14ac:dyDescent="0.2">
      <c r="A1518" s="5">
        <v>1457</v>
      </c>
      <c r="B1518" s="138">
        <f>'Expenditures 15-22'!K296</f>
        <v>140421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20</v>
      </c>
      <c r="D1534" s="2" t="str">
        <f t="shared" si="22"/>
        <v>Error?</v>
      </c>
    </row>
    <row r="1535" spans="1:4" x14ac:dyDescent="0.2">
      <c r="A1535" s="5">
        <v>1474</v>
      </c>
      <c r="B1535" s="138">
        <f>'Expenditures 15-22'!E303</f>
        <v>20</v>
      </c>
      <c r="C1535" s="2" t="s">
        <v>594</v>
      </c>
      <c r="D1535" s="2" t="str">
        <f t="shared" ref="D1535:D1598" si="23">IF(ISBLANK(B1535),"OK",IF(A1535-B1535=0,"OK","Error?"))</f>
        <v>Error?</v>
      </c>
    </row>
    <row r="1536" spans="1:4" x14ac:dyDescent="0.2">
      <c r="A1536" s="5">
        <v>1475</v>
      </c>
      <c r="B1536" s="138">
        <f>'Expenditures 15-22'!E312</f>
        <v>20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1456386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1456386</v>
      </c>
      <c r="C1547" s="2" t="s">
        <v>594</v>
      </c>
      <c r="D1547" s="2" t="str">
        <f t="shared" si="23"/>
        <v>Error?</v>
      </c>
    </row>
    <row r="1548" spans="1:4" x14ac:dyDescent="0.2">
      <c r="A1548" s="5">
        <v>1487</v>
      </c>
      <c r="B1548" s="138">
        <f>'Expenditures 15-22'!G312</f>
        <v>1456386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1456386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20</v>
      </c>
      <c r="C1558" s="2" t="s">
        <v>594</v>
      </c>
      <c r="D1558" s="2" t="str">
        <f t="shared" si="23"/>
        <v>Error?</v>
      </c>
    </row>
    <row r="1559" spans="1:4" x14ac:dyDescent="0.2">
      <c r="A1559" s="5">
        <v>1498</v>
      </c>
      <c r="B1559" s="138">
        <f>'Expenditures 15-22'!K303</f>
        <v>1456406</v>
      </c>
      <c r="C1559" s="2" t="s">
        <v>594</v>
      </c>
      <c r="D1559" s="2" t="str">
        <f t="shared" si="23"/>
        <v>Error?</v>
      </c>
    </row>
    <row r="1560" spans="1:4" x14ac:dyDescent="0.2">
      <c r="A1560" s="5">
        <v>1499</v>
      </c>
      <c r="B1560" s="138">
        <f>'Expenditures 15-22'!K312</f>
        <v>1456406</v>
      </c>
      <c r="C1560" s="2" t="s">
        <v>594</v>
      </c>
      <c r="D1560" s="2" t="str">
        <f t="shared" si="23"/>
        <v>Error?</v>
      </c>
    </row>
    <row r="1561" spans="1:4" x14ac:dyDescent="0.2">
      <c r="A1561" s="5">
        <v>1500</v>
      </c>
      <c r="B1561" s="138">
        <f>'Expenditures 15-22'!K313</f>
        <v>-1387821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3391951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4791016</v>
      </c>
      <c r="C1630" s="2" t="s">
        <v>594</v>
      </c>
      <c r="D1630" s="2" t="str">
        <f t="shared" si="24"/>
        <v>Error?</v>
      </c>
    </row>
    <row r="1631" spans="1:4" x14ac:dyDescent="0.2">
      <c r="A1631" s="5">
        <v>1570</v>
      </c>
      <c r="B1631" s="138">
        <f>'Acct Summary 7-8'!D79</f>
        <v>297922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302460</v>
      </c>
      <c r="C1644" s="2" t="s">
        <v>594</v>
      </c>
      <c r="D1644" s="2" t="str">
        <f t="shared" si="24"/>
        <v>Error?</v>
      </c>
    </row>
    <row r="1645" spans="1:4" x14ac:dyDescent="0.2">
      <c r="A1645" s="5">
        <v>1584</v>
      </c>
      <c r="B1645" s="138">
        <f>'Acct Summary 7-8'!E79</f>
        <v>13894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-10309</v>
      </c>
      <c r="C1658" s="2" t="s">
        <v>594</v>
      </c>
      <c r="D1658" s="2" t="str">
        <f t="shared" si="24"/>
        <v>Error?</v>
      </c>
    </row>
    <row r="1659" spans="1:4" x14ac:dyDescent="0.2">
      <c r="A1659" s="5">
        <v>1598</v>
      </c>
      <c r="B1659" s="138">
        <f>'Acct Summary 7-8'!F79</f>
        <v>-713814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-335267</v>
      </c>
      <c r="C1672" s="2" t="s">
        <v>594</v>
      </c>
      <c r="D1672" s="2" t="str">
        <f t="shared" si="25"/>
        <v>Error?</v>
      </c>
    </row>
    <row r="1673" spans="1:4" x14ac:dyDescent="0.2">
      <c r="A1673" s="5">
        <v>1612</v>
      </c>
      <c r="B1673" s="138">
        <f>'Acct Summary 7-8'!G79</f>
        <v>338352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478773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4112362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2648386</v>
      </c>
      <c r="C1744" s="2" t="s">
        <v>594</v>
      </c>
      <c r="D1744" s="2" t="str">
        <f t="shared" si="26"/>
        <v>Error?</v>
      </c>
    </row>
    <row r="1745" spans="1:5" x14ac:dyDescent="0.2">
      <c r="A1745" s="5">
        <v>1684</v>
      </c>
      <c r="B1745" s="138">
        <f>'Tax Sched 23'!B5</f>
        <v>987793</v>
      </c>
      <c r="C1745" s="2" t="s">
        <v>594</v>
      </c>
      <c r="D1745" s="2" t="str">
        <f t="shared" si="26"/>
        <v>Error?</v>
      </c>
    </row>
    <row r="1746" spans="1:5" x14ac:dyDescent="0.2">
      <c r="A1746" s="5">
        <v>1685</v>
      </c>
      <c r="B1746" s="138">
        <f>'Tax Sched 23'!B6</f>
        <v>462043</v>
      </c>
      <c r="C1746" s="2" t="s">
        <v>594</v>
      </c>
      <c r="D1746" s="2" t="str">
        <f t="shared" si="26"/>
        <v>Error?</v>
      </c>
    </row>
    <row r="1747" spans="1:5" x14ac:dyDescent="0.2">
      <c r="A1747" s="5">
        <v>1686</v>
      </c>
      <c r="B1747" s="138">
        <f>'Tax Sched 23'!B7</f>
        <v>695510</v>
      </c>
      <c r="C1747" s="2" t="s">
        <v>594</v>
      </c>
      <c r="D1747" s="2" t="str">
        <f t="shared" si="26"/>
        <v>Error?</v>
      </c>
    </row>
    <row r="1748" spans="1:5" x14ac:dyDescent="0.2">
      <c r="A1748" s="5">
        <v>1687</v>
      </c>
      <c r="B1748" s="138">
        <f>'Tax Sched 23'!B8</f>
        <v>332848</v>
      </c>
      <c r="C1748" s="2" t="s">
        <v>594</v>
      </c>
      <c r="D1748" s="2" t="str">
        <f t="shared" si="26"/>
        <v>Error?</v>
      </c>
    </row>
    <row r="1749" spans="1:5" x14ac:dyDescent="0.2">
      <c r="A1749" s="5">
        <v>1688</v>
      </c>
      <c r="B1749" s="138">
        <f>'Tax Sched 23'!B10</f>
        <v>89420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447118</v>
      </c>
      <c r="C1752" s="2" t="s">
        <v>594</v>
      </c>
      <c r="D1752" s="2" t="str">
        <f t="shared" si="26"/>
        <v>Error?</v>
      </c>
    </row>
    <row r="1753" spans="1:5" x14ac:dyDescent="0.2">
      <c r="A1753" s="5">
        <v>1692</v>
      </c>
      <c r="B1753" s="138">
        <f>'Tax Sched 23'!B12</f>
        <v>89420</v>
      </c>
      <c r="C1753" s="2" t="s">
        <v>594</v>
      </c>
      <c r="D1753" s="2" t="str">
        <f t="shared" si="26"/>
        <v>Error?</v>
      </c>
    </row>
    <row r="1754" spans="1:5" x14ac:dyDescent="0.2">
      <c r="A1754" s="5">
        <v>1693</v>
      </c>
      <c r="B1754" s="138">
        <f>'Tax Sched 23'!B14</f>
        <v>24832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6159900</v>
      </c>
      <c r="C1759" s="2" t="s">
        <v>594</v>
      </c>
      <c r="D1759" s="2" t="str">
        <f t="shared" si="26"/>
        <v>Error?</v>
      </c>
    </row>
    <row r="1760" spans="1:5" x14ac:dyDescent="0.2">
      <c r="A1760" s="5">
        <v>1699</v>
      </c>
      <c r="B1760" s="138">
        <f>'Tax Sched 23'!D4</f>
        <v>2648386</v>
      </c>
      <c r="C1760" s="2" t="s">
        <v>594</v>
      </c>
      <c r="D1760" s="2" t="str">
        <f t="shared" si="26"/>
        <v>Error?</v>
      </c>
    </row>
    <row r="1761" spans="1:5" x14ac:dyDescent="0.2">
      <c r="A1761" s="5">
        <v>1700</v>
      </c>
      <c r="B1761" s="138">
        <f>'Tax Sched 23'!D5</f>
        <v>987793</v>
      </c>
      <c r="C1761" s="2" t="s">
        <v>594</v>
      </c>
      <c r="D1761" s="2" t="str">
        <f t="shared" si="26"/>
        <v>Error?</v>
      </c>
    </row>
    <row r="1762" spans="1:5" s="8" customFormat="1" x14ac:dyDescent="0.2">
      <c r="A1762" s="5">
        <v>1701</v>
      </c>
      <c r="B1762" s="138">
        <f>'Tax Sched 23'!D6</f>
        <v>462043</v>
      </c>
      <c r="C1762" s="2" t="s">
        <v>594</v>
      </c>
      <c r="D1762" s="2" t="str">
        <f t="shared" si="26"/>
        <v>Error?</v>
      </c>
      <c r="E1762" s="9"/>
    </row>
    <row r="1763" spans="1:5" x14ac:dyDescent="0.2">
      <c r="A1763" s="5">
        <v>1702</v>
      </c>
      <c r="B1763" s="138">
        <f>'Tax Sched 23'!D7</f>
        <v>695510</v>
      </c>
      <c r="C1763" s="2" t="s">
        <v>594</v>
      </c>
      <c r="D1763" s="2" t="str">
        <f t="shared" si="26"/>
        <v>Error?</v>
      </c>
    </row>
    <row r="1764" spans="1:5" x14ac:dyDescent="0.2">
      <c r="A1764" s="5">
        <v>1703</v>
      </c>
      <c r="B1764" s="138">
        <f>'Tax Sched 23'!D8</f>
        <v>332848</v>
      </c>
      <c r="C1764" s="2" t="s">
        <v>594</v>
      </c>
      <c r="D1764" s="2" t="str">
        <f t="shared" si="26"/>
        <v>Error?</v>
      </c>
    </row>
    <row r="1765" spans="1:5" x14ac:dyDescent="0.2">
      <c r="A1765" s="5">
        <v>1704</v>
      </c>
      <c r="B1765" s="138">
        <f>'Tax Sched 23'!D10</f>
        <v>89420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447118</v>
      </c>
      <c r="C1768" s="2" t="s">
        <v>594</v>
      </c>
      <c r="D1768" s="2" t="str">
        <f t="shared" si="26"/>
        <v>Error?</v>
      </c>
    </row>
    <row r="1769" spans="1:5" x14ac:dyDescent="0.2">
      <c r="A1769" s="5">
        <v>1708</v>
      </c>
      <c r="B1769" s="138">
        <f>'Tax Sched 23'!D12</f>
        <v>89420</v>
      </c>
      <c r="C1769" s="2" t="s">
        <v>594</v>
      </c>
      <c r="D1769" s="2" t="str">
        <f t="shared" si="26"/>
        <v>Error?</v>
      </c>
    </row>
    <row r="1770" spans="1:5" x14ac:dyDescent="0.2">
      <c r="A1770" s="5">
        <v>1709</v>
      </c>
      <c r="B1770" s="138">
        <f>'Tax Sched 23'!D14</f>
        <v>24832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6159900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2793815</v>
      </c>
      <c r="C1792" s="2" t="s">
        <v>594</v>
      </c>
      <c r="D1792" s="2" t="str">
        <f t="shared" si="27"/>
        <v>Error?</v>
      </c>
    </row>
    <row r="1793" spans="1:4" x14ac:dyDescent="0.2">
      <c r="A1793" s="5">
        <v>1732</v>
      </c>
      <c r="B1793" s="138">
        <f>'Tax Sched 23'!F5</f>
        <v>1029941</v>
      </c>
      <c r="C1793" s="2" t="s">
        <v>594</v>
      </c>
      <c r="D1793" s="2" t="str">
        <f t="shared" si="27"/>
        <v>Error?</v>
      </c>
    </row>
    <row r="1794" spans="1:4" x14ac:dyDescent="0.2">
      <c r="A1794" s="5">
        <v>1733</v>
      </c>
      <c r="B1794" s="138">
        <f>'Tax Sched 23'!F6</f>
        <v>459830</v>
      </c>
      <c r="C1794" s="2" t="s">
        <v>594</v>
      </c>
      <c r="D1794" s="2" t="str">
        <f t="shared" si="27"/>
        <v>Error?</v>
      </c>
    </row>
    <row r="1795" spans="1:4" x14ac:dyDescent="0.2">
      <c r="A1795" s="5">
        <v>1734</v>
      </c>
      <c r="B1795" s="138">
        <f>'Tax Sched 23'!F7</f>
        <v>739903</v>
      </c>
      <c r="C1795" s="2" t="s">
        <v>594</v>
      </c>
      <c r="D1795" s="2" t="str">
        <f t="shared" si="27"/>
        <v>Error?</v>
      </c>
    </row>
    <row r="1796" spans="1:4" x14ac:dyDescent="0.2">
      <c r="A1796" s="5">
        <v>1735</v>
      </c>
      <c r="B1796" s="138">
        <f>'Tax Sched 23'!F8</f>
        <v>347242</v>
      </c>
      <c r="C1796" s="2" t="s">
        <v>594</v>
      </c>
      <c r="D1796" s="2" t="str">
        <f t="shared" si="27"/>
        <v>Error?</v>
      </c>
    </row>
    <row r="1797" spans="1:4" x14ac:dyDescent="0.2">
      <c r="A1797" s="5">
        <v>1736</v>
      </c>
      <c r="B1797" s="138">
        <f>'Tax Sched 23'!F10</f>
        <v>93633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465967</v>
      </c>
      <c r="C1800" s="2" t="s">
        <v>594</v>
      </c>
      <c r="D1800" s="2" t="str">
        <f t="shared" si="27"/>
        <v>Error?</v>
      </c>
    </row>
    <row r="1801" spans="1:4" x14ac:dyDescent="0.2">
      <c r="A1801" s="5">
        <v>1740</v>
      </c>
      <c r="B1801" s="138">
        <f>'Tax Sched 23'!F12</f>
        <v>93802</v>
      </c>
      <c r="C1801" s="2" t="s">
        <v>594</v>
      </c>
      <c r="D1801" s="2" t="str">
        <f t="shared" si="27"/>
        <v>Error?</v>
      </c>
    </row>
    <row r="1802" spans="1:4" x14ac:dyDescent="0.2">
      <c r="A1802" s="5">
        <v>1741</v>
      </c>
      <c r="B1802" s="138">
        <f>'Tax Sched 23'!F14</f>
        <v>25956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6449224</v>
      </c>
      <c r="C1807" s="2" t="s">
        <v>594</v>
      </c>
      <c r="D1807" s="2" t="str">
        <f t="shared" si="27"/>
        <v>Error?</v>
      </c>
    </row>
    <row r="1808" spans="1:4" x14ac:dyDescent="0.2">
      <c r="A1808" s="5">
        <v>1747</v>
      </c>
      <c r="B1808" s="138">
        <f>'Tax Sched 23'!E4</f>
        <v>2793815</v>
      </c>
      <c r="D1808" s="2" t="str">
        <f t="shared" si="27"/>
        <v>Error?</v>
      </c>
    </row>
    <row r="1809" spans="1:4" x14ac:dyDescent="0.2">
      <c r="A1809" s="5">
        <v>1748</v>
      </c>
      <c r="B1809" s="138">
        <f>'Tax Sched 23'!E5</f>
        <v>1029941</v>
      </c>
      <c r="D1809" s="2" t="str">
        <f t="shared" si="27"/>
        <v>Error?</v>
      </c>
    </row>
    <row r="1810" spans="1:4" x14ac:dyDescent="0.2">
      <c r="A1810" s="5">
        <v>1749</v>
      </c>
      <c r="B1810" s="138">
        <f>'Tax Sched 23'!E6</f>
        <v>459830</v>
      </c>
      <c r="D1810" s="2" t="str">
        <f t="shared" si="27"/>
        <v>Error?</v>
      </c>
    </row>
    <row r="1811" spans="1:4" x14ac:dyDescent="0.2">
      <c r="A1811" s="5">
        <v>1750</v>
      </c>
      <c r="B1811" s="138">
        <f>'Tax Sched 23'!E7</f>
        <v>739903</v>
      </c>
      <c r="D1811" s="2" t="str">
        <f t="shared" si="27"/>
        <v>Error?</v>
      </c>
    </row>
    <row r="1812" spans="1:4" x14ac:dyDescent="0.2">
      <c r="A1812" s="5">
        <v>1751</v>
      </c>
      <c r="B1812" s="138">
        <f>'Tax Sched 23'!E8</f>
        <v>347242</v>
      </c>
      <c r="D1812" s="2" t="str">
        <f t="shared" si="27"/>
        <v>Error?</v>
      </c>
    </row>
    <row r="1813" spans="1:4" x14ac:dyDescent="0.2">
      <c r="A1813" s="5">
        <v>1752</v>
      </c>
      <c r="B1813" s="138">
        <f>'Tax Sched 23'!E10</f>
        <v>93633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465967</v>
      </c>
      <c r="D1816" s="2" t="str">
        <f t="shared" si="27"/>
        <v>Error?</v>
      </c>
    </row>
    <row r="1817" spans="1:4" x14ac:dyDescent="0.2">
      <c r="A1817" s="5">
        <v>1756</v>
      </c>
      <c r="B1817" s="138">
        <f>'Tax Sched 23'!E12</f>
        <v>93802</v>
      </c>
      <c r="D1817" s="2" t="str">
        <f t="shared" si="27"/>
        <v>Error?</v>
      </c>
    </row>
    <row r="1818" spans="1:4" x14ac:dyDescent="0.2">
      <c r="A1818" s="5">
        <v>1757</v>
      </c>
      <c r="B1818" s="138">
        <f>'Tax Sched 23'!E14</f>
        <v>25956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6449224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3965000</v>
      </c>
      <c r="C1939" s="2" t="s">
        <v>594</v>
      </c>
      <c r="D1939" s="2" t="str">
        <f t="shared" si="29"/>
        <v>Error?</v>
      </c>
    </row>
    <row r="1940" spans="1:5" x14ac:dyDescent="0.2">
      <c r="A1940" s="5">
        <v>1879</v>
      </c>
      <c r="B1940" s="138">
        <f>'Short-Term Long-Term Debt 24'!F49</f>
        <v>6030000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24832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24832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24832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1480769</v>
      </c>
      <c r="D2008" s="2" t="str">
        <f t="shared" si="30"/>
        <v>Error?</v>
      </c>
    </row>
    <row r="2009" spans="1:4" x14ac:dyDescent="0.2">
      <c r="A2009" s="5">
        <v>1948</v>
      </c>
      <c r="B2009" s="138">
        <f>'Cap Outlay Deprec 26'!C8</f>
        <v>25236299</v>
      </c>
      <c r="D2009" s="2" t="str">
        <f t="shared" si="30"/>
        <v>Error?</v>
      </c>
    </row>
    <row r="2010" spans="1:4" x14ac:dyDescent="0.2">
      <c r="A2010" s="5">
        <v>1949</v>
      </c>
      <c r="B2010" s="138">
        <f>'Cap Outlay Deprec 26'!C10</f>
        <v>596765</v>
      </c>
      <c r="D2010" s="2" t="str">
        <f t="shared" si="30"/>
        <v>Error?</v>
      </c>
    </row>
    <row r="2011" spans="1:4" x14ac:dyDescent="0.2">
      <c r="A2011" s="5">
        <v>1950</v>
      </c>
      <c r="B2011" s="138">
        <f>'Cap Outlay Deprec 26'!C12</f>
        <v>2989379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30303212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85938</v>
      </c>
      <c r="D2016" s="2" t="str">
        <f t="shared" si="30"/>
        <v>Error?</v>
      </c>
    </row>
    <row r="2017" spans="1:4" x14ac:dyDescent="0.2">
      <c r="A2017" s="5">
        <v>1956</v>
      </c>
      <c r="B2017" s="138">
        <f>'Cap Outlay Deprec 26'!D12</f>
        <v>201940</v>
      </c>
      <c r="D2017" s="2" t="str">
        <f t="shared" si="30"/>
        <v>Error?</v>
      </c>
    </row>
    <row r="2018" spans="1:4" x14ac:dyDescent="0.2">
      <c r="A2018" s="5">
        <v>1957</v>
      </c>
      <c r="B2018" s="138">
        <f>'Cap Outlay Deprec 26'!D13</f>
        <v>22379</v>
      </c>
      <c r="D2018" s="2" t="str">
        <f t="shared" si="30"/>
        <v>Error?</v>
      </c>
    </row>
    <row r="2019" spans="1:4" x14ac:dyDescent="0.2">
      <c r="A2019" s="5">
        <v>1958</v>
      </c>
      <c r="B2019" s="138">
        <f>'Cap Outlay Deprec 26'!D16</f>
        <v>1766642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682702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682702</v>
      </c>
      <c r="C2025" s="2" t="s">
        <v>594</v>
      </c>
      <c r="D2025" s="2" t="str">
        <f t="shared" si="30"/>
        <v>Error?</v>
      </c>
    </row>
    <row r="2026" spans="1:4" x14ac:dyDescent="0.2">
      <c r="A2026" s="5">
        <v>1965</v>
      </c>
      <c r="B2026" s="138">
        <f>'Cap Outlay Deprec 26'!F5</f>
        <v>1480769</v>
      </c>
      <c r="C2026" s="2" t="s">
        <v>594</v>
      </c>
      <c r="D2026" s="2" t="str">
        <f t="shared" si="30"/>
        <v>Error?</v>
      </c>
    </row>
    <row r="2027" spans="1:4" x14ac:dyDescent="0.2">
      <c r="A2027" s="5">
        <v>1966</v>
      </c>
      <c r="B2027" s="138">
        <f>'Cap Outlay Deprec 26'!F8</f>
        <v>25236299</v>
      </c>
      <c r="C2027" s="2" t="s">
        <v>594</v>
      </c>
      <c r="D2027" s="2" t="str">
        <f t="shared" si="30"/>
        <v>Error?</v>
      </c>
    </row>
    <row r="2028" spans="1:4" x14ac:dyDescent="0.2">
      <c r="A2028" s="5">
        <v>1967</v>
      </c>
      <c r="B2028" s="138">
        <f>'Cap Outlay Deprec 26'!F10</f>
        <v>682703</v>
      </c>
      <c r="C2028" s="2" t="s">
        <v>594</v>
      </c>
      <c r="D2028" s="2" t="str">
        <f t="shared" si="30"/>
        <v>Error?</v>
      </c>
    </row>
    <row r="2029" spans="1:4" x14ac:dyDescent="0.2">
      <c r="A2029" s="5">
        <v>1968</v>
      </c>
      <c r="B2029" s="138">
        <f>'Cap Outlay Deprec 26'!F12</f>
        <v>2508617</v>
      </c>
      <c r="C2029" s="2" t="s">
        <v>594</v>
      </c>
      <c r="D2029" s="2" t="str">
        <f t="shared" si="30"/>
        <v>Error?</v>
      </c>
    </row>
    <row r="2030" spans="1:4" x14ac:dyDescent="0.2">
      <c r="A2030" s="5">
        <v>1969</v>
      </c>
      <c r="B2030" s="138">
        <f>'Cap Outlay Deprec 26'!F13</f>
        <v>22379</v>
      </c>
      <c r="C2030" s="2" t="s">
        <v>594</v>
      </c>
      <c r="D2030" s="2" t="str">
        <f t="shared" si="30"/>
        <v>Error?</v>
      </c>
    </row>
    <row r="2031" spans="1:4" x14ac:dyDescent="0.2">
      <c r="A2031" s="5">
        <v>1970</v>
      </c>
      <c r="B2031" s="138">
        <f>'Cap Outlay Deprec 26'!F16</f>
        <v>31387152</v>
      </c>
      <c r="C2031" s="2" t="s">
        <v>594</v>
      </c>
      <c r="D2031" s="2" t="str">
        <f t="shared" si="30"/>
        <v>Error?</v>
      </c>
    </row>
    <row r="2032" spans="1:4" x14ac:dyDescent="0.2">
      <c r="A2032" s="10">
        <v>1971</v>
      </c>
      <c r="D2032" s="2" t="str">
        <f t="shared" si="30"/>
        <v>OK</v>
      </c>
    </row>
    <row r="2033" spans="1:4" x14ac:dyDescent="0.2">
      <c r="A2033" s="5">
        <v>1972</v>
      </c>
      <c r="B2033" s="138">
        <f>'Cap Outlay Deprec 26'!H8</f>
        <v>7170459</v>
      </c>
      <c r="D2033" s="2" t="str">
        <f t="shared" si="30"/>
        <v>Error?</v>
      </c>
    </row>
    <row r="2034" spans="1:4" x14ac:dyDescent="0.2">
      <c r="A2034" s="5">
        <v>1973</v>
      </c>
      <c r="B2034" s="138">
        <f>'Cap Outlay Deprec 26'!H10</f>
        <v>316232</v>
      </c>
      <c r="D2034" s="2" t="str">
        <f t="shared" si="30"/>
        <v>Error?</v>
      </c>
    </row>
    <row r="2035" spans="1:4" x14ac:dyDescent="0.2">
      <c r="A2035" s="5">
        <v>1974</v>
      </c>
      <c r="B2035" s="138">
        <f>'Cap Outlay Deprec 26'!H12</f>
        <v>1975750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9462441</v>
      </c>
      <c r="C2037" s="2" t="s">
        <v>594</v>
      </c>
      <c r="D2037" s="2" t="str">
        <f t="shared" si="30"/>
        <v>Error?</v>
      </c>
    </row>
    <row r="2038" spans="1:4" x14ac:dyDescent="0.2">
      <c r="A2038" s="10">
        <v>1977</v>
      </c>
      <c r="D2038" s="2" t="str">
        <f t="shared" si="30"/>
        <v>OK</v>
      </c>
    </row>
    <row r="2039" spans="1:4" x14ac:dyDescent="0.2">
      <c r="A2039" s="5">
        <v>1978</v>
      </c>
      <c r="B2039" s="138">
        <f>'Cap Outlay Deprec 26'!I8</f>
        <v>492188</v>
      </c>
      <c r="D2039" s="2" t="str">
        <f t="shared" si="30"/>
        <v>Error?</v>
      </c>
    </row>
    <row r="2040" spans="1:4" x14ac:dyDescent="0.2">
      <c r="A2040" s="5">
        <v>1979</v>
      </c>
      <c r="B2040" s="138">
        <f>'Cap Outlay Deprec 26'!I10</f>
        <v>30669</v>
      </c>
      <c r="D2040" s="2" t="str">
        <f t="shared" si="30"/>
        <v>Error?</v>
      </c>
    </row>
    <row r="2041" spans="1:4" x14ac:dyDescent="0.2">
      <c r="A2041" s="5">
        <v>1980</v>
      </c>
      <c r="B2041" s="138">
        <f>'Cap Outlay Deprec 26'!I12</f>
        <v>256291</v>
      </c>
      <c r="D2041" s="2" t="str">
        <f t="shared" si="30"/>
        <v>Error?</v>
      </c>
    </row>
    <row r="2042" spans="1:4" x14ac:dyDescent="0.2">
      <c r="A2042" s="5">
        <v>1981</v>
      </c>
      <c r="B2042" s="138">
        <f>'Cap Outlay Deprec 26'!I13</f>
        <v>4476</v>
      </c>
      <c r="D2042" s="2" t="str">
        <f t="shared" si="30"/>
        <v>Error?</v>
      </c>
    </row>
    <row r="2043" spans="1:4" x14ac:dyDescent="0.2">
      <c r="A2043" s="5">
        <v>1982</v>
      </c>
      <c r="B2043" s="138">
        <f>'Cap Outlay Deprec 26'!I16</f>
        <v>783624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682702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682702</v>
      </c>
      <c r="C2049" s="2" t="s">
        <v>594</v>
      </c>
      <c r="D2049" s="2" t="str">
        <f t="shared" si="31"/>
        <v>Error?</v>
      </c>
    </row>
    <row r="2050" spans="1:4" x14ac:dyDescent="0.2">
      <c r="A2050" s="10">
        <v>1989</v>
      </c>
      <c r="D2050" s="2" t="str">
        <f t="shared" si="31"/>
        <v>OK</v>
      </c>
    </row>
    <row r="2051" spans="1:4" x14ac:dyDescent="0.2">
      <c r="A2051" s="5">
        <v>1990</v>
      </c>
      <c r="B2051" s="138">
        <f>'Cap Outlay Deprec 26'!K8</f>
        <v>7662647</v>
      </c>
      <c r="C2051" s="2" t="s">
        <v>594</v>
      </c>
      <c r="D2051" s="2" t="str">
        <f t="shared" si="31"/>
        <v>Error?</v>
      </c>
    </row>
    <row r="2052" spans="1:4" x14ac:dyDescent="0.2">
      <c r="A2052" s="5">
        <v>1991</v>
      </c>
      <c r="B2052" s="138">
        <f>'Cap Outlay Deprec 26'!K10</f>
        <v>346901</v>
      </c>
      <c r="C2052" s="2" t="s">
        <v>594</v>
      </c>
      <c r="D2052" s="2" t="str">
        <f t="shared" si="31"/>
        <v>Error?</v>
      </c>
    </row>
    <row r="2053" spans="1:4" x14ac:dyDescent="0.2">
      <c r="A2053" s="5">
        <v>1992</v>
      </c>
      <c r="B2053" s="138">
        <f>'Cap Outlay Deprec 26'!K12</f>
        <v>1549339</v>
      </c>
      <c r="C2053" s="2" t="s">
        <v>594</v>
      </c>
      <c r="D2053" s="2" t="str">
        <f t="shared" si="31"/>
        <v>Error?</v>
      </c>
    </row>
    <row r="2054" spans="1:4" x14ac:dyDescent="0.2">
      <c r="A2054" s="5">
        <v>1993</v>
      </c>
      <c r="B2054" s="138">
        <f>'Cap Outlay Deprec 26'!K13</f>
        <v>4476</v>
      </c>
      <c r="C2054" s="2" t="s">
        <v>594</v>
      </c>
      <c r="D2054" s="2" t="str">
        <f t="shared" si="31"/>
        <v>Error?</v>
      </c>
    </row>
    <row r="2055" spans="1:4" x14ac:dyDescent="0.2">
      <c r="A2055" s="5">
        <v>1994</v>
      </c>
      <c r="B2055" s="138">
        <f>'Cap Outlay Deprec 26'!K16</f>
        <v>9563363</v>
      </c>
      <c r="C2055" s="2" t="s">
        <v>594</v>
      </c>
      <c r="D2055" s="2" t="str">
        <f t="shared" si="31"/>
        <v>Error?</v>
      </c>
    </row>
    <row r="2056" spans="1:4" x14ac:dyDescent="0.2">
      <c r="A2056" s="5">
        <v>1995</v>
      </c>
      <c r="B2056" s="138">
        <f>'Cap Outlay Deprec 26'!L5</f>
        <v>1480769</v>
      </c>
      <c r="C2056" s="2" t="s">
        <v>594</v>
      </c>
      <c r="D2056" s="2" t="str">
        <f t="shared" si="31"/>
        <v>Error?</v>
      </c>
    </row>
    <row r="2057" spans="1:4" x14ac:dyDescent="0.2">
      <c r="A2057" s="5">
        <v>1996</v>
      </c>
      <c r="B2057" s="138">
        <f>'Cap Outlay Deprec 26'!L8</f>
        <v>17573652</v>
      </c>
      <c r="C2057" s="2" t="s">
        <v>594</v>
      </c>
      <c r="D2057" s="2" t="str">
        <f t="shared" si="31"/>
        <v>Error?</v>
      </c>
    </row>
    <row r="2058" spans="1:4" x14ac:dyDescent="0.2">
      <c r="A2058" s="5">
        <v>1997</v>
      </c>
      <c r="B2058" s="138">
        <f>'Cap Outlay Deprec 26'!L10</f>
        <v>335802</v>
      </c>
      <c r="C2058" s="2" t="s">
        <v>594</v>
      </c>
      <c r="D2058" s="2" t="str">
        <f t="shared" si="31"/>
        <v>Error?</v>
      </c>
    </row>
    <row r="2059" spans="1:4" x14ac:dyDescent="0.2">
      <c r="A2059" s="5">
        <v>1998</v>
      </c>
      <c r="B2059" s="138">
        <f>'Cap Outlay Deprec 26'!L12</f>
        <v>959278</v>
      </c>
      <c r="C2059" s="2" t="s">
        <v>594</v>
      </c>
      <c r="D2059" s="2" t="str">
        <f t="shared" si="31"/>
        <v>Error?</v>
      </c>
    </row>
    <row r="2060" spans="1:4" x14ac:dyDescent="0.2">
      <c r="A2060" s="5">
        <v>1999</v>
      </c>
      <c r="B2060" s="138">
        <f>'Cap Outlay Deprec 26'!L13</f>
        <v>17903</v>
      </c>
      <c r="C2060" s="2" t="s">
        <v>594</v>
      </c>
      <c r="D2060" s="2" t="str">
        <f t="shared" si="31"/>
        <v>Error?</v>
      </c>
    </row>
    <row r="2061" spans="1:4" x14ac:dyDescent="0.2">
      <c r="A2061" s="5">
        <v>2000</v>
      </c>
      <c r="B2061" s="138">
        <f>'Cap Outlay Deprec 26'!L16</f>
        <v>21823789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241478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679184</v>
      </c>
      <c r="C2088" s="2" t="s">
        <v>594</v>
      </c>
      <c r="D2088" s="2" t="str">
        <f t="shared" si="31"/>
        <v>Error?</v>
      </c>
    </row>
    <row r="2089" spans="1:4" x14ac:dyDescent="0.2">
      <c r="A2089" s="5">
        <v>2028</v>
      </c>
      <c r="B2089" s="138">
        <f>'Expenditures 15-22'!K92</f>
        <v>143333</v>
      </c>
      <c r="C2089" s="2" t="s">
        <v>594</v>
      </c>
      <c r="D2089" s="2" t="str">
        <f t="shared" si="31"/>
        <v>Error?</v>
      </c>
    </row>
    <row r="2090" spans="1:4" x14ac:dyDescent="0.2">
      <c r="A2090" s="10">
        <v>2029</v>
      </c>
      <c r="D2090" s="2" t="str">
        <f t="shared" si="31"/>
        <v>OK</v>
      </c>
    </row>
    <row r="2091" spans="1:4" x14ac:dyDescent="0.2">
      <c r="A2091" s="5">
        <v>2030</v>
      </c>
      <c r="B2091" s="138">
        <f>'Expenditures 15-22'!H137</f>
        <v>1389</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1389</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84215</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46886</v>
      </c>
      <c r="D2435" s="2" t="str">
        <f t="shared" si="37"/>
        <v>Error?</v>
      </c>
    </row>
    <row r="2436" spans="1:4" x14ac:dyDescent="0.2">
      <c r="A2436" s="10">
        <v>2375</v>
      </c>
      <c r="D2436" s="2" t="str">
        <f t="shared" si="37"/>
        <v>OK</v>
      </c>
    </row>
    <row r="2437" spans="1:4" x14ac:dyDescent="0.2">
      <c r="A2437" s="5">
        <v>2376</v>
      </c>
      <c r="B2437" s="138">
        <f>'Assets-Liab 5-6'!D38</f>
        <v>32480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235911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3293251</v>
      </c>
      <c r="C2551" s="2" t="s">
        <v>594</v>
      </c>
      <c r="D2551" s="2" t="str">
        <f t="shared" si="38"/>
        <v>Error?</v>
      </c>
    </row>
    <row r="2552" spans="1:4" x14ac:dyDescent="0.2">
      <c r="A2552" s="10">
        <v>2491</v>
      </c>
      <c r="D2552" s="2" t="str">
        <f t="shared" si="38"/>
        <v>OK</v>
      </c>
    </row>
    <row r="2553" spans="1:4" x14ac:dyDescent="0.2">
      <c r="A2553" s="5">
        <v>2492</v>
      </c>
      <c r="B2553" s="138">
        <f>'Acct Summary 7-8'!C6</f>
        <v>9374861</v>
      </c>
      <c r="C2553" s="2" t="s">
        <v>594</v>
      </c>
      <c r="D2553" s="2" t="str">
        <f t="shared" si="38"/>
        <v>Error?</v>
      </c>
    </row>
    <row r="2554" spans="1:4" x14ac:dyDescent="0.2">
      <c r="A2554" s="5">
        <v>2493</v>
      </c>
      <c r="B2554" s="138">
        <f>'Acct Summary 7-8'!C7</f>
        <v>5282717</v>
      </c>
      <c r="C2554" s="2" t="s">
        <v>594</v>
      </c>
      <c r="D2554" s="2" t="str">
        <f t="shared" si="38"/>
        <v>Error?</v>
      </c>
    </row>
    <row r="2555" spans="1:4" x14ac:dyDescent="0.2">
      <c r="A2555" s="5">
        <v>2494</v>
      </c>
      <c r="B2555" s="138">
        <f>'Acct Summary 7-8'!C8</f>
        <v>17950829</v>
      </c>
      <c r="C2555" s="2" t="s">
        <v>594</v>
      </c>
      <c r="D2555" s="2" t="str">
        <f t="shared" si="38"/>
        <v>Error?</v>
      </c>
    </row>
    <row r="2556" spans="1:4" x14ac:dyDescent="0.2">
      <c r="A2556" s="5">
        <v>2495</v>
      </c>
      <c r="B2556" s="138">
        <f>'Acct Summary 7-8'!C12</f>
        <v>10273048</v>
      </c>
      <c r="C2556" s="2" t="s">
        <v>594</v>
      </c>
      <c r="D2556" s="2" t="str">
        <f t="shared" si="38"/>
        <v>Error?</v>
      </c>
    </row>
    <row r="2557" spans="1:4" x14ac:dyDescent="0.2">
      <c r="A2557" s="5">
        <v>2496</v>
      </c>
      <c r="B2557" s="138">
        <f>'Acct Summary 7-8'!C13</f>
        <v>5171072</v>
      </c>
      <c r="C2557" s="2" t="s">
        <v>594</v>
      </c>
      <c r="D2557" s="2" t="str">
        <f t="shared" si="38"/>
        <v>Error?</v>
      </c>
    </row>
    <row r="2558" spans="1:4" x14ac:dyDescent="0.2">
      <c r="A2558" s="5">
        <v>2497</v>
      </c>
      <c r="B2558" s="138">
        <f>'Acct Summary 7-8'!C14</f>
        <v>285127</v>
      </c>
      <c r="C2558" s="2" t="s">
        <v>594</v>
      </c>
      <c r="D2558" s="2" t="str">
        <f t="shared" si="38"/>
        <v>Error?</v>
      </c>
    </row>
    <row r="2559" spans="1:4" x14ac:dyDescent="0.2">
      <c r="A2559" s="5">
        <v>2498</v>
      </c>
      <c r="B2559" s="138">
        <f>'Acct Summary 7-8'!C15</f>
        <v>822517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16551764</v>
      </c>
      <c r="C2561" s="2" t="s">
        <v>594</v>
      </c>
      <c r="D2561" s="2" t="str">
        <f t="shared" si="39"/>
        <v>Error?</v>
      </c>
    </row>
    <row r="2562" spans="1:4" x14ac:dyDescent="0.2">
      <c r="A2562" s="5">
        <v>2501</v>
      </c>
      <c r="B2562" s="138">
        <f>'Acct Summary 7-8'!C20</f>
        <v>1399065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1098231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1098231</v>
      </c>
      <c r="C2568" s="2" t="s">
        <v>594</v>
      </c>
      <c r="D2568" s="2" t="str">
        <f t="shared" si="39"/>
        <v>Error?</v>
      </c>
    </row>
    <row r="2569" spans="1:4" x14ac:dyDescent="0.2">
      <c r="A2569" s="5">
        <v>2508</v>
      </c>
      <c r="B2569" s="138">
        <f>'Acct Summary 7-8'!D13</f>
        <v>1092304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1389</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1093693</v>
      </c>
      <c r="C2573" s="2" t="s">
        <v>594</v>
      </c>
      <c r="D2573" s="2" t="str">
        <f t="shared" si="39"/>
        <v>Error?</v>
      </c>
    </row>
    <row r="2574" spans="1:4" x14ac:dyDescent="0.2">
      <c r="A2574" s="5">
        <v>2513</v>
      </c>
      <c r="B2574" s="138">
        <f>'Acct Summary 7-8'!D20</f>
        <v>4538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695708</v>
      </c>
      <c r="C2591" s="2" t="s">
        <v>594</v>
      </c>
      <c r="D2591" s="2" t="str">
        <f t="shared" si="39"/>
        <v>Error?</v>
      </c>
    </row>
    <row r="2592" spans="1:4" x14ac:dyDescent="0.2">
      <c r="A2592" s="10">
        <v>2531</v>
      </c>
      <c r="D2592" s="2" t="str">
        <f t="shared" si="39"/>
        <v>OK</v>
      </c>
    </row>
    <row r="2593" spans="1:4" x14ac:dyDescent="0.2">
      <c r="A2593" s="5">
        <v>2532</v>
      </c>
      <c r="B2593" s="138">
        <f>'Acct Summary 7-8'!F6</f>
        <v>967946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1663654</v>
      </c>
      <c r="C2595" s="2" t="s">
        <v>594</v>
      </c>
      <c r="D2595" s="2" t="str">
        <f t="shared" si="39"/>
        <v>Error?</v>
      </c>
    </row>
    <row r="2596" spans="1:4" x14ac:dyDescent="0.2">
      <c r="A2596" s="5">
        <v>2535</v>
      </c>
      <c r="B2596" s="138">
        <f>'Acct Summary 7-8'!F13</f>
        <v>1285107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1285107</v>
      </c>
      <c r="C2600" s="2" t="s">
        <v>594</v>
      </c>
      <c r="D2600" s="2" t="str">
        <f t="shared" si="39"/>
        <v>Error?</v>
      </c>
    </row>
    <row r="2601" spans="1:4" x14ac:dyDescent="0.2">
      <c r="A2601" s="5">
        <v>2540</v>
      </c>
      <c r="B2601" s="138">
        <f>'Acct Summary 7-8'!F20</f>
        <v>378547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731871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731871</v>
      </c>
      <c r="C2606" s="2" t="s">
        <v>594</v>
      </c>
      <c r="D2606" s="2" t="str">
        <f t="shared" si="39"/>
        <v>Error?</v>
      </c>
    </row>
    <row r="2607" spans="1:4" x14ac:dyDescent="0.2">
      <c r="A2607" s="5">
        <v>2546</v>
      </c>
      <c r="B2607" s="138">
        <f>'Acct Summary 7-8'!G12</f>
        <v>276416</v>
      </c>
      <c r="C2607" s="2" t="s">
        <v>594</v>
      </c>
      <c r="D2607" s="2" t="str">
        <f t="shared" si="39"/>
        <v>Error?</v>
      </c>
    </row>
    <row r="2608" spans="1:4" x14ac:dyDescent="0.2">
      <c r="A2608" s="5">
        <v>2547</v>
      </c>
      <c r="B2608" s="138">
        <f>'Acct Summary 7-8'!G13</f>
        <v>315034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591450</v>
      </c>
      <c r="C2612" s="2" t="s">
        <v>594</v>
      </c>
      <c r="D2612" s="2" t="str">
        <f t="shared" si="39"/>
        <v>Error?</v>
      </c>
    </row>
    <row r="2613" spans="1:4" x14ac:dyDescent="0.2">
      <c r="A2613" s="5">
        <v>2552</v>
      </c>
      <c r="B2613" s="138">
        <f>'Acct Summary 7-8'!G20</f>
        <v>140421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724639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724639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1557054</v>
      </c>
      <c r="C2634" s="2" t="s">
        <v>594</v>
      </c>
      <c r="D2634" s="2" t="str">
        <f t="shared" si="40"/>
        <v>Error?</v>
      </c>
    </row>
    <row r="2635" spans="1:4" x14ac:dyDescent="0.2">
      <c r="A2635" s="5">
        <v>2574</v>
      </c>
      <c r="B2635" s="138">
        <f>'Acct Summary 7-8'!E17</f>
        <v>1557054</v>
      </c>
      <c r="C2635" s="2" t="s">
        <v>594</v>
      </c>
      <c r="D2635" s="2" t="str">
        <f t="shared" si="40"/>
        <v>Error?</v>
      </c>
    </row>
    <row r="2636" spans="1:4" x14ac:dyDescent="0.2">
      <c r="A2636" s="5">
        <v>2575</v>
      </c>
      <c r="B2636" s="138">
        <f>'Acct Summary 7-8'!E20</f>
        <v>-832415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68585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68585</v>
      </c>
      <c r="C2658" s="2" t="s">
        <v>594</v>
      </c>
      <c r="D2658" s="2" t="str">
        <f t="shared" si="40"/>
        <v>Error?</v>
      </c>
    </row>
    <row r="2659" spans="1:4" x14ac:dyDescent="0.2">
      <c r="A2659" s="5">
        <v>2598</v>
      </c>
      <c r="B2659" s="138">
        <f>'Acct Summary 7-8'!H13</f>
        <v>1456406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1456406</v>
      </c>
      <c r="C2661" s="2" t="s">
        <v>594</v>
      </c>
      <c r="D2661" s="2" t="str">
        <f t="shared" si="40"/>
        <v>Error?</v>
      </c>
    </row>
    <row r="2662" spans="1:4" x14ac:dyDescent="0.2">
      <c r="A2662" s="5">
        <v>2601</v>
      </c>
      <c r="B2662" s="138">
        <f>'Acct Summary 7-8'!H20</f>
        <v>-1387821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83908</v>
      </c>
      <c r="D2718" s="2" t="str">
        <f t="shared" si="41"/>
        <v>Error?</v>
      </c>
    </row>
    <row r="2719" spans="1:4" x14ac:dyDescent="0.2">
      <c r="A2719" s="5">
        <v>2658</v>
      </c>
      <c r="B2719" s="138">
        <f>'Expenditures 15-22'!D51</f>
        <v>17010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2431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103349</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437706</v>
      </c>
      <c r="C2789" s="2" t="s">
        <v>594</v>
      </c>
      <c r="D2789" s="2" t="str">
        <f t="shared" si="42"/>
        <v>Error?</v>
      </c>
    </row>
    <row r="2790" spans="1:4" x14ac:dyDescent="0.2">
      <c r="A2790" s="5">
        <v>2729</v>
      </c>
      <c r="B2790" s="138">
        <f>'Expenditures 15-22'!E102</f>
        <v>437706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48540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106179</v>
      </c>
      <c r="D2862" s="2" t="str">
        <f t="shared" si="43"/>
        <v>Error?</v>
      </c>
    </row>
    <row r="2863" spans="1:4" x14ac:dyDescent="0.2">
      <c r="A2863" s="10">
        <v>2802</v>
      </c>
      <c r="D2863" s="2" t="str">
        <f t="shared" si="43"/>
        <v>OK</v>
      </c>
    </row>
    <row r="2864" spans="1:4" x14ac:dyDescent="0.2">
      <c r="A2864" s="5">
        <v>2803</v>
      </c>
      <c r="B2864" s="138">
        <f>'Assets-Liab 5-6'!M20</f>
        <v>1456386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1465267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1465267</v>
      </c>
      <c r="D2912" s="2" t="str">
        <f t="shared" si="44"/>
        <v>Error?</v>
      </c>
    </row>
    <row r="2913" spans="1:4" x14ac:dyDescent="0.2">
      <c r="A2913" s="5">
        <v>2852</v>
      </c>
      <c r="B2913" s="138">
        <f>'Assets-Liab 5-6'!I41</f>
        <v>1465267</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435942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1764</v>
      </c>
      <c r="D2954" s="2" t="str">
        <f t="shared" si="45"/>
        <v>Error?</v>
      </c>
    </row>
    <row r="2955" spans="1:4" x14ac:dyDescent="0.2">
      <c r="A2955" s="5">
        <v>2894</v>
      </c>
      <c r="B2955" s="138">
        <f>'Expenditures 15-22'!H78</f>
        <v>18812</v>
      </c>
      <c r="D2955" s="2" t="str">
        <f t="shared" si="45"/>
        <v>Error?</v>
      </c>
    </row>
    <row r="2956" spans="1:4" x14ac:dyDescent="0.2">
      <c r="A2956" s="5">
        <v>2895</v>
      </c>
      <c r="B2956" s="138">
        <f>'Expenditures 15-22'!H79</f>
        <v>222666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454754</v>
      </c>
      <c r="C2973" s="2" t="s">
        <v>594</v>
      </c>
      <c r="D2973" s="2" t="str">
        <f t="shared" si="45"/>
        <v>Error?</v>
      </c>
    </row>
    <row r="2974" spans="1:4" x14ac:dyDescent="0.2">
      <c r="A2974" s="5">
        <v>2913</v>
      </c>
      <c r="B2974" s="138">
        <f>'Expenditures 15-22'!K79</f>
        <v>222666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1764</v>
      </c>
      <c r="C2978" s="2" t="s">
        <v>594</v>
      </c>
      <c r="D2978" s="2" t="str">
        <f t="shared" si="45"/>
        <v>Error?</v>
      </c>
    </row>
    <row r="2979" spans="1:4" x14ac:dyDescent="0.2">
      <c r="A2979" s="5">
        <v>2918</v>
      </c>
      <c r="B2979" s="138">
        <f>'Expenditures 15-22'!H134</f>
        <v>1389</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1389</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419506</v>
      </c>
      <c r="D3055" s="2" t="str">
        <f t="shared" si="46"/>
        <v>Error?</v>
      </c>
    </row>
    <row r="3056" spans="1:4" x14ac:dyDescent="0.2">
      <c r="A3056" s="5">
        <v>2995</v>
      </c>
      <c r="B3056" s="138">
        <f>'Expenditures 15-22'!D10</f>
        <v>106056</v>
      </c>
      <c r="D3056" s="2" t="str">
        <f t="shared" si="46"/>
        <v>Error?</v>
      </c>
    </row>
    <row r="3057" spans="1:4" x14ac:dyDescent="0.2">
      <c r="A3057" s="5">
        <v>2996</v>
      </c>
      <c r="B3057" s="138">
        <f>'Expenditures 15-22'!E10</f>
        <v>71717</v>
      </c>
      <c r="D3057" s="2" t="str">
        <f t="shared" si="46"/>
        <v>Error?</v>
      </c>
    </row>
    <row r="3058" spans="1:4" x14ac:dyDescent="0.2">
      <c r="A3058" s="5">
        <v>2997</v>
      </c>
      <c r="B3058" s="138">
        <f>'Expenditures 15-22'!F10</f>
        <v>140534</v>
      </c>
      <c r="D3058" s="2" t="str">
        <f t="shared" si="46"/>
        <v>Error?</v>
      </c>
    </row>
    <row r="3059" spans="1:4" x14ac:dyDescent="0.2">
      <c r="A3059" s="5">
        <v>2998</v>
      </c>
      <c r="B3059" s="138">
        <f>'Expenditures 15-22'!G10</f>
        <v>43414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781227</v>
      </c>
      <c r="C3062" s="2" t="s">
        <v>594</v>
      </c>
      <c r="D3062" s="2" t="str">
        <f t="shared" si="46"/>
        <v>Error?</v>
      </c>
    </row>
    <row r="3063" spans="1:4" x14ac:dyDescent="0.2">
      <c r="A3063" s="10">
        <v>3002</v>
      </c>
      <c r="D3063" s="2" t="str">
        <f t="shared" si="46"/>
        <v>OK</v>
      </c>
    </row>
    <row r="3064" spans="1:4" x14ac:dyDescent="0.2">
      <c r="A3064" s="5">
        <v>3003</v>
      </c>
      <c r="B3064" s="138">
        <f>'Expenditures 15-22'!D219</f>
        <v>20596</v>
      </c>
      <c r="D3064" s="2" t="str">
        <f t="shared" si="46"/>
        <v>Error?</v>
      </c>
    </row>
    <row r="3065" spans="1:4" x14ac:dyDescent="0.2">
      <c r="A3065" s="5">
        <v>3004</v>
      </c>
      <c r="B3065" s="138">
        <f>'Expenditures 15-22'!K219</f>
        <v>20596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530000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100018</v>
      </c>
      <c r="C3225" s="2" t="s">
        <v>594</v>
      </c>
      <c r="D3225" s="2" t="str">
        <f t="shared" si="49"/>
        <v>Error?</v>
      </c>
    </row>
    <row r="3226" spans="1:4" x14ac:dyDescent="0.2">
      <c r="A3226" s="5">
        <v>3165</v>
      </c>
      <c r="B3226" s="138">
        <f>'Acct Summary 7-8'!I8</f>
        <v>100018</v>
      </c>
      <c r="C3226" s="2" t="s">
        <v>594</v>
      </c>
      <c r="D3226" s="2" t="str">
        <f t="shared" si="49"/>
        <v>Error?</v>
      </c>
    </row>
    <row r="3227" spans="1:4" x14ac:dyDescent="0.2">
      <c r="A3227" s="5">
        <v>3166</v>
      </c>
      <c r="B3227" s="138">
        <f>'Acct Summary 7-8'!I20</f>
        <v>100018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1399065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4538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378547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140421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193597</v>
      </c>
      <c r="D3273" s="2" t="str">
        <f t="shared" si="50"/>
        <v>Error?</v>
      </c>
    </row>
    <row r="3274" spans="1:4" x14ac:dyDescent="0.2">
      <c r="A3274" s="5">
        <v>3213</v>
      </c>
      <c r="B3274" s="138">
        <f>'Acct Summary 7-8'!E44</f>
        <v>821900</v>
      </c>
      <c r="C3274" s="2" t="s">
        <v>594</v>
      </c>
      <c r="D3274" s="2" t="str">
        <f t="shared" si="50"/>
        <v>Error?</v>
      </c>
    </row>
    <row r="3275" spans="1:4" x14ac:dyDescent="0.2">
      <c r="A3275" s="5">
        <v>3214</v>
      </c>
      <c r="B3275" s="138">
        <f>'Acct Summary 7-8'!E75</f>
        <v>13688</v>
      </c>
      <c r="D3275" s="2" t="str">
        <f t="shared" si="50"/>
        <v>Error?</v>
      </c>
    </row>
    <row r="3276" spans="1:4" x14ac:dyDescent="0.2">
      <c r="A3276" s="5">
        <v>3215</v>
      </c>
      <c r="B3276" s="138">
        <f>'Acct Summary 7-8'!E76</f>
        <v>13688</v>
      </c>
      <c r="C3276" s="2" t="s">
        <v>594</v>
      </c>
      <c r="D3276" s="2" t="str">
        <f t="shared" si="50"/>
        <v>Error?</v>
      </c>
    </row>
    <row r="3277" spans="1:4" x14ac:dyDescent="0.2">
      <c r="A3277" s="5">
        <v>3216</v>
      </c>
      <c r="B3277" s="138">
        <f>'Acct Summary 7-8'!E77</f>
        <v>808212</v>
      </c>
      <c r="C3277" s="2" t="s">
        <v>594</v>
      </c>
      <c r="D3277" s="2" t="str">
        <f t="shared" si="50"/>
        <v>Error?</v>
      </c>
    </row>
    <row r="3278" spans="1:4" x14ac:dyDescent="0.2">
      <c r="A3278" s="5">
        <v>3217</v>
      </c>
      <c r="B3278" s="138">
        <f>'Acct Summary 7-8'!E78</f>
        <v>-24203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5829553</v>
      </c>
      <c r="C3296" s="2" t="s">
        <v>594</v>
      </c>
      <c r="D3296" s="2" t="str">
        <f t="shared" si="50"/>
        <v>Error?</v>
      </c>
    </row>
    <row r="3297" spans="1:4" x14ac:dyDescent="0.2">
      <c r="A3297" s="5">
        <v>3236</v>
      </c>
      <c r="B3297" s="138">
        <f>'Acct Summary 7-8'!H75</f>
        <v>329370</v>
      </c>
      <c r="D3297" s="2" t="str">
        <f t="shared" si="50"/>
        <v>Error?</v>
      </c>
    </row>
    <row r="3298" spans="1:4" x14ac:dyDescent="0.2">
      <c r="A3298" s="5">
        <v>3237</v>
      </c>
      <c r="B3298" s="138">
        <f>'Acct Summary 7-8'!H76</f>
        <v>329370</v>
      </c>
      <c r="C3298" s="2" t="s">
        <v>594</v>
      </c>
      <c r="D3298" s="2" t="str">
        <f t="shared" si="50"/>
        <v>Error?</v>
      </c>
    </row>
    <row r="3299" spans="1:4" x14ac:dyDescent="0.2">
      <c r="A3299" s="5">
        <v>3238</v>
      </c>
      <c r="B3299" s="138">
        <f>'Acct Summary 7-8'!H77</f>
        <v>5500183</v>
      </c>
      <c r="C3299" s="2" t="s">
        <v>594</v>
      </c>
      <c r="D3299" s="2" t="str">
        <f t="shared" si="50"/>
        <v>Error?</v>
      </c>
    </row>
    <row r="3300" spans="1:4" x14ac:dyDescent="0.2">
      <c r="A3300" s="5">
        <v>3239</v>
      </c>
      <c r="B3300" s="138">
        <f>'Acct Summary 7-8'!H78</f>
        <v>4112362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84215</v>
      </c>
      <c r="C3318" s="2" t="s">
        <v>594</v>
      </c>
      <c r="D3318" s="2" t="str">
        <f t="shared" si="50"/>
        <v>Error?</v>
      </c>
    </row>
    <row r="3319" spans="1:4" x14ac:dyDescent="0.2">
      <c r="A3319" s="5">
        <v>3258</v>
      </c>
      <c r="B3319" s="138">
        <f>'Acct Summary 7-8'!I77</f>
        <v>-84215</v>
      </c>
      <c r="C3319" s="2" t="s">
        <v>594</v>
      </c>
      <c r="D3319" s="2" t="str">
        <f t="shared" si="50"/>
        <v>Error?</v>
      </c>
    </row>
    <row r="3320" spans="1:4" x14ac:dyDescent="0.2">
      <c r="A3320" s="5">
        <v>3259</v>
      </c>
      <c r="B3320" s="138">
        <f>'Acct Summary 7-8'!I78</f>
        <v>15803</v>
      </c>
      <c r="C3320" s="2" t="s">
        <v>594</v>
      </c>
      <c r="D3320" s="2" t="str">
        <f t="shared" si="50"/>
        <v>Error?</v>
      </c>
    </row>
    <row r="3321" spans="1:4" x14ac:dyDescent="0.2">
      <c r="A3321" s="5">
        <v>3260</v>
      </c>
      <c r="B3321" s="138">
        <f>'Acct Summary 7-8'!I79</f>
        <v>1449464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1465267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1900177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319671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28089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2249679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99217</v>
      </c>
      <c r="D3387" s="2" t="str">
        <f t="shared" si="51"/>
        <v>Error?</v>
      </c>
    </row>
    <row r="3388" spans="1:4" x14ac:dyDescent="0.2">
      <c r="A3388" s="5">
        <v>3327</v>
      </c>
      <c r="B3388" s="138">
        <f>'Expenditures 15-22'!D217</f>
        <v>149793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99217</v>
      </c>
      <c r="C3390" s="2" t="s">
        <v>594</v>
      </c>
      <c r="D3390" s="2" t="str">
        <f t="shared" si="51"/>
        <v>Error?</v>
      </c>
    </row>
    <row r="3391" spans="1:4" x14ac:dyDescent="0.2">
      <c r="A3391" s="5">
        <v>3330</v>
      </c>
      <c r="B3391" s="138">
        <f>'Expenditures 15-22'!K217</f>
        <v>149793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4931938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302460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v>
      </c>
      <c r="D3417" s="2" t="str">
        <f t="shared" si="52"/>
        <v>Error?</v>
      </c>
    </row>
    <row r="3418" spans="1:4" x14ac:dyDescent="0.2">
      <c r="A3418" s="10">
        <v>3357</v>
      </c>
      <c r="D3418" s="2" t="str">
        <f t="shared" si="52"/>
        <v>OK</v>
      </c>
    </row>
    <row r="3419" spans="1:4" x14ac:dyDescent="0.2">
      <c r="A3419" s="5">
        <v>3358</v>
      </c>
      <c r="B3419" s="138">
        <f>'Assets-Liab 5-6'!F4</f>
        <v>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461043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4112362</v>
      </c>
      <c r="D3425" s="2" t="str">
        <f t="shared" si="52"/>
        <v>Error?</v>
      </c>
    </row>
    <row r="3426" spans="1:4" x14ac:dyDescent="0.2">
      <c r="A3426" s="10">
        <v>3365</v>
      </c>
      <c r="D3426" s="2" t="str">
        <f t="shared" si="52"/>
        <v>OK</v>
      </c>
    </row>
    <row r="3427" spans="1:4" x14ac:dyDescent="0.2">
      <c r="A3427" s="5">
        <v>3366</v>
      </c>
      <c r="B3427" s="138">
        <f>'Assets-Liab 5-6'!I4</f>
        <v>996472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332848</v>
      </c>
      <c r="C3446" s="2" t="s">
        <v>594</v>
      </c>
      <c r="D3446" s="2" t="str">
        <f t="shared" si="52"/>
        <v>Error?</v>
      </c>
    </row>
    <row r="3447" spans="1:4" x14ac:dyDescent="0.2">
      <c r="A3447" s="5">
        <v>3386</v>
      </c>
      <c r="B3447" s="138">
        <f>'Tax Sched 23'!D16</f>
        <v>332848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347242</v>
      </c>
      <c r="C3449" s="2" t="s">
        <v>594</v>
      </c>
      <c r="D3449" s="2" t="str">
        <f t="shared" si="52"/>
        <v>Error?</v>
      </c>
    </row>
    <row r="3450" spans="1:4" x14ac:dyDescent="0.2">
      <c r="A3450" s="5">
        <v>3389</v>
      </c>
      <c r="B3450" s="138">
        <f>'Tax Sched 23'!E16</f>
        <v>347242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1456385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1456385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1456385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98147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98147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98147</v>
      </c>
      <c r="D3567" s="2" t="str">
        <f t="shared" si="54"/>
        <v>Error?</v>
      </c>
    </row>
    <row r="3568" spans="1:4" x14ac:dyDescent="0.2">
      <c r="A3568" s="5">
        <v>3507</v>
      </c>
      <c r="B3568" s="138">
        <f>'Assets-Liab 5-6'!K41</f>
        <v>98147</v>
      </c>
      <c r="C3568" s="2" t="s">
        <v>594</v>
      </c>
      <c r="D3568" s="2" t="str">
        <f t="shared" si="54"/>
        <v>Error?</v>
      </c>
    </row>
    <row r="3569" spans="1:4" x14ac:dyDescent="0.2">
      <c r="A3569" s="5">
        <v>3508</v>
      </c>
      <c r="B3569" s="138">
        <f>'Acct Summary 7-8'!K4</f>
        <v>90350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90350</v>
      </c>
      <c r="C3571" s="2" t="s">
        <v>594</v>
      </c>
      <c r="D3571" s="2" t="str">
        <f t="shared" si="54"/>
        <v>Error?</v>
      </c>
    </row>
    <row r="3572" spans="1:4" x14ac:dyDescent="0.2">
      <c r="A3572" s="5">
        <v>3511</v>
      </c>
      <c r="B3572" s="138">
        <f>'Acct Summary 7-8'!K13</f>
        <v>24622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24622</v>
      </c>
      <c r="C3575" s="2" t="s">
        <v>594</v>
      </c>
      <c r="D3575" s="2" t="str">
        <f t="shared" si="54"/>
        <v>Error?</v>
      </c>
    </row>
    <row r="3576" spans="1:4" x14ac:dyDescent="0.2">
      <c r="A3576" s="5">
        <v>3515</v>
      </c>
      <c r="B3576" s="138">
        <f>'Acct Summary 7-8'!K20</f>
        <v>65728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65728</v>
      </c>
      <c r="C3588" s="2" t="s">
        <v>594</v>
      </c>
      <c r="D3588" s="2" t="str">
        <f t="shared" si="55"/>
        <v>Error?</v>
      </c>
    </row>
    <row r="3589" spans="1:4" x14ac:dyDescent="0.2">
      <c r="A3589" s="5">
        <v>3528</v>
      </c>
      <c r="B3589" s="138">
        <f>'Acct Summary 7-8'!K79</f>
        <v>32419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98147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24622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24622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24622</v>
      </c>
      <c r="C3635" s="2" t="s">
        <v>594</v>
      </c>
      <c r="D3635" s="2" t="str">
        <f t="shared" si="55"/>
        <v>Error?</v>
      </c>
    </row>
    <row r="3636" spans="1:4" x14ac:dyDescent="0.2">
      <c r="A3636" s="5">
        <v>3575</v>
      </c>
      <c r="B3636" s="138">
        <f>'Expenditures 15-22'!E367</f>
        <v>24622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24622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24622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24622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24622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65728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49682</v>
      </c>
      <c r="C3725" s="2" t="s">
        <v>594</v>
      </c>
      <c r="D3725" s="2" t="str">
        <f t="shared" si="57"/>
        <v>Error?</v>
      </c>
    </row>
    <row r="3726" spans="1:4" x14ac:dyDescent="0.2">
      <c r="A3726" s="5">
        <v>3665</v>
      </c>
      <c r="B3726" s="138">
        <f>'Tax Sched 23'!D13</f>
        <v>49682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51893</v>
      </c>
      <c r="C3728" s="2" t="s">
        <v>594</v>
      </c>
      <c r="D3728" s="2" t="str">
        <f t="shared" si="57"/>
        <v>Error?</v>
      </c>
    </row>
    <row r="3729" spans="1:4" x14ac:dyDescent="0.2">
      <c r="A3729" s="5">
        <v>3668</v>
      </c>
      <c r="B3729" s="138">
        <f>'Tax Sched 23'!E13</f>
        <v>51893</v>
      </c>
      <c r="D3729" s="2" t="str">
        <f t="shared" si="57"/>
        <v>Error?</v>
      </c>
    </row>
    <row r="3730" spans="1:4" x14ac:dyDescent="0.2">
      <c r="A3730" s="5">
        <v>3669</v>
      </c>
      <c r="B3730" s="138">
        <f>'ICR Computation 30'!E10</f>
        <v>81662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5873370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23824199</v>
      </c>
      <c r="C4122" s="2" t="s">
        <v>594</v>
      </c>
      <c r="D4122" s="2" t="str">
        <f t="shared" si="63"/>
        <v>Error?</v>
      </c>
    </row>
    <row r="4123" spans="1:4" x14ac:dyDescent="0.2">
      <c r="A4123" s="5">
        <v>4062</v>
      </c>
      <c r="B4123" s="138">
        <f>'Acct Summary 7-8'!D10</f>
        <v>1098231</v>
      </c>
      <c r="C4123" s="2" t="s">
        <v>594</v>
      </c>
      <c r="D4123" s="2" t="str">
        <f t="shared" si="63"/>
        <v>Error?</v>
      </c>
    </row>
    <row r="4124" spans="1:4" x14ac:dyDescent="0.2">
      <c r="A4124" s="5">
        <v>4063</v>
      </c>
      <c r="B4124" s="138">
        <f>'Acct Summary 7-8'!E10</f>
        <v>724639</v>
      </c>
      <c r="C4124" s="2" t="s">
        <v>594</v>
      </c>
      <c r="D4124" s="2" t="str">
        <f t="shared" si="63"/>
        <v>Error?</v>
      </c>
    </row>
    <row r="4125" spans="1:4" x14ac:dyDescent="0.2">
      <c r="A4125" s="5">
        <v>4064</v>
      </c>
      <c r="B4125" s="138">
        <f>'Acct Summary 7-8'!F10</f>
        <v>1663654</v>
      </c>
      <c r="C4125" s="2" t="s">
        <v>594</v>
      </c>
      <c r="D4125" s="2" t="str">
        <f t="shared" si="63"/>
        <v>Error?</v>
      </c>
    </row>
    <row r="4126" spans="1:4" x14ac:dyDescent="0.2">
      <c r="A4126" s="5">
        <v>4065</v>
      </c>
      <c r="B4126" s="138">
        <f>'Acct Summary 7-8'!G10</f>
        <v>731871</v>
      </c>
      <c r="C4126" s="2" t="s">
        <v>594</v>
      </c>
      <c r="D4126" s="2" t="str">
        <f t="shared" si="63"/>
        <v>Error?</v>
      </c>
    </row>
    <row r="4127" spans="1:4" x14ac:dyDescent="0.2">
      <c r="A4127" s="5">
        <v>4066</v>
      </c>
      <c r="B4127" s="138">
        <f>'Acct Summary 7-8'!H10</f>
        <v>68585</v>
      </c>
      <c r="C4127" s="2" t="s">
        <v>594</v>
      </c>
      <c r="D4127" s="2" t="str">
        <f t="shared" si="63"/>
        <v>Error?</v>
      </c>
    </row>
    <row r="4128" spans="1:4" x14ac:dyDescent="0.2">
      <c r="A4128" s="5">
        <v>4067</v>
      </c>
      <c r="B4128" s="138">
        <f>'Acct Summary 7-8'!I10</f>
        <v>100018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90350</v>
      </c>
      <c r="C4130" s="2" t="s">
        <v>594</v>
      </c>
      <c r="D4130" s="2" t="str">
        <f t="shared" si="63"/>
        <v>Error?</v>
      </c>
    </row>
    <row r="4131" spans="1:4" x14ac:dyDescent="0.2">
      <c r="A4131" s="5">
        <v>4070</v>
      </c>
      <c r="B4131" s="138">
        <f>'Acct Summary 7-8'!C18</f>
        <v>5873370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22425134</v>
      </c>
      <c r="C4136" s="2" t="s">
        <v>594</v>
      </c>
      <c r="D4136" s="2" t="str">
        <f t="shared" si="63"/>
        <v>Error?</v>
      </c>
    </row>
    <row r="4137" spans="1:4" x14ac:dyDescent="0.2">
      <c r="A4137" s="5">
        <v>4076</v>
      </c>
      <c r="B4137" s="138">
        <f>'Acct Summary 7-8'!D19</f>
        <v>1093693</v>
      </c>
      <c r="C4137" s="2" t="s">
        <v>594</v>
      </c>
      <c r="D4137" s="2" t="str">
        <f t="shared" si="63"/>
        <v>Error?</v>
      </c>
    </row>
    <row r="4138" spans="1:4" x14ac:dyDescent="0.2">
      <c r="A4138" s="5">
        <v>4077</v>
      </c>
      <c r="B4138" s="138">
        <f>'Acct Summary 7-8'!E19</f>
        <v>1557054</v>
      </c>
      <c r="C4138" s="2" t="s">
        <v>594</v>
      </c>
      <c r="D4138" s="2" t="str">
        <f t="shared" si="63"/>
        <v>Error?</v>
      </c>
    </row>
    <row r="4139" spans="1:4" x14ac:dyDescent="0.2">
      <c r="A4139" s="5">
        <v>4078</v>
      </c>
      <c r="B4139" s="138">
        <f>'Acct Summary 7-8'!F19</f>
        <v>1285107</v>
      </c>
      <c r="C4139" s="2" t="s">
        <v>594</v>
      </c>
      <c r="D4139" s="2" t="str">
        <f t="shared" si="63"/>
        <v>Error?</v>
      </c>
    </row>
    <row r="4140" spans="1:4" x14ac:dyDescent="0.2">
      <c r="A4140" s="5">
        <v>4079</v>
      </c>
      <c r="B4140" s="138">
        <f>'Acct Summary 7-8'!G19</f>
        <v>591450</v>
      </c>
      <c r="C4140" s="2" t="s">
        <v>594</v>
      </c>
      <c r="D4140" s="2" t="str">
        <f t="shared" si="63"/>
        <v>Error?</v>
      </c>
    </row>
    <row r="4141" spans="1:4" x14ac:dyDescent="0.2">
      <c r="A4141" s="5">
        <v>4080</v>
      </c>
      <c r="B4141" s="138">
        <f>'Acct Summary 7-8'!H19</f>
        <v>1456406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24622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8780000</v>
      </c>
      <c r="C4171" s="2" t="s">
        <v>594</v>
      </c>
      <c r="D4171" s="2" t="str">
        <f t="shared" si="64"/>
        <v>Error?</v>
      </c>
    </row>
    <row r="4172" spans="1:4" x14ac:dyDescent="0.2">
      <c r="A4172" s="5">
        <v>4111</v>
      </c>
      <c r="B4172" s="138">
        <f>'Short-Term Long-Term Debt 24'!J49</f>
        <v>8779989</v>
      </c>
      <c r="C4172" s="2" t="s">
        <v>594</v>
      </c>
      <c r="D4172" s="2" t="str">
        <f t="shared" si="64"/>
        <v>Error?</v>
      </c>
    </row>
    <row r="4173" spans="1:4" x14ac:dyDescent="0.2">
      <c r="A4173" s="5">
        <v>4112</v>
      </c>
      <c r="B4173" s="138">
        <f>'Short-Term Long-Term Debt 24'!H49</f>
        <v>1215000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1488.6200000000001</v>
      </c>
      <c r="C4265" s="2" t="s">
        <v>594</v>
      </c>
      <c r="D4265" s="2" t="str">
        <f t="shared" si="65"/>
        <v>Error?</v>
      </c>
      <c r="E4265" s="128"/>
    </row>
    <row r="4266" spans="1:5" x14ac:dyDescent="0.2">
      <c r="A4266" s="12">
        <v>4205</v>
      </c>
      <c r="B4266" s="138">
        <f>('FP Info 3'!F10)*100000</f>
        <v>548.78</v>
      </c>
      <c r="C4266" s="2" t="s">
        <v>594</v>
      </c>
      <c r="D4266" s="2" t="str">
        <f t="shared" si="65"/>
        <v>Error?</v>
      </c>
      <c r="E4266" s="128"/>
    </row>
    <row r="4267" spans="1:5" x14ac:dyDescent="0.2">
      <c r="A4267" s="12">
        <v>4206</v>
      </c>
      <c r="B4267" s="138">
        <f>('FP Info 3'!H10)*100000</f>
        <v>394.20000000000005</v>
      </c>
      <c r="C4267" s="2" t="s">
        <v>594</v>
      </c>
      <c r="D4267" s="2" t="str">
        <f t="shared" si="65"/>
        <v>Error?</v>
      </c>
      <c r="E4267" s="128"/>
    </row>
    <row r="4268" spans="1:5" x14ac:dyDescent="0.2">
      <c r="A4268" s="12">
        <v>4207</v>
      </c>
      <c r="B4268" s="138">
        <f>('FP Info 3'!J10)*100000</f>
        <v>2432</v>
      </c>
      <c r="C4268" s="2" t="s">
        <v>594</v>
      </c>
      <c r="D4268" s="2" t="str">
        <f t="shared" si="65"/>
        <v>Error?</v>
      </c>
    </row>
    <row r="4269" spans="1:5" x14ac:dyDescent="0.2">
      <c r="A4269" s="12">
        <v>4208</v>
      </c>
      <c r="B4269" s="138">
        <f>'FP Info 3'!J16</f>
        <v>6223476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7733</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44119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465997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24144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24144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271866</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290349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143976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17672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1945</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187678217</v>
      </c>
      <c r="D4995" s="2" t="str">
        <f t="shared" si="77"/>
        <v>Error?</v>
      </c>
    </row>
    <row r="4996" spans="1:4" x14ac:dyDescent="0.2">
      <c r="A4996" s="12">
        <v>4935</v>
      </c>
      <c r="B4996" s="138">
        <f>'FP Info 3'!H31</f>
        <v>12949796.973000001</v>
      </c>
      <c r="D4996" s="2" t="str">
        <f t="shared" si="77"/>
        <v>Error?</v>
      </c>
    </row>
    <row r="4997" spans="1:4" x14ac:dyDescent="0.2">
      <c r="A4997" s="12">
        <v>4936</v>
      </c>
      <c r="B4997" s="138">
        <f>'FP Info 3'!H37</f>
        <v>8780000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2648386</v>
      </c>
      <c r="D5061" s="2" t="str">
        <f t="shared" si="78"/>
        <v>Error?</v>
      </c>
    </row>
    <row r="5062" spans="1:4" x14ac:dyDescent="0.2">
      <c r="A5062" s="10">
        <v>5001</v>
      </c>
      <c r="D5062" s="2" t="str">
        <f t="shared" si="78"/>
        <v>OK</v>
      </c>
    </row>
    <row r="5063" spans="1:4" x14ac:dyDescent="0.2">
      <c r="A5063" s="5">
        <v>5002</v>
      </c>
      <c r="B5063" s="138">
        <f>'Revenues 9-14'!C7</f>
        <v>24832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2673218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184671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184671</v>
      </c>
      <c r="C5087" s="2" t="s">
        <v>594</v>
      </c>
      <c r="D5087" s="2" t="str">
        <f t="shared" si="78"/>
        <v>Error?</v>
      </c>
    </row>
    <row r="5088" spans="1:4" x14ac:dyDescent="0.2">
      <c r="A5088" s="5">
        <v>5027</v>
      </c>
      <c r="B5088" s="138">
        <f>'Revenues 9-14'!C65</f>
        <v>60183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60183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4726</v>
      </c>
      <c r="D5094" s="2" t="str">
        <f t="shared" si="78"/>
        <v>Error?</v>
      </c>
    </row>
    <row r="5095" spans="1:4" x14ac:dyDescent="0.2">
      <c r="A5095" s="5">
        <v>5034</v>
      </c>
      <c r="B5095" s="138">
        <f>'Revenues 9-14'!C74</f>
        <v>103599</v>
      </c>
      <c r="D5095" s="2" t="str">
        <f t="shared" si="78"/>
        <v>Error?</v>
      </c>
    </row>
    <row r="5096" spans="1:4" x14ac:dyDescent="0.2">
      <c r="A5096" s="5">
        <v>5035</v>
      </c>
      <c r="B5096" s="138">
        <f>'Revenues 9-14'!C75</f>
        <v>108325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105210</v>
      </c>
      <c r="D5101" s="2" t="str">
        <f t="shared" si="78"/>
        <v>Error?</v>
      </c>
    </row>
    <row r="5102" spans="1:4" x14ac:dyDescent="0.2">
      <c r="A5102" s="5">
        <v>5041</v>
      </c>
      <c r="B5102" s="138">
        <f>'Revenues 9-14'!C82</f>
        <v>105210</v>
      </c>
      <c r="C5102" s="2" t="s">
        <v>594</v>
      </c>
      <c r="D5102" s="2" t="str">
        <f t="shared" si="78"/>
        <v>Error?</v>
      </c>
    </row>
    <row r="5103" spans="1:4" x14ac:dyDescent="0.2">
      <c r="A5103" s="5">
        <v>5042</v>
      </c>
      <c r="B5103" s="138">
        <f>'Revenues 9-14'!C84</f>
        <v>6130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6130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136074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8530</v>
      </c>
      <c r="D5119" s="2" t="str">
        <f t="shared" ref="D5119:D5182" si="79">IF(ISBLANK(B5119),"OK",IF(A5119-B5119=0,"OK","Error?"))</f>
        <v>Error?</v>
      </c>
    </row>
    <row r="5120" spans="1:4" x14ac:dyDescent="0.2">
      <c r="A5120" s="5">
        <v>5059</v>
      </c>
      <c r="B5120" s="138">
        <f>'Revenues 9-14'!C108</f>
        <v>155514</v>
      </c>
      <c r="C5120" s="2" t="s">
        <v>594</v>
      </c>
      <c r="D5120" s="2" t="str">
        <f t="shared" si="79"/>
        <v>Error?</v>
      </c>
    </row>
    <row r="5121" spans="1:4" x14ac:dyDescent="0.2">
      <c r="A5121" s="5">
        <v>5060</v>
      </c>
      <c r="B5121" s="138">
        <f>'Revenues 9-14'!C109</f>
        <v>3293251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7392818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7394763</v>
      </c>
      <c r="C5132" s="2" t="s">
        <v>594</v>
      </c>
      <c r="D5132" s="2" t="str">
        <f t="shared" si="79"/>
        <v>Error?</v>
      </c>
    </row>
    <row r="5133" spans="1:4" x14ac:dyDescent="0.2">
      <c r="A5133" s="5">
        <v>5072</v>
      </c>
      <c r="B5133" s="138">
        <f>'Revenues 9-14'!C124</f>
        <v>6064</v>
      </c>
      <c r="D5133" s="2" t="str">
        <f t="shared" si="79"/>
        <v>Error?</v>
      </c>
    </row>
    <row r="5134" spans="1:4" x14ac:dyDescent="0.2">
      <c r="A5134" s="5">
        <v>5073</v>
      </c>
      <c r="B5134" s="138">
        <f>'Revenues 9-14'!C125</f>
        <v>105808</v>
      </c>
      <c r="D5134" s="2" t="str">
        <f t="shared" si="79"/>
        <v>Error?</v>
      </c>
    </row>
    <row r="5135" spans="1:4" x14ac:dyDescent="0.2">
      <c r="A5135" s="5">
        <v>5074</v>
      </c>
      <c r="B5135" s="138">
        <f>'Revenues 9-14'!C126</f>
        <v>170032</v>
      </c>
      <c r="D5135" s="2" t="str">
        <f t="shared" si="79"/>
        <v>Error?</v>
      </c>
    </row>
    <row r="5136" spans="1:4" x14ac:dyDescent="0.2">
      <c r="A5136" s="10">
        <v>5075</v>
      </c>
      <c r="D5136" s="2" t="str">
        <f t="shared" si="79"/>
        <v>OK</v>
      </c>
    </row>
    <row r="5137" spans="1:4" x14ac:dyDescent="0.2">
      <c r="A5137" s="5">
        <v>5076</v>
      </c>
      <c r="B5137" s="138">
        <f>'Revenues 9-14'!C127</f>
        <v>167716</v>
      </c>
      <c r="D5137" s="2" t="str">
        <f t="shared" si="79"/>
        <v>Error?</v>
      </c>
    </row>
    <row r="5138" spans="1:4" x14ac:dyDescent="0.2">
      <c r="A5138" s="10">
        <v>5077</v>
      </c>
      <c r="D5138" s="2" t="str">
        <f t="shared" si="79"/>
        <v>OK</v>
      </c>
    </row>
    <row r="5139" spans="1:4" x14ac:dyDescent="0.2">
      <c r="A5139" s="5">
        <v>5078</v>
      </c>
      <c r="B5139" s="138">
        <f>'Revenues 9-14'!C128</f>
        <v>8720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5606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463946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22065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1494087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1980098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9374861</v>
      </c>
      <c r="C5223" s="2" t="s">
        <v>594</v>
      </c>
      <c r="D5223" s="2" t="str">
        <f t="shared" si="80"/>
        <v>Error?</v>
      </c>
    </row>
    <row r="5224" spans="1:4" x14ac:dyDescent="0.2">
      <c r="A5224" s="5">
        <v>5163</v>
      </c>
      <c r="B5224" s="138">
        <f>'Revenues 9-14'!C176</f>
        <v>326</v>
      </c>
      <c r="D5224" s="2" t="str">
        <f t="shared" si="80"/>
        <v>Error?</v>
      </c>
    </row>
    <row r="5225" spans="1:4" x14ac:dyDescent="0.2">
      <c r="A5225" s="5">
        <v>5164</v>
      </c>
      <c r="B5225" s="138">
        <f>'Revenues 9-14'!C178</f>
        <v>326</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1578212</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1578212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853646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325686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103847</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1385756</v>
      </c>
      <c r="C5246" s="2" t="s">
        <v>594</v>
      </c>
      <c r="D5246" s="2" t="str">
        <f t="shared" si="80"/>
        <v>Error?</v>
      </c>
    </row>
    <row r="5247" spans="1:4" x14ac:dyDescent="0.2">
      <c r="A5247" s="5">
        <v>5186</v>
      </c>
      <c r="B5247" s="138">
        <f>'Revenues 9-14'!C203</f>
        <v>1042423</v>
      </c>
      <c r="D5247" s="2" t="str">
        <f t="shared" ref="D5247:D5310" si="81">IF(ISBLANK(B5247),"OK",IF(A5247-B5247=0,"OK","Error?"))</f>
        <v>Error?</v>
      </c>
    </row>
    <row r="5248" spans="1:4" x14ac:dyDescent="0.2">
      <c r="A5248" s="5">
        <v>5187</v>
      </c>
      <c r="B5248" s="138">
        <f>'Revenues 9-14'!C204</f>
        <v>4797</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18483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1047220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87628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87628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3704179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5282717</v>
      </c>
      <c r="C5326" s="2" t="s">
        <v>594</v>
      </c>
      <c r="D5326" s="2" t="str">
        <f t="shared" si="82"/>
        <v>Error?</v>
      </c>
    </row>
    <row r="5327" spans="1:4" x14ac:dyDescent="0.2">
      <c r="A5327" s="5">
        <v>5266</v>
      </c>
      <c r="B5327" s="138">
        <f>'Revenues 9-14'!C275</f>
        <v>17950829</v>
      </c>
      <c r="C5327" s="2" t="s">
        <v>594</v>
      </c>
      <c r="D5327" s="2" t="str">
        <f t="shared" si="82"/>
        <v>Error?</v>
      </c>
    </row>
    <row r="5328" spans="1:4" x14ac:dyDescent="0.2">
      <c r="A5328" s="5">
        <v>5267</v>
      </c>
      <c r="B5328" s="138">
        <f>'Revenues 9-14'!D5</f>
        <v>987793</v>
      </c>
      <c r="D5328" s="2" t="str">
        <f t="shared" si="82"/>
        <v>Error?</v>
      </c>
    </row>
    <row r="5329" spans="1:4" x14ac:dyDescent="0.2">
      <c r="A5329" s="10">
        <v>5268</v>
      </c>
      <c r="D5329" s="2" t="str">
        <f t="shared" si="82"/>
        <v>OK</v>
      </c>
    </row>
    <row r="5330" spans="1:4" x14ac:dyDescent="0.2">
      <c r="A5330" s="5">
        <v>5269</v>
      </c>
      <c r="B5330" s="138">
        <f>'Revenues 9-14'!D6</f>
        <v>49682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1037475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6284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6284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53995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477</v>
      </c>
      <c r="D5354" s="2" t="str">
        <f t="shared" si="82"/>
        <v>Error?</v>
      </c>
    </row>
    <row r="5355" spans="1:4" x14ac:dyDescent="0.2">
      <c r="A5355" s="5">
        <v>5294</v>
      </c>
      <c r="B5355" s="138">
        <f>'Revenues 9-14'!D108</f>
        <v>54472</v>
      </c>
      <c r="C5355" s="2" t="s">
        <v>594</v>
      </c>
      <c r="D5355" s="2" t="str">
        <f t="shared" si="82"/>
        <v>Error?</v>
      </c>
    </row>
    <row r="5356" spans="1:4" x14ac:dyDescent="0.2">
      <c r="A5356" s="5">
        <v>5295</v>
      </c>
      <c r="B5356" s="138">
        <f>'Revenues 9-14'!D109</f>
        <v>1098231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1098231</v>
      </c>
      <c r="C5508" s="2" t="s">
        <v>594</v>
      </c>
      <c r="D5508" s="2" t="str">
        <f t="shared" si="85"/>
        <v>Error?</v>
      </c>
    </row>
    <row r="5509" spans="1:4" x14ac:dyDescent="0.2">
      <c r="A5509" s="5">
        <v>5448</v>
      </c>
      <c r="B5509" s="138">
        <f>'Revenues 9-14'!E5</f>
        <v>462043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462043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254842</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254842</v>
      </c>
      <c r="C5518" s="2" t="s">
        <v>594</v>
      </c>
      <c r="D5518" s="2" t="str">
        <f t="shared" si="85"/>
        <v>Error?</v>
      </c>
    </row>
    <row r="5519" spans="1:4" x14ac:dyDescent="0.2">
      <c r="A5519" s="5">
        <v>5458</v>
      </c>
      <c r="B5519" s="138">
        <f>'Revenues 9-14'!E65</f>
        <v>7754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724639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724639</v>
      </c>
      <c r="C5552" s="2" t="s">
        <v>594</v>
      </c>
      <c r="D5552" s="2" t="str">
        <f t="shared" si="85"/>
        <v>Error?</v>
      </c>
    </row>
    <row r="5553" spans="1:4" x14ac:dyDescent="0.2">
      <c r="A5553" s="5">
        <v>5492</v>
      </c>
      <c r="B5553" s="138">
        <f>'Revenues 9-14'!F5</f>
        <v>695510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695510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695708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675266</v>
      </c>
      <c r="D5615" s="2" t="str">
        <f t="shared" si="86"/>
        <v>Error?</v>
      </c>
    </row>
    <row r="5616" spans="1:4" x14ac:dyDescent="0.2">
      <c r="A5616" s="10">
        <v>5555</v>
      </c>
      <c r="D5616" s="2" t="str">
        <f t="shared" si="86"/>
        <v>OK</v>
      </c>
    </row>
    <row r="5617" spans="1:4" x14ac:dyDescent="0.2">
      <c r="A5617" s="5">
        <v>5556</v>
      </c>
      <c r="B5617" s="138">
        <f>'Revenues 9-14'!F152</f>
        <v>292680</v>
      </c>
      <c r="D5617" s="2" t="str">
        <f t="shared" si="86"/>
        <v>Error?</v>
      </c>
    </row>
    <row r="5618" spans="1:4" x14ac:dyDescent="0.2">
      <c r="A5618" s="5">
        <v>5557</v>
      </c>
      <c r="B5618" s="138">
        <f>'Revenues 9-14'!F154</f>
        <v>967946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967946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967946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1663654</v>
      </c>
      <c r="C5720" s="2" t="s">
        <v>594</v>
      </c>
      <c r="D5720" s="2" t="str">
        <f t="shared" si="88"/>
        <v>Error?</v>
      </c>
    </row>
    <row r="5721" spans="1:4" x14ac:dyDescent="0.2">
      <c r="A5721" s="5">
        <v>5660</v>
      </c>
      <c r="B5721" s="138">
        <f>'Revenues 9-14'!G5</f>
        <v>332848</v>
      </c>
      <c r="D5721" s="2" t="str">
        <f t="shared" si="88"/>
        <v>Error?</v>
      </c>
    </row>
    <row r="5722" spans="1:4" x14ac:dyDescent="0.2">
      <c r="A5722" s="5">
        <v>5661</v>
      </c>
      <c r="B5722" s="138">
        <f>'Revenues 9-14'!G7</f>
        <v>0</v>
      </c>
      <c r="D5722" s="2" t="str">
        <f t="shared" si="88"/>
        <v>Error?</v>
      </c>
    </row>
    <row r="5723" spans="1:4" x14ac:dyDescent="0.2">
      <c r="A5723" s="5">
        <v>5662</v>
      </c>
      <c r="B5723" s="138">
        <f>'Revenues 9-14'!G8</f>
        <v>332848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665696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60000</v>
      </c>
      <c r="C5730" s="2" t="s">
        <v>594</v>
      </c>
      <c r="D5730" s="2" t="str">
        <f t="shared" si="88"/>
        <v>Error?</v>
      </c>
    </row>
    <row r="5731" spans="1:4" x14ac:dyDescent="0.2">
      <c r="A5731" s="5">
        <v>5670</v>
      </c>
      <c r="B5731" s="138">
        <f>'Revenues 9-14'!G65</f>
        <v>6175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6175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731871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68585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68585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68585</v>
      </c>
      <c r="C5915" s="2" t="s">
        <v>594</v>
      </c>
      <c r="D5915" s="2" t="str">
        <f t="shared" si="91"/>
        <v>Error?</v>
      </c>
    </row>
    <row r="5916" spans="1:4" x14ac:dyDescent="0.2">
      <c r="A5916" s="5">
        <v>5855</v>
      </c>
      <c r="B5916" s="138">
        <f>'Revenues 9-14'!I5</f>
        <v>89420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89420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10598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10598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100018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89420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89420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930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930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90350</v>
      </c>
      <c r="C6023" s="2" t="s">
        <v>594</v>
      </c>
      <c r="D6023" s="2" t="str">
        <f t="shared" si="93"/>
        <v>Error?</v>
      </c>
    </row>
    <row r="6024" spans="1:5" x14ac:dyDescent="0.2">
      <c r="A6024" s="5">
        <v>5963</v>
      </c>
      <c r="B6024" s="138">
        <f>'Revenues 9-14'!G109</f>
        <v>731871</v>
      </c>
      <c r="C6024" s="2" t="s">
        <v>594</v>
      </c>
      <c r="D6024" s="2" t="str">
        <f t="shared" si="93"/>
        <v>Error?</v>
      </c>
    </row>
    <row r="6025" spans="1:5" x14ac:dyDescent="0.2">
      <c r="A6025" s="5">
        <v>5964</v>
      </c>
      <c r="B6025" s="138">
        <f>'Revenues 9-14'!H109</f>
        <v>68585</v>
      </c>
      <c r="C6025" s="2" t="s">
        <v>594</v>
      </c>
      <c r="D6025" s="2" t="str">
        <f t="shared" si="93"/>
        <v>Error?</v>
      </c>
    </row>
    <row r="6026" spans="1:5" x14ac:dyDescent="0.2">
      <c r="A6026" s="5">
        <v>5965</v>
      </c>
      <c r="B6026" s="138">
        <f>'Revenues 9-14'!I109</f>
        <v>100018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90350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102296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1385.15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7523</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17730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468795</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28094</v>
      </c>
      <c r="D6124" s="2" t="str">
        <f t="shared" si="94"/>
        <v>Error?</v>
      </c>
      <c r="E6124" s="2" t="s">
        <v>199</v>
      </c>
    </row>
    <row r="6125" spans="1:5" x14ac:dyDescent="0.2">
      <c r="A6125">
        <v>6064</v>
      </c>
      <c r="B6125" s="138">
        <f>'Assets-Liab 5-6'!C25</f>
        <v>148445</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10320</v>
      </c>
      <c r="D6127" s="2" t="str">
        <f t="shared" si="94"/>
        <v>Error?</v>
      </c>
      <c r="E6127" s="2" t="s">
        <v>199</v>
      </c>
    </row>
    <row r="6128" spans="1:5" x14ac:dyDescent="0.2">
      <c r="A6128">
        <v>6067</v>
      </c>
      <c r="B6128" s="138">
        <f>'Assets-Liab 5-6'!F25</f>
        <v>335283</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28094</v>
      </c>
      <c r="D6215" s="2" t="str">
        <f t="shared" si="96"/>
        <v>Error?</v>
      </c>
      <c r="E6215" s="2" t="s">
        <v>199</v>
      </c>
    </row>
    <row r="6216" spans="1:5" x14ac:dyDescent="0.2">
      <c r="A6216">
        <v>6155</v>
      </c>
      <c r="B6216" s="138">
        <f>'Assets-Liab 5-6'!J41</f>
        <v>28094</v>
      </c>
      <c r="D6216" s="2" t="str">
        <f t="shared" si="96"/>
        <v>Error?</v>
      </c>
      <c r="E6216" s="2" t="s">
        <v>199</v>
      </c>
    </row>
    <row r="6217" spans="1:5" x14ac:dyDescent="0.2">
      <c r="A6217">
        <v>6156</v>
      </c>
      <c r="B6217" s="138">
        <f>'Assets-Liab 5-6'!J4</f>
        <v>28094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447561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447561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447561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421811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421811</v>
      </c>
      <c r="D6229" s="2" t="str">
        <f t="shared" si="96"/>
        <v>Error?</v>
      </c>
      <c r="E6229" s="2" t="s">
        <v>199</v>
      </c>
    </row>
    <row r="6230" spans="1:5" x14ac:dyDescent="0.2">
      <c r="A6230">
        <v>6169</v>
      </c>
      <c r="B6230" s="138">
        <f>'Acct Summary 7-8'!J20</f>
        <v>25750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25750</v>
      </c>
      <c r="D6263" s="2" t="str">
        <f t="shared" si="96"/>
        <v>Error?</v>
      </c>
      <c r="E6263" s="2" t="s">
        <v>199</v>
      </c>
    </row>
    <row r="6264" spans="1:5" x14ac:dyDescent="0.2">
      <c r="A6264">
        <v>6203</v>
      </c>
      <c r="B6264" s="138">
        <f>'Acct Summary 7-8'!J79</f>
        <v>2344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28094</v>
      </c>
      <c r="D6266" s="2" t="str">
        <f t="shared" si="96"/>
        <v>Error?</v>
      </c>
      <c r="E6266" s="2" t="s">
        <v>199</v>
      </c>
    </row>
    <row r="6267" spans="1:5" x14ac:dyDescent="0.2">
      <c r="A6267">
        <v>6206</v>
      </c>
      <c r="B6267" s="138">
        <f>'Acct Summary 7-8'!C82</f>
        <v>1399065</v>
      </c>
      <c r="D6267" s="2" t="str">
        <f t="shared" si="96"/>
        <v>Error?</v>
      </c>
      <c r="E6267" s="2" t="s">
        <v>199</v>
      </c>
    </row>
    <row r="6268" spans="1:5" x14ac:dyDescent="0.2">
      <c r="A6268">
        <v>6207</v>
      </c>
      <c r="B6268" s="138">
        <f>'Acct Summary 7-8'!D82</f>
        <v>4538</v>
      </c>
      <c r="D6268" s="2" t="str">
        <f t="shared" si="96"/>
        <v>Error?</v>
      </c>
      <c r="E6268" s="2" t="s">
        <v>199</v>
      </c>
    </row>
    <row r="6269" spans="1:5" x14ac:dyDescent="0.2">
      <c r="A6269">
        <v>6208</v>
      </c>
      <c r="B6269" s="138">
        <f>'Acct Summary 7-8'!E82</f>
        <v>-24203</v>
      </c>
      <c r="D6269" s="2" t="str">
        <f t="shared" si="96"/>
        <v>Error?</v>
      </c>
      <c r="E6269" s="2" t="s">
        <v>199</v>
      </c>
    </row>
    <row r="6270" spans="1:5" x14ac:dyDescent="0.2">
      <c r="A6270">
        <v>6209</v>
      </c>
      <c r="B6270" s="138">
        <f>'Acct Summary 7-8'!F82</f>
        <v>378547</v>
      </c>
      <c r="D6270" s="2" t="str">
        <f t="shared" si="96"/>
        <v>Error?</v>
      </c>
      <c r="E6270" s="2" t="s">
        <v>199</v>
      </c>
    </row>
    <row r="6271" spans="1:5" x14ac:dyDescent="0.2">
      <c r="A6271">
        <v>6210</v>
      </c>
      <c r="B6271" s="138">
        <f>'Acct Summary 7-8'!G82</f>
        <v>140421</v>
      </c>
      <c r="D6271" s="2" t="str">
        <f t="shared" ref="D6271:D6334" si="97">IF(ISBLANK(B6271),"OK",IF(A6271-B6271=0,"OK","Error?"))</f>
        <v>Error?</v>
      </c>
      <c r="E6271" s="2" t="s">
        <v>199</v>
      </c>
    </row>
    <row r="6272" spans="1:5" x14ac:dyDescent="0.2">
      <c r="A6272">
        <v>6211</v>
      </c>
      <c r="B6272" s="138">
        <f>'Acct Summary 7-8'!H82</f>
        <v>4112362</v>
      </c>
      <c r="D6272" s="2" t="str">
        <f t="shared" si="97"/>
        <v>Error?</v>
      </c>
      <c r="E6272" s="2" t="s">
        <v>199</v>
      </c>
    </row>
    <row r="6273" spans="1:5" x14ac:dyDescent="0.2">
      <c r="A6273">
        <v>6212</v>
      </c>
      <c r="B6273" s="138">
        <f>'Acct Summary 7-8'!I82</f>
        <v>15803</v>
      </c>
      <c r="D6273" s="2" t="str">
        <f t="shared" si="97"/>
        <v>Error?</v>
      </c>
      <c r="E6273" s="2" t="s">
        <v>199</v>
      </c>
    </row>
    <row r="6274" spans="1:5" x14ac:dyDescent="0.2">
      <c r="A6274">
        <v>6213</v>
      </c>
      <c r="B6274" s="138">
        <f>'Acct Summary 7-8'!J82</f>
        <v>25750</v>
      </c>
      <c r="D6274" s="2" t="str">
        <f t="shared" si="97"/>
        <v>Error?</v>
      </c>
      <c r="E6274" s="2" t="s">
        <v>199</v>
      </c>
    </row>
    <row r="6275" spans="1:5" x14ac:dyDescent="0.2">
      <c r="A6275">
        <v>6214</v>
      </c>
      <c r="B6275" s="138">
        <f>'Acct Summary 7-8'!K82</f>
        <v>65728</v>
      </c>
      <c r="D6275" s="2" t="str">
        <f t="shared" si="97"/>
        <v>Error?</v>
      </c>
      <c r="E6275" s="2" t="s">
        <v>199</v>
      </c>
    </row>
    <row r="6276" spans="1:5" x14ac:dyDescent="0.2">
      <c r="A6276">
        <v>6215</v>
      </c>
      <c r="B6276" s="138">
        <f>'Acct Summary 7-8'!C83</f>
        <v>0.29201843617303719</v>
      </c>
      <c r="D6276" s="2" t="str">
        <f t="shared" si="97"/>
        <v>Error?</v>
      </c>
      <c r="E6276" s="2" t="s">
        <v>199</v>
      </c>
    </row>
    <row r="6277" spans="1:5" x14ac:dyDescent="0.2">
      <c r="A6277">
        <v>6216</v>
      </c>
      <c r="B6277" s="138">
        <f>'Acct Summary 7-8'!D83</f>
        <v>1.5003636844541427E-2</v>
      </c>
      <c r="D6277" s="2" t="str">
        <f t="shared" si="97"/>
        <v>Error?</v>
      </c>
      <c r="E6277" s="2" t="s">
        <v>199</v>
      </c>
    </row>
    <row r="6278" spans="1:5" x14ac:dyDescent="0.2">
      <c r="A6278">
        <v>6217</v>
      </c>
      <c r="B6278" s="138">
        <f>'Acct Summary 7-8'!E83</f>
        <v>2.3477543893685131</v>
      </c>
      <c r="D6278" s="2" t="str">
        <f t="shared" si="97"/>
        <v>Error?</v>
      </c>
      <c r="E6278" s="2" t="s">
        <v>199</v>
      </c>
    </row>
    <row r="6279" spans="1:5" x14ac:dyDescent="0.2">
      <c r="A6279">
        <v>6218</v>
      </c>
      <c r="B6279" s="138">
        <f>'Acct Summary 7-8'!F83</f>
        <v>-1.1290911422836127</v>
      </c>
      <c r="D6279" s="2" t="str">
        <f t="shared" si="97"/>
        <v>Error?</v>
      </c>
      <c r="E6279" s="2" t="s">
        <v>199</v>
      </c>
    </row>
    <row r="6280" spans="1:5" x14ac:dyDescent="0.2">
      <c r="A6280">
        <v>6219</v>
      </c>
      <c r="B6280" s="138">
        <f>'Acct Summary 7-8'!G83</f>
        <v>0.29329348146198719</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1.0785065111000247E-2</v>
      </c>
      <c r="D6282" s="2" t="str">
        <f t="shared" si="97"/>
        <v>Error?</v>
      </c>
      <c r="E6282" s="2" t="s">
        <v>199</v>
      </c>
    </row>
    <row r="6283" spans="1:5" x14ac:dyDescent="0.2">
      <c r="A6283">
        <v>6222</v>
      </c>
      <c r="B6283" s="138">
        <f>'Acct Summary 7-8'!J83</f>
        <v>0.91656581476471843</v>
      </c>
      <c r="D6283" s="2" t="str">
        <f t="shared" si="97"/>
        <v>Error?</v>
      </c>
      <c r="E6283" s="2" t="s">
        <v>199</v>
      </c>
    </row>
    <row r="6284" spans="1:5" x14ac:dyDescent="0.2">
      <c r="A6284">
        <v>6223</v>
      </c>
      <c r="B6284" s="138">
        <f>'Acct Summary 7-8'!K83</f>
        <v>0.66968934353571685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447118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447118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443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443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10000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447561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979489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1521610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83819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143333</v>
      </c>
      <c r="D6983" s="2" t="str">
        <f t="shared" si="108"/>
        <v>Error?</v>
      </c>
    </row>
    <row r="6984" spans="1:4" x14ac:dyDescent="0.2">
      <c r="A6984">
        <v>6923</v>
      </c>
      <c r="B6984" s="138">
        <f>'Expenditures 15-22'!K86</f>
        <v>143333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143333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421811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447561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v>
      </c>
      <c r="D7073" s="2" t="str">
        <f t="shared" si="109"/>
        <v>Error?</v>
      </c>
    </row>
    <row r="7074" spans="1:4" x14ac:dyDescent="0.2">
      <c r="A7074">
        <v>7013</v>
      </c>
      <c r="B7074" s="138">
        <f>'Expenditures 15-22'!K216</f>
        <v>-22</v>
      </c>
      <c r="D7074" s="2" t="str">
        <f t="shared" si="109"/>
        <v>Error?</v>
      </c>
    </row>
    <row r="7075" spans="1:4" x14ac:dyDescent="0.2">
      <c r="A7075">
        <v>7014</v>
      </c>
      <c r="B7075" s="138">
        <f>'Expenditures 15-22'!D218</f>
        <v>2492</v>
      </c>
      <c r="D7075" s="2" t="str">
        <f t="shared" si="109"/>
        <v>Error?</v>
      </c>
    </row>
    <row r="7076" spans="1:4" x14ac:dyDescent="0.2">
      <c r="A7076">
        <v>7015</v>
      </c>
      <c r="B7076" s="138">
        <f>'Expenditures 15-22'!K218</f>
        <v>2492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253579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253579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10061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10061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9189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9189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40223</v>
      </c>
      <c r="D7172" s="2" t="str">
        <f t="shared" si="111"/>
        <v>Error?</v>
      </c>
    </row>
    <row r="7173" spans="1:4" x14ac:dyDescent="0.2">
      <c r="A7173">
        <v>7112</v>
      </c>
      <c r="B7173" s="138">
        <f>'Expenditures 15-22'!D325</f>
        <v>3942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44165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21349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21349</v>
      </c>
      <c r="D7198" s="2" t="str">
        <f t="shared" si="111"/>
        <v>Error?</v>
      </c>
    </row>
    <row r="7199" spans="1:4" x14ac:dyDescent="0.2">
      <c r="A7199">
        <v>7138</v>
      </c>
      <c r="B7199" s="138">
        <f>'Expenditures 15-22'!C330</f>
        <v>40223</v>
      </c>
      <c r="D7199" s="2" t="str">
        <f t="shared" si="111"/>
        <v>Error?</v>
      </c>
    </row>
    <row r="7200" spans="1:4" x14ac:dyDescent="0.2">
      <c r="A7200">
        <v>7139</v>
      </c>
      <c r="B7200" s="138">
        <f>'Expenditures 15-22'!D330</f>
        <v>3942</v>
      </c>
      <c r="D7200" s="2" t="str">
        <f t="shared" si="111"/>
        <v>Error?</v>
      </c>
    </row>
    <row r="7201" spans="1:4" x14ac:dyDescent="0.2">
      <c r="A7201">
        <v>7140</v>
      </c>
      <c r="B7201" s="138">
        <f>'Expenditures 15-22'!E330</f>
        <v>377646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421811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40223</v>
      </c>
      <c r="D7216" s="2" t="str">
        <f t="shared" si="111"/>
        <v>Error?</v>
      </c>
    </row>
    <row r="7217" spans="1:4" x14ac:dyDescent="0.2">
      <c r="A7217">
        <v>7156</v>
      </c>
      <c r="B7217" s="138">
        <f>'Expenditures 15-22'!D342</f>
        <v>3942</v>
      </c>
      <c r="D7217" s="2" t="str">
        <f t="shared" si="111"/>
        <v>Error?</v>
      </c>
    </row>
    <row r="7218" spans="1:4" x14ac:dyDescent="0.2">
      <c r="A7218">
        <v>7157</v>
      </c>
      <c r="B7218" s="138">
        <f>'Expenditures 15-22'!E342</f>
        <v>377646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421811</v>
      </c>
      <c r="D7224" s="2" t="str">
        <f t="shared" si="111"/>
        <v>Error?</v>
      </c>
    </row>
    <row r="7225" spans="1:4" x14ac:dyDescent="0.2">
      <c r="A7225">
        <v>7164</v>
      </c>
      <c r="B7225" s="138">
        <f>'Expenditures 15-22'!K343</f>
        <v>25750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284250</v>
      </c>
      <c r="D7246" s="2" t="str">
        <f t="shared" si="112"/>
        <v>Error?</v>
      </c>
    </row>
    <row r="7247" spans="1:4" x14ac:dyDescent="0.2">
      <c r="A7247">
        <f t="shared" si="113"/>
        <v>7186</v>
      </c>
      <c r="B7247" s="138">
        <f>'Expenditures 15-22'!E7</f>
        <v>78891</v>
      </c>
      <c r="D7247" s="2" t="str">
        <f t="shared" si="112"/>
        <v>Error?</v>
      </c>
    </row>
    <row r="7248" spans="1:4" x14ac:dyDescent="0.2">
      <c r="A7248">
        <f t="shared" si="113"/>
        <v>7187</v>
      </c>
      <c r="B7248" s="138">
        <f>'Expenditures 15-22'!F7</f>
        <v>75523</v>
      </c>
      <c r="D7248" s="2" t="str">
        <f t="shared" si="112"/>
        <v>Error?</v>
      </c>
    </row>
    <row r="7249" spans="1:4" x14ac:dyDescent="0.2">
      <c r="A7249">
        <f t="shared" si="113"/>
        <v>7188</v>
      </c>
      <c r="B7249" s="138">
        <f>'Expenditures 15-22'!G7</f>
        <v>22379</v>
      </c>
      <c r="D7249" s="2" t="str">
        <f t="shared" si="112"/>
        <v>Error?</v>
      </c>
    </row>
    <row r="7250" spans="1:4" x14ac:dyDescent="0.2">
      <c r="A7250">
        <f t="shared" si="113"/>
        <v>7189</v>
      </c>
      <c r="B7250" s="138">
        <f>'Expenditures 15-22'!H7</f>
        <v>81078</v>
      </c>
      <c r="D7250" s="2" t="str">
        <f t="shared" si="112"/>
        <v>Error?</v>
      </c>
    </row>
    <row r="7251" spans="1:4" x14ac:dyDescent="0.2">
      <c r="A7251">
        <f t="shared" si="113"/>
        <v>7190</v>
      </c>
      <c r="B7251" s="138">
        <f>'Expenditures 15-22'!C9</f>
        <v>73881</v>
      </c>
      <c r="D7251" s="2" t="str">
        <f t="shared" si="112"/>
        <v>Error?</v>
      </c>
    </row>
    <row r="7252" spans="1:4" x14ac:dyDescent="0.2">
      <c r="A7252">
        <f t="shared" si="113"/>
        <v>7191</v>
      </c>
      <c r="B7252" s="138">
        <f>'Expenditures 15-22'!D9</f>
        <v>8281</v>
      </c>
      <c r="D7252" s="2" t="str">
        <f t="shared" si="112"/>
        <v>Error?</v>
      </c>
    </row>
    <row r="7253" spans="1:4" x14ac:dyDescent="0.2">
      <c r="A7253">
        <f t="shared" si="113"/>
        <v>7192</v>
      </c>
      <c r="B7253" s="138">
        <f>'Expenditures 15-22'!E9</f>
        <v>436</v>
      </c>
      <c r="D7253" s="2" t="str">
        <f t="shared" si="112"/>
        <v>Error?</v>
      </c>
    </row>
    <row r="7254" spans="1:4" x14ac:dyDescent="0.2">
      <c r="A7254">
        <f t="shared" si="113"/>
        <v>7193</v>
      </c>
      <c r="B7254" s="138">
        <f>'Expenditures 15-22'!F9</f>
        <v>1221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783624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94844</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83468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83468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24832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84215</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197318</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253564</v>
      </c>
      <c r="D7797" s="2" t="str">
        <f t="shared" si="127"/>
        <v>Error?</v>
      </c>
      <c r="E7797" s="4" t="s">
        <v>2018</v>
      </c>
    </row>
    <row r="7798" spans="1:5" x14ac:dyDescent="0.2">
      <c r="A7798">
        <v>7737</v>
      </c>
      <c r="B7798" s="138">
        <f>'Contracts Paid in CY 29'!F141</f>
        <v>100000</v>
      </c>
      <c r="D7798" s="2" t="str">
        <f t="shared" si="127"/>
        <v>Error?</v>
      </c>
      <c r="E7798" s="4" t="s">
        <v>2018</v>
      </c>
    </row>
    <row r="7799" spans="1:5" x14ac:dyDescent="0.2">
      <c r="A7799">
        <v>7738</v>
      </c>
      <c r="B7799" s="138">
        <f>'Contracts Paid in CY 29'!G141</f>
        <v>153564</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K48" sqref="K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Mout Vernon SD 80</v>
      </c>
      <c r="B7" s="2424"/>
      <c r="C7" s="2424"/>
      <c r="D7" s="2425"/>
      <c r="E7" s="2426">
        <f>COVER!A13</f>
        <v>13041080002</v>
      </c>
      <c r="F7" s="2427"/>
      <c r="G7" s="2433">
        <f>COVER!T23</f>
        <v>65.040464</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Krehbiel &amp; Associates, LLC</v>
      </c>
      <c r="H9" s="2439"/>
      <c r="I9" s="2439"/>
      <c r="J9" s="2439"/>
      <c r="K9" s="2439"/>
      <c r="L9" s="2440"/>
    </row>
    <row r="10" spans="1:29" ht="13.5" customHeight="1" x14ac:dyDescent="0.2">
      <c r="A10" s="2413" t="str">
        <f>COVER!A38</f>
        <v>Aletta Lawrence</v>
      </c>
      <c r="B10" s="2414"/>
      <c r="C10" s="2414"/>
      <c r="D10" s="2414"/>
      <c r="E10" s="2414"/>
      <c r="F10" s="2415"/>
      <c r="G10" s="2407" t="str">
        <f>COVER!T17</f>
        <v>125 North 11th Street</v>
      </c>
      <c r="H10" s="2408"/>
      <c r="I10" s="2408"/>
      <c r="J10" s="2408"/>
      <c r="K10" s="2408"/>
      <c r="L10" s="2409"/>
    </row>
    <row r="11" spans="1:29" ht="13.5" customHeight="1" x14ac:dyDescent="0.2">
      <c r="A11" s="1185" t="s">
        <v>1599</v>
      </c>
      <c r="B11" s="1186"/>
      <c r="C11" s="1187"/>
      <c r="D11" s="1192"/>
      <c r="E11" s="1187"/>
      <c r="F11" s="1191"/>
      <c r="G11" s="2407" t="str">
        <f>COVER!T19</f>
        <v>Mount Vernon</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emilytynes@krehbielcpa.com</v>
      </c>
      <c r="J13" s="2420"/>
      <c r="K13" s="2420"/>
      <c r="L13" s="2421"/>
    </row>
    <row r="14" spans="1:29" ht="13.5" customHeight="1" x14ac:dyDescent="0.2">
      <c r="A14" s="2407" t="str">
        <f>COVER!A19</f>
        <v>2710 North Street</v>
      </c>
      <c r="B14" s="2408"/>
      <c r="C14" s="2408"/>
      <c r="D14" s="2408"/>
      <c r="E14" s="2408"/>
      <c r="F14" s="2409"/>
      <c r="G14" s="1196" t="s">
        <v>1247</v>
      </c>
      <c r="H14" s="1194"/>
      <c r="I14" s="1194"/>
      <c r="J14" s="1194"/>
      <c r="K14" s="1194"/>
      <c r="L14" s="1195"/>
    </row>
    <row r="15" spans="1:29" ht="13.5" customHeight="1" x14ac:dyDescent="0.2">
      <c r="A15" s="2407" t="str">
        <f>COVER!A21</f>
        <v>Mount Vernon</v>
      </c>
      <c r="B15" s="2408"/>
      <c r="C15" s="2408"/>
      <c r="D15" s="2408"/>
      <c r="E15" s="2408"/>
      <c r="F15" s="2409"/>
      <c r="G15" s="2404" t="str">
        <f>COVER!T15</f>
        <v>Emily Tynes, CPA</v>
      </c>
      <c r="H15" s="2405"/>
      <c r="I15" s="2405"/>
      <c r="J15" s="2405"/>
      <c r="K15" s="2405"/>
      <c r="L15" s="2406"/>
    </row>
    <row r="16" spans="1:29" ht="12.2" customHeight="1" x14ac:dyDescent="0.2">
      <c r="A16" s="2429">
        <f>COVER!A25</f>
        <v>62864</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618-244-2666</v>
      </c>
      <c r="H18" s="2424"/>
      <c r="I18" s="2424"/>
      <c r="J18" s="2424"/>
      <c r="K18" s="2423" t="str">
        <f>COVER!X21</f>
        <v>618-244-2372</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2230</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2230</v>
      </c>
      <c r="C26" s="1203" t="s">
        <v>1801</v>
      </c>
    </row>
    <row r="27" spans="1:13" s="1199" customFormat="1" ht="9" customHeight="1" x14ac:dyDescent="0.2">
      <c r="B27" s="1204"/>
      <c r="C27" s="1203"/>
    </row>
    <row r="28" spans="1:13" s="1199" customFormat="1" ht="12.2" customHeight="1" x14ac:dyDescent="0.2">
      <c r="A28" s="1206"/>
      <c r="B28" s="1202" t="s">
        <v>2230</v>
      </c>
      <c r="C28" s="1203" t="s">
        <v>1802</v>
      </c>
    </row>
    <row r="29" spans="1:13" s="1199" customFormat="1" ht="9" customHeight="1" x14ac:dyDescent="0.2">
      <c r="A29" s="1206"/>
      <c r="B29" s="1204"/>
      <c r="C29" s="1203"/>
    </row>
    <row r="30" spans="1:13" s="1199" customFormat="1" ht="12.2" customHeight="1" x14ac:dyDescent="0.2">
      <c r="B30" s="1202" t="s">
        <v>2230</v>
      </c>
      <c r="C30" s="1203" t="s">
        <v>1643</v>
      </c>
      <c r="D30" s="1197"/>
      <c r="E30" s="1197"/>
    </row>
    <row r="31" spans="1:13" s="1199" customFormat="1" ht="9" customHeight="1" x14ac:dyDescent="0.2">
      <c r="B31" s="1204"/>
      <c r="C31" s="1203"/>
      <c r="D31" s="1197"/>
      <c r="E31" s="1197"/>
    </row>
    <row r="32" spans="1:13" s="1199" customFormat="1" ht="12.2" customHeight="1" x14ac:dyDescent="0.2">
      <c r="B32" s="1202" t="s">
        <v>2230</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2230</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2230</v>
      </c>
      <c r="C38" s="1203" t="s">
        <v>1647</v>
      </c>
    </row>
    <row r="39" spans="1:8" ht="9" customHeight="1" x14ac:dyDescent="0.2">
      <c r="B39" s="1204"/>
      <c r="C39" s="1207"/>
    </row>
    <row r="40" spans="1:8" s="1199" customFormat="1" ht="13.5" customHeight="1" x14ac:dyDescent="0.2">
      <c r="B40" s="1202" t="s">
        <v>2230</v>
      </c>
      <c r="C40" s="1203" t="s">
        <v>1648</v>
      </c>
    </row>
    <row r="41" spans="1:8" ht="9" customHeight="1" x14ac:dyDescent="0.2">
      <c r="A41" s="1208"/>
      <c r="B41" s="1204"/>
      <c r="C41" s="1207"/>
    </row>
    <row r="42" spans="1:8" s="1199" customFormat="1" ht="13.5" customHeight="1" x14ac:dyDescent="0.2">
      <c r="B42" s="1202" t="s">
        <v>2230</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2230</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0" zoomScale="125" zoomScaleNormal="125" workbookViewId="0">
      <selection activeCell="D117" sqref="D11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Mout Vernon SD 80</v>
      </c>
      <c r="B1" s="2422"/>
      <c r="C1" s="2422"/>
      <c r="D1" s="2422"/>
    </row>
    <row r="2" spans="1:11" s="1215" customFormat="1" ht="12.75" x14ac:dyDescent="0.2">
      <c r="A2" s="2446">
        <f>'Single Audit Cover'!E7</f>
        <v>13041080002</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2230</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2230</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2230</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2230</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2230</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2230</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2230</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2230</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2230</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2230</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t="s">
        <v>2230</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2230</v>
      </c>
      <c r="C48" s="1226">
        <f>C44+1</f>
        <v>13</v>
      </c>
      <c r="D48" s="1237" t="s">
        <v>1656</v>
      </c>
    </row>
    <row r="49" spans="1:4" ht="3" customHeight="1" x14ac:dyDescent="0.2">
      <c r="A49" s="1222"/>
      <c r="B49" s="1229"/>
      <c r="C49" s="1226"/>
      <c r="D49" s="1237"/>
    </row>
    <row r="50" spans="1:4" x14ac:dyDescent="0.2">
      <c r="A50" s="1222"/>
      <c r="B50" s="1225" t="s">
        <v>2230</v>
      </c>
      <c r="C50" s="1226">
        <f>C48+1</f>
        <v>14</v>
      </c>
      <c r="D50" s="1237" t="s">
        <v>1274</v>
      </c>
    </row>
    <row r="51" spans="1:4" ht="3" customHeight="1" x14ac:dyDescent="0.2">
      <c r="A51" s="1222"/>
      <c r="B51" s="1229"/>
      <c r="C51" s="1226"/>
      <c r="D51" s="1237"/>
    </row>
    <row r="52" spans="1:4" x14ac:dyDescent="0.2">
      <c r="A52" s="1222"/>
      <c r="B52" s="1225" t="s">
        <v>2230</v>
      </c>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t="s">
        <v>2230</v>
      </c>
      <c r="C56" s="1226">
        <f>C54+1</f>
        <v>17</v>
      </c>
      <c r="D56" s="1221" t="s">
        <v>1811</v>
      </c>
    </row>
    <row r="57" spans="1:4" ht="10.5" customHeight="1" x14ac:dyDescent="0.2">
      <c r="A57" s="1222"/>
      <c r="D57" s="1237" t="s">
        <v>1812</v>
      </c>
    </row>
    <row r="58" spans="1:4" x14ac:dyDescent="0.2">
      <c r="A58" s="1222"/>
      <c r="C58" s="1244" t="s">
        <v>2230</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t="s">
        <v>2230</v>
      </c>
      <c r="C72" s="1226">
        <f>C56+1</f>
        <v>18</v>
      </c>
      <c r="D72" s="1247" t="s">
        <v>1817</v>
      </c>
    </row>
    <row r="73" spans="1:4" ht="3" customHeight="1" x14ac:dyDescent="0.2">
      <c r="A73" s="1222"/>
      <c r="B73" s="1229"/>
      <c r="C73" s="1226"/>
      <c r="D73" s="1247"/>
    </row>
    <row r="74" spans="1:4" x14ac:dyDescent="0.2">
      <c r="A74" s="1222"/>
      <c r="B74" s="1225" t="s">
        <v>2230</v>
      </c>
      <c r="C74" s="1226">
        <f>C72+1</f>
        <v>19</v>
      </c>
      <c r="D74" s="1237" t="s">
        <v>1267</v>
      </c>
    </row>
    <row r="75" spans="1:4" ht="3" customHeight="1" x14ac:dyDescent="0.2">
      <c r="A75" s="1222"/>
      <c r="B75" s="1229"/>
      <c r="C75" s="1226"/>
      <c r="D75" s="1237"/>
    </row>
    <row r="76" spans="1:4" x14ac:dyDescent="0.2">
      <c r="A76" s="1222"/>
      <c r="B76" s="1225" t="s">
        <v>2230</v>
      </c>
      <c r="C76" s="1226">
        <f>C74+1</f>
        <v>20</v>
      </c>
      <c r="D76" s="1248" t="s">
        <v>1818</v>
      </c>
    </row>
    <row r="77" spans="1:4" ht="3" customHeight="1" x14ac:dyDescent="0.2">
      <c r="A77" s="1222"/>
      <c r="B77" s="1229"/>
      <c r="C77" s="1226"/>
      <c r="D77" s="1248"/>
    </row>
    <row r="78" spans="1:4" x14ac:dyDescent="0.2">
      <c r="A78" s="1222"/>
      <c r="B78" s="1225" t="s">
        <v>2230</v>
      </c>
      <c r="C78" s="1226">
        <f>C76+1</f>
        <v>21</v>
      </c>
      <c r="D78" s="1221" t="s">
        <v>1819</v>
      </c>
    </row>
    <row r="79" spans="1:4" ht="3" customHeight="1" x14ac:dyDescent="0.2">
      <c r="A79" s="1222"/>
      <c r="B79" s="1229"/>
      <c r="C79" s="1226"/>
      <c r="D79" s="1221"/>
    </row>
    <row r="80" spans="1:4" x14ac:dyDescent="0.2">
      <c r="A80" s="1222"/>
      <c r="B80" s="1225" t="s">
        <v>2230</v>
      </c>
      <c r="C80" s="1226">
        <f>C78+1</f>
        <v>22</v>
      </c>
      <c r="D80" s="1249" t="s">
        <v>1820</v>
      </c>
    </row>
    <row r="81" spans="1:4" ht="3" customHeight="1" x14ac:dyDescent="0.2">
      <c r="A81" s="1222"/>
      <c r="B81" s="1229"/>
      <c r="C81" s="1226"/>
      <c r="D81" s="1249"/>
    </row>
    <row r="82" spans="1:4" x14ac:dyDescent="0.2">
      <c r="A82" s="1222"/>
      <c r="B82" s="1225" t="s">
        <v>2230</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2230</v>
      </c>
      <c r="C85" s="1226">
        <f>C82+1</f>
        <v>24</v>
      </c>
      <c r="D85" s="1237" t="s">
        <v>1265</v>
      </c>
    </row>
    <row r="86" spans="1:4" ht="3" customHeight="1" x14ac:dyDescent="0.2">
      <c r="A86" s="1222"/>
      <c r="B86" s="1229"/>
      <c r="C86" s="1226"/>
      <c r="D86" s="1237"/>
    </row>
    <row r="87" spans="1:4" x14ac:dyDescent="0.2">
      <c r="A87" s="1222"/>
      <c r="B87" s="1225" t="s">
        <v>2230</v>
      </c>
      <c r="C87" s="1226">
        <f>C85+1</f>
        <v>25</v>
      </c>
      <c r="D87" s="1237" t="s">
        <v>1264</v>
      </c>
    </row>
    <row r="88" spans="1:4" ht="3" customHeight="1" x14ac:dyDescent="0.2">
      <c r="A88" s="1222"/>
      <c r="B88" s="1229"/>
      <c r="C88" s="1226"/>
      <c r="D88" s="1237"/>
    </row>
    <row r="89" spans="1:4" x14ac:dyDescent="0.2">
      <c r="A89" s="1222"/>
      <c r="B89" s="1225" t="s">
        <v>2230</v>
      </c>
      <c r="C89" s="1226">
        <f>C87+1</f>
        <v>26</v>
      </c>
      <c r="D89" s="1237" t="s">
        <v>1263</v>
      </c>
    </row>
    <row r="90" spans="1:4" ht="3" customHeight="1" x14ac:dyDescent="0.2">
      <c r="A90" s="1222"/>
      <c r="B90" s="1229"/>
      <c r="C90" s="1226"/>
      <c r="D90" s="1237"/>
    </row>
    <row r="91" spans="1:4" x14ac:dyDescent="0.2">
      <c r="A91" s="1222"/>
      <c r="B91" s="1225" t="s">
        <v>2230</v>
      </c>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2230</v>
      </c>
      <c r="C96" s="1226">
        <f>C91+1</f>
        <v>28</v>
      </c>
      <c r="D96" s="1237" t="s">
        <v>1823</v>
      </c>
    </row>
    <row r="97" spans="1:4" ht="3" customHeight="1" x14ac:dyDescent="0.2">
      <c r="A97" s="1222"/>
      <c r="B97" s="1229"/>
      <c r="C97" s="1226"/>
      <c r="D97" s="1237"/>
    </row>
    <row r="98" spans="1:4" x14ac:dyDescent="0.2">
      <c r="A98" s="1222"/>
      <c r="B98" s="1225" t="s">
        <v>2230</v>
      </c>
      <c r="C98" s="1226">
        <f>C96+1</f>
        <v>29</v>
      </c>
      <c r="D98" s="1251" t="s">
        <v>1824</v>
      </c>
    </row>
    <row r="99" spans="1:4" ht="3" customHeight="1" x14ac:dyDescent="0.2">
      <c r="A99" s="1222"/>
      <c r="B99" s="1229"/>
      <c r="C99" s="1226"/>
      <c r="D99" s="1251"/>
    </row>
    <row r="100" spans="1:4" x14ac:dyDescent="0.2">
      <c r="A100" s="1222"/>
      <c r="B100" s="1225" t="s">
        <v>2230</v>
      </c>
      <c r="C100" s="1226">
        <f>C98+1</f>
        <v>30</v>
      </c>
      <c r="D100" s="1237" t="s">
        <v>1825</v>
      </c>
    </row>
    <row r="101" spans="1:4" ht="3" customHeight="1" x14ac:dyDescent="0.2">
      <c r="A101" s="1222"/>
      <c r="B101" s="1229"/>
      <c r="C101" s="1226"/>
      <c r="D101" s="1252"/>
    </row>
    <row r="102" spans="1:4" x14ac:dyDescent="0.2">
      <c r="A102" s="1222"/>
      <c r="B102" s="1225" t="s">
        <v>2230</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2230</v>
      </c>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2230</v>
      </c>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Mout Vernon SD 80</v>
      </c>
      <c r="B1" s="2449"/>
      <c r="C1" s="2449"/>
      <c r="D1" s="2449"/>
      <c r="E1" s="2449"/>
    </row>
    <row r="2" spans="1:5" x14ac:dyDescent="0.2">
      <c r="A2" s="2450">
        <f>'Single Audit Cover'!E7</f>
        <v>13041080002</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5282717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102296</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-465997</v>
      </c>
    </row>
    <row r="19" spans="1:4" ht="13.5" thickBot="1" x14ac:dyDescent="0.25">
      <c r="A19" s="1265" t="s">
        <v>1297</v>
      </c>
      <c r="D19" s="1266">
        <f>SUM(D10:D17)</f>
        <v>4919016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4919016</v>
      </c>
    </row>
    <row r="33" spans="1:4" x14ac:dyDescent="0.2">
      <c r="D33" s="1269"/>
    </row>
    <row r="34" spans="1:4" x14ac:dyDescent="0.2">
      <c r="A34" s="317" t="s">
        <v>1294</v>
      </c>
    </row>
    <row r="35" spans="1:4" x14ac:dyDescent="0.2">
      <c r="A35" s="317" t="s">
        <v>1293</v>
      </c>
      <c r="B35" s="1258" t="s">
        <v>1292</v>
      </c>
      <c r="D35" s="1270">
        <f>' SEFA'!F106</f>
        <v>4919016</v>
      </c>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4919016</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Mout Vernon SD 80</v>
      </c>
      <c r="B1" s="2462"/>
      <c r="C1" s="2462"/>
      <c r="D1" s="2462"/>
      <c r="E1" s="2462"/>
      <c r="F1" s="2462"/>
    </row>
    <row r="2" spans="1:7" ht="13.5" customHeight="1" x14ac:dyDescent="0.2">
      <c r="A2" s="2463">
        <f>'Single Audit Cover'!E7</f>
        <v>13041080002</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2130</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1" t="s">
        <v>1833</v>
      </c>
      <c r="B13" s="2461"/>
      <c r="C13" s="2461"/>
      <c r="D13" s="2461"/>
      <c r="E13" s="2461"/>
      <c r="F13" s="2461"/>
    </row>
    <row r="14" spans="1:7" ht="9.75" customHeight="1" x14ac:dyDescent="0.2">
      <c r="C14" s="1260"/>
      <c r="D14" s="1260"/>
    </row>
    <row r="15" spans="1:7" ht="13.5" customHeight="1" x14ac:dyDescent="0.2">
      <c r="C15" s="1870" t="s">
        <v>1332</v>
      </c>
      <c r="D15" s="2459" t="s">
        <v>1331</v>
      </c>
      <c r="E15" s="2459"/>
      <c r="F15" s="2459"/>
    </row>
    <row r="16" spans="1:7" ht="13.5" customHeight="1" x14ac:dyDescent="0.2">
      <c r="A16" s="1282"/>
      <c r="B16" s="1276" t="s">
        <v>1330</v>
      </c>
      <c r="C16" s="1870" t="s">
        <v>1329</v>
      </c>
      <c r="D16" s="2460" t="s">
        <v>1670</v>
      </c>
      <c r="E16" s="2460"/>
      <c r="F16" s="2460"/>
    </row>
    <row r="17" spans="1:6" ht="20.45" customHeight="1" x14ac:dyDescent="0.2">
      <c r="A17" s="1283"/>
      <c r="B17" s="1284" t="s">
        <v>2131</v>
      </c>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5" t="s">
        <v>2132</v>
      </c>
      <c r="B32" s="2455"/>
      <c r="C32" s="2455"/>
      <c r="D32" s="2455"/>
      <c r="E32" s="2455"/>
      <c r="F32" s="2455"/>
    </row>
    <row r="33" spans="1:6" ht="13.5" customHeight="1" x14ac:dyDescent="0.2">
      <c r="A33" s="328" t="s">
        <v>1509</v>
      </c>
      <c r="B33" s="328"/>
      <c r="C33" s="1288">
        <v>109296</v>
      </c>
      <c r="D33" s="1927"/>
      <c r="E33" s="1286"/>
    </row>
    <row r="34" spans="1:6" ht="13.5" customHeight="1" x14ac:dyDescent="0.2">
      <c r="A34" s="328" t="s">
        <v>1947</v>
      </c>
      <c r="B34" s="328"/>
      <c r="C34" s="1289">
        <v>0</v>
      </c>
      <c r="D34" s="1927" t="s">
        <v>1671</v>
      </c>
      <c r="E34" s="2456">
        <f>+C33+C34</f>
        <v>109296</v>
      </c>
      <c r="F34" s="2457"/>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v>0</v>
      </c>
      <c r="D38" s="1927"/>
      <c r="E38" s="1286"/>
    </row>
    <row r="39" spans="1:6" ht="14.25" customHeight="1" x14ac:dyDescent="0.2">
      <c r="A39" s="328"/>
      <c r="B39" s="328" t="s">
        <v>1511</v>
      </c>
      <c r="C39" s="1292">
        <v>0</v>
      </c>
      <c r="D39" s="1927"/>
      <c r="E39" s="1286"/>
    </row>
    <row r="40" spans="1:6" ht="14.25" customHeight="1" x14ac:dyDescent="0.2">
      <c r="A40" s="328"/>
      <c r="B40" s="328" t="s">
        <v>1512</v>
      </c>
      <c r="C40" s="1292">
        <v>0</v>
      </c>
      <c r="D40" s="1927"/>
      <c r="E40" s="1286"/>
    </row>
    <row r="41" spans="1:6" ht="14.25" customHeight="1" x14ac:dyDescent="0.2">
      <c r="A41" s="328"/>
      <c r="B41" s="328" t="s">
        <v>1513</v>
      </c>
      <c r="C41" s="1292">
        <v>0</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593</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9"/>
      <c r="C50" s="1869"/>
      <c r="D50" s="1869"/>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30"/>
  <sheetViews>
    <sheetView showGridLines="0" topLeftCell="A88" zoomScaleNormal="100" zoomScaleSheetLayoutView="100" workbookViewId="0">
      <selection activeCell="B15" sqref="B15"/>
    </sheetView>
  </sheetViews>
  <sheetFormatPr defaultColWidth="33.5703125" defaultRowHeight="12.75" x14ac:dyDescent="0.2"/>
  <cols>
    <col min="1" max="1" width="0.140625" style="317" customWidth="1"/>
    <col min="2" max="2" width="35.7109375" style="317" customWidth="1"/>
    <col min="3" max="3" width="8.7109375" style="1357" customWidth="1"/>
    <col min="4" max="4" width="13.42578125" style="1358" customWidth="1"/>
    <col min="5" max="6" width="11.7109375" style="317" customWidth="1"/>
    <col min="7" max="7" width="11.7109375" style="1258" customWidth="1"/>
    <col min="8" max="8" width="11.5703125" style="1258" customWidth="1"/>
    <col min="9" max="9" width="11.7109375" style="1258" customWidth="1"/>
    <col min="10" max="10" width="11.85546875" style="1258" customWidth="1"/>
    <col min="11" max="11" width="10.28515625" style="1258" customWidth="1"/>
    <col min="12"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Mout Vernon SD 80</v>
      </c>
      <c r="C1" s="2466"/>
      <c r="D1" s="2466"/>
      <c r="E1" s="2466"/>
      <c r="F1" s="2466"/>
      <c r="G1" s="2466"/>
      <c r="H1" s="2466"/>
      <c r="I1" s="2466"/>
      <c r="J1" s="2466"/>
      <c r="K1" s="2466"/>
      <c r="L1" s="2466"/>
      <c r="M1" s="2466"/>
    </row>
    <row r="2" spans="2:14" ht="15" x14ac:dyDescent="0.2">
      <c r="B2" s="2463">
        <f>'Single Audit Cover'!E7</f>
        <v>13041080002</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2137</v>
      </c>
      <c r="C11" s="1338"/>
      <c r="D11" s="1339"/>
      <c r="E11" s="1340"/>
      <c r="F11" s="1340"/>
      <c r="G11" s="1340"/>
      <c r="H11" s="1340"/>
      <c r="I11" s="1340"/>
      <c r="J11" s="1340"/>
      <c r="K11" s="1340"/>
      <c r="L11" s="1340"/>
      <c r="M11" s="1340"/>
    </row>
    <row r="12" spans="2:14" ht="20.100000000000001" customHeight="1" x14ac:dyDescent="0.2">
      <c r="B12" s="1337" t="s">
        <v>2138</v>
      </c>
      <c r="C12" s="1341"/>
      <c r="D12" s="1342"/>
      <c r="E12" s="1343"/>
      <c r="F12" s="1343"/>
      <c r="G12" s="1343"/>
      <c r="H12" s="1343"/>
      <c r="I12" s="1343"/>
      <c r="J12" s="1343"/>
      <c r="K12" s="1343"/>
      <c r="L12" s="1340"/>
      <c r="M12" s="1343"/>
    </row>
    <row r="13" spans="2:14" ht="20.100000000000001" customHeight="1" x14ac:dyDescent="0.2">
      <c r="B13" s="1337" t="s">
        <v>2139</v>
      </c>
      <c r="C13" s="1341" t="s">
        <v>2140</v>
      </c>
      <c r="D13" s="1342" t="s">
        <v>2141</v>
      </c>
      <c r="E13" s="1343">
        <v>30885</v>
      </c>
      <c r="F13" s="1343">
        <v>1300</v>
      </c>
      <c r="G13" s="1343">
        <v>32185</v>
      </c>
      <c r="H13" s="1343"/>
      <c r="I13" s="1343"/>
      <c r="J13" s="1343"/>
      <c r="K13" s="1343"/>
      <c r="L13" s="1340">
        <f t="shared" ref="L13:L99" si="0">+G13+I13+K13</f>
        <v>32185</v>
      </c>
      <c r="M13" s="1343">
        <v>32210</v>
      </c>
    </row>
    <row r="14" spans="2:14" ht="20.100000000000001" customHeight="1" x14ac:dyDescent="0.2">
      <c r="B14" s="1337" t="s">
        <v>2229</v>
      </c>
      <c r="C14" s="1341" t="s">
        <v>2140</v>
      </c>
      <c r="D14" s="1342" t="s">
        <v>2142</v>
      </c>
      <c r="E14" s="1343"/>
      <c r="F14" s="1343">
        <v>22844</v>
      </c>
      <c r="G14" s="1343"/>
      <c r="H14" s="1343"/>
      <c r="I14" s="1343">
        <v>24168</v>
      </c>
      <c r="J14" s="1343"/>
      <c r="K14" s="1343"/>
      <c r="L14" s="1340">
        <f t="shared" si="0"/>
        <v>24168</v>
      </c>
      <c r="M14" s="1343">
        <v>24510</v>
      </c>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2143</v>
      </c>
      <c r="C16" s="1341" t="s">
        <v>2144</v>
      </c>
      <c r="D16" s="1342" t="s">
        <v>2145</v>
      </c>
      <c r="E16" s="1343">
        <v>46444</v>
      </c>
      <c r="F16" s="1343">
        <v>8623</v>
      </c>
      <c r="G16" s="1343">
        <v>54990</v>
      </c>
      <c r="H16" s="1343"/>
      <c r="I16" s="1343">
        <v>77</v>
      </c>
      <c r="J16" s="1343"/>
      <c r="K16" s="1343"/>
      <c r="L16" s="1340">
        <f t="shared" si="0"/>
        <v>55067</v>
      </c>
      <c r="M16" s="1343">
        <v>55125</v>
      </c>
    </row>
    <row r="17" spans="2:13" ht="20.100000000000001" customHeight="1" x14ac:dyDescent="0.2">
      <c r="B17" s="1337" t="s">
        <v>2143</v>
      </c>
      <c r="C17" s="1341" t="s">
        <v>2144</v>
      </c>
      <c r="D17" s="1342" t="s">
        <v>2146</v>
      </c>
      <c r="E17" s="1343">
        <v>174397</v>
      </c>
      <c r="F17" s="1343">
        <v>88337</v>
      </c>
      <c r="G17" s="1343">
        <v>260508</v>
      </c>
      <c r="H17" s="1343"/>
      <c r="I17" s="1343">
        <v>2226</v>
      </c>
      <c r="J17" s="1343"/>
      <c r="K17" s="1343"/>
      <c r="L17" s="1340">
        <f t="shared" si="0"/>
        <v>262734</v>
      </c>
      <c r="M17" s="1343">
        <v>270000</v>
      </c>
    </row>
    <row r="18" spans="2:13" ht="20.100000000000001" customHeight="1" x14ac:dyDescent="0.2">
      <c r="B18" s="1337" t="s">
        <v>2143</v>
      </c>
      <c r="C18" s="1341" t="s">
        <v>2144</v>
      </c>
      <c r="D18" s="1342" t="s">
        <v>2147</v>
      </c>
      <c r="E18" s="1343"/>
      <c r="F18" s="1343">
        <v>59806</v>
      </c>
      <c r="G18" s="1343"/>
      <c r="H18" s="1343"/>
      <c r="I18" s="1343">
        <v>84782</v>
      </c>
      <c r="J18" s="1343"/>
      <c r="K18" s="1343"/>
      <c r="L18" s="1340">
        <f t="shared" si="0"/>
        <v>84782</v>
      </c>
      <c r="M18" s="1343">
        <v>110250</v>
      </c>
    </row>
    <row r="19" spans="2:13" ht="20.100000000000001" customHeight="1" x14ac:dyDescent="0.2">
      <c r="B19" s="1337" t="s">
        <v>2143</v>
      </c>
      <c r="C19" s="1341" t="s">
        <v>2144</v>
      </c>
      <c r="D19" s="1342" t="s">
        <v>2148</v>
      </c>
      <c r="E19" s="1343"/>
      <c r="F19" s="1343">
        <v>115100</v>
      </c>
      <c r="G19" s="1343"/>
      <c r="H19" s="1343"/>
      <c r="I19" s="1343">
        <v>166004</v>
      </c>
      <c r="J19" s="1343"/>
      <c r="K19" s="1343"/>
      <c r="L19" s="1340">
        <f t="shared" si="0"/>
        <v>166004</v>
      </c>
      <c r="M19" s="1343">
        <v>270000</v>
      </c>
    </row>
    <row r="20" spans="2:13" ht="20.100000000000001" customHeight="1" x14ac:dyDescent="0.2">
      <c r="B20" s="1337"/>
      <c r="C20" s="1341"/>
      <c r="D20" s="1342"/>
      <c r="E20" s="1343"/>
      <c r="F20" s="1343"/>
      <c r="G20" s="1343"/>
      <c r="H20" s="1343"/>
      <c r="I20" s="1343"/>
      <c r="J20" s="1343"/>
      <c r="K20" s="1343"/>
      <c r="L20" s="1340"/>
      <c r="M20" s="1343"/>
    </row>
    <row r="21" spans="2:13" ht="20.100000000000001" customHeight="1" x14ac:dyDescent="0.2">
      <c r="B21" s="1337" t="s">
        <v>2149</v>
      </c>
      <c r="C21" s="1341" t="s">
        <v>2150</v>
      </c>
      <c r="D21" s="1342" t="s">
        <v>2151</v>
      </c>
      <c r="E21" s="1343">
        <v>113326</v>
      </c>
      <c r="F21" s="1343">
        <v>37951</v>
      </c>
      <c r="G21" s="1343">
        <v>130175</v>
      </c>
      <c r="H21" s="1343"/>
      <c r="I21" s="1343">
        <v>23383</v>
      </c>
      <c r="J21" s="1343"/>
      <c r="K21" s="1343"/>
      <c r="L21" s="1340">
        <f t="shared" si="0"/>
        <v>153558</v>
      </c>
      <c r="M21" s="1343">
        <v>214555</v>
      </c>
    </row>
    <row r="22" spans="2:13" ht="20.100000000000001" customHeight="1" x14ac:dyDescent="0.2">
      <c r="B22" s="1337" t="s">
        <v>2149</v>
      </c>
      <c r="C22" s="1341" t="s">
        <v>2150</v>
      </c>
      <c r="D22" s="1342" t="s">
        <v>2152</v>
      </c>
      <c r="E22" s="1343"/>
      <c r="F22" s="1343">
        <v>106025</v>
      </c>
      <c r="G22" s="1343"/>
      <c r="H22" s="1343"/>
      <c r="I22" s="1343">
        <v>116002</v>
      </c>
      <c r="J22" s="1343"/>
      <c r="K22" s="1343"/>
      <c r="L22" s="1340">
        <f t="shared" si="0"/>
        <v>116002</v>
      </c>
      <c r="M22" s="1343">
        <v>169895</v>
      </c>
    </row>
    <row r="23" spans="2:13" ht="20.100000000000001" customHeight="1" x14ac:dyDescent="0.2">
      <c r="B23" s="1337"/>
      <c r="C23" s="1341"/>
      <c r="D23" s="1342"/>
      <c r="E23" s="1343"/>
      <c r="F23" s="1343"/>
      <c r="G23" s="1343"/>
      <c r="H23" s="1343"/>
      <c r="I23" s="1343"/>
      <c r="J23" s="1343"/>
      <c r="K23" s="1343"/>
      <c r="L23" s="1340"/>
      <c r="M23" s="1343"/>
    </row>
    <row r="24" spans="2:13" ht="20.100000000000001" customHeight="1" x14ac:dyDescent="0.2">
      <c r="B24" s="1337" t="s">
        <v>2153</v>
      </c>
      <c r="C24" s="1341" t="s">
        <v>2154</v>
      </c>
      <c r="D24" s="1342" t="s">
        <v>2155</v>
      </c>
      <c r="E24" s="1343">
        <v>916488</v>
      </c>
      <c r="F24" s="1343">
        <v>137806</v>
      </c>
      <c r="G24" s="1343">
        <v>972765</v>
      </c>
      <c r="H24" s="1343"/>
      <c r="I24" s="1343">
        <v>81529</v>
      </c>
      <c r="J24" s="1343"/>
      <c r="K24" s="1343"/>
      <c r="L24" s="1340">
        <f t="shared" si="0"/>
        <v>1054294</v>
      </c>
      <c r="M24" s="1343">
        <v>1203869</v>
      </c>
    </row>
    <row r="25" spans="2:13" ht="20.100000000000001" customHeight="1" x14ac:dyDescent="0.2">
      <c r="B25" s="1337" t="s">
        <v>2157</v>
      </c>
      <c r="C25" s="1341" t="s">
        <v>2154</v>
      </c>
      <c r="D25" s="1342" t="s">
        <v>2156</v>
      </c>
      <c r="E25" s="1343">
        <v>14618</v>
      </c>
      <c r="F25" s="1343">
        <v>4797</v>
      </c>
      <c r="G25" s="1343">
        <v>16242</v>
      </c>
      <c r="H25" s="1343"/>
      <c r="I25" s="1343">
        <v>3173</v>
      </c>
      <c r="J25" s="1343"/>
      <c r="K25" s="1343"/>
      <c r="L25" s="1340">
        <f t="shared" si="0"/>
        <v>19415</v>
      </c>
      <c r="M25" s="1343">
        <v>22502</v>
      </c>
    </row>
    <row r="26" spans="2:13" ht="20.100000000000001" customHeight="1" x14ac:dyDescent="0.2">
      <c r="B26" s="1337" t="s">
        <v>2153</v>
      </c>
      <c r="C26" s="1341" t="s">
        <v>2154</v>
      </c>
      <c r="D26" s="1342" t="s">
        <v>2158</v>
      </c>
      <c r="E26" s="1343"/>
      <c r="F26" s="1343">
        <v>904617</v>
      </c>
      <c r="G26" s="1343"/>
      <c r="H26" s="1343"/>
      <c r="I26" s="1343">
        <v>1013828</v>
      </c>
      <c r="J26" s="1343"/>
      <c r="K26" s="1343"/>
      <c r="L26" s="1340">
        <f t="shared" si="0"/>
        <v>1013828</v>
      </c>
      <c r="M26" s="1343">
        <v>1266812</v>
      </c>
    </row>
    <row r="27" spans="2:13" ht="20.100000000000001" customHeight="1" x14ac:dyDescent="0.2">
      <c r="B27" s="1337"/>
      <c r="C27" s="1341"/>
      <c r="D27" s="1342"/>
      <c r="E27" s="1343"/>
      <c r="F27" s="1343"/>
      <c r="G27" s="1343"/>
      <c r="H27" s="1343"/>
      <c r="I27" s="1343"/>
      <c r="J27" s="1343"/>
      <c r="K27" s="1343"/>
      <c r="L27" s="1340"/>
      <c r="M27" s="1343"/>
    </row>
    <row r="28" spans="2:13" ht="20.100000000000001" customHeight="1" x14ac:dyDescent="0.2">
      <c r="B28" s="1337" t="s">
        <v>2159</v>
      </c>
      <c r="C28" s="1341" t="s">
        <v>2160</v>
      </c>
      <c r="D28" s="1342" t="s">
        <v>2161</v>
      </c>
      <c r="E28" s="1343">
        <v>165517</v>
      </c>
      <c r="F28" s="1343">
        <v>38472</v>
      </c>
      <c r="G28" s="1343">
        <v>185720</v>
      </c>
      <c r="H28" s="1343"/>
      <c r="I28" s="1343">
        <v>18269</v>
      </c>
      <c r="J28" s="1343"/>
      <c r="K28" s="1343"/>
      <c r="L28" s="1340">
        <f t="shared" si="0"/>
        <v>203989</v>
      </c>
      <c r="M28" s="1343">
        <v>210660</v>
      </c>
    </row>
    <row r="29" spans="2:13" ht="20.100000000000001" customHeight="1" x14ac:dyDescent="0.2">
      <c r="B29" s="1337" t="s">
        <v>2159</v>
      </c>
      <c r="C29" s="1341" t="s">
        <v>2160</v>
      </c>
      <c r="D29" s="1342" t="s">
        <v>2162</v>
      </c>
      <c r="E29" s="1343"/>
      <c r="F29" s="1343">
        <v>158846</v>
      </c>
      <c r="G29" s="1343"/>
      <c r="H29" s="1343"/>
      <c r="I29" s="1343">
        <v>176419</v>
      </c>
      <c r="J29" s="1343"/>
      <c r="K29" s="1343"/>
      <c r="L29" s="1340">
        <f t="shared" si="0"/>
        <v>176419</v>
      </c>
      <c r="M29" s="1343">
        <v>210660</v>
      </c>
    </row>
    <row r="30" spans="2:13" ht="20.100000000000001" customHeight="1" x14ac:dyDescent="0.2">
      <c r="B30" s="1337"/>
      <c r="C30" s="1341"/>
      <c r="D30" s="1342"/>
      <c r="E30" s="1343"/>
      <c r="F30" s="1343"/>
      <c r="G30" s="1343"/>
      <c r="H30" s="1343"/>
      <c r="I30" s="1343"/>
      <c r="J30" s="1343"/>
      <c r="K30" s="1343"/>
      <c r="L30" s="1340"/>
      <c r="M30" s="1343"/>
    </row>
    <row r="31" spans="2:13" ht="20.100000000000001" customHeight="1" x14ac:dyDescent="0.2">
      <c r="B31" s="1337" t="s">
        <v>2163</v>
      </c>
      <c r="C31" s="1341" t="s">
        <v>2164</v>
      </c>
      <c r="D31" s="1342" t="s">
        <v>2165</v>
      </c>
      <c r="E31" s="1343">
        <v>19752</v>
      </c>
      <c r="F31" s="1343"/>
      <c r="G31" s="1343">
        <v>19752</v>
      </c>
      <c r="H31" s="1343"/>
      <c r="I31" s="1343"/>
      <c r="J31" s="1343"/>
      <c r="K31" s="1343"/>
      <c r="L31" s="1340">
        <f t="shared" si="0"/>
        <v>19752</v>
      </c>
      <c r="M31" s="1343" t="s">
        <v>2166</v>
      </c>
    </row>
    <row r="32" spans="2:13" ht="20.100000000000001" customHeight="1" x14ac:dyDescent="0.2">
      <c r="B32" s="1337"/>
      <c r="C32" s="1341"/>
      <c r="D32" s="1342"/>
      <c r="E32" s="1343"/>
      <c r="F32" s="1343"/>
      <c r="G32" s="1343"/>
      <c r="H32" s="1343"/>
      <c r="I32" s="1343"/>
      <c r="J32" s="1343"/>
      <c r="K32" s="1343"/>
      <c r="L32" s="1340"/>
      <c r="M32" s="1343"/>
    </row>
    <row r="33" spans="2:13" ht="20.100000000000001" customHeight="1" x14ac:dyDescent="0.2">
      <c r="B33" s="1337" t="s">
        <v>2167</v>
      </c>
      <c r="C33" s="1341" t="s">
        <v>2168</v>
      </c>
      <c r="D33" s="1342" t="s">
        <v>2169</v>
      </c>
      <c r="E33" s="1343"/>
      <c r="F33" s="1343">
        <v>18483</v>
      </c>
      <c r="G33" s="1343"/>
      <c r="H33" s="1343"/>
      <c r="I33" s="1343">
        <v>21239</v>
      </c>
      <c r="J33" s="1343"/>
      <c r="K33" s="1343"/>
      <c r="L33" s="1340">
        <f t="shared" si="0"/>
        <v>21239</v>
      </c>
      <c r="M33" s="1343">
        <v>28000</v>
      </c>
    </row>
    <row r="34" spans="2:13" ht="20.100000000000001" customHeight="1" x14ac:dyDescent="0.2">
      <c r="B34" s="1337"/>
      <c r="C34" s="1341"/>
      <c r="D34" s="1342"/>
      <c r="E34" s="1343"/>
      <c r="F34" s="1343"/>
      <c r="G34" s="1343"/>
      <c r="H34" s="1343"/>
      <c r="I34" s="1343"/>
      <c r="J34" s="1343"/>
      <c r="K34" s="1343"/>
      <c r="L34" s="1340"/>
      <c r="M34" s="1343"/>
    </row>
    <row r="35" spans="2:13" ht="20.100000000000001" customHeight="1" x14ac:dyDescent="0.2">
      <c r="B35" s="1337" t="s">
        <v>2170</v>
      </c>
      <c r="C35" s="1341"/>
      <c r="D35" s="1342"/>
      <c r="E35" s="1343">
        <f>SUM(E11:E34)</f>
        <v>1481427</v>
      </c>
      <c r="F35" s="1343">
        <f>SUM(F11:F34)</f>
        <v>1703007</v>
      </c>
      <c r="G35" s="1343">
        <f>SUM(G11:G34)</f>
        <v>1672337</v>
      </c>
      <c r="H35" s="1343"/>
      <c r="I35" s="1343">
        <f>SUM(I11:I34)</f>
        <v>1731099</v>
      </c>
      <c r="J35" s="1343"/>
      <c r="K35" s="1343"/>
      <c r="L35" s="1343">
        <f>SUM(L11:L34)</f>
        <v>3403436</v>
      </c>
      <c r="M35" s="1343">
        <f>SUM(M11:M34)</f>
        <v>4089048</v>
      </c>
    </row>
    <row r="36" spans="2:13" ht="20.100000000000001" customHeight="1" x14ac:dyDescent="0.2">
      <c r="B36" s="1337"/>
      <c r="C36" s="1341"/>
      <c r="D36" s="1342"/>
      <c r="E36" s="1343"/>
      <c r="F36" s="1343"/>
      <c r="G36" s="1343"/>
      <c r="H36" s="1343"/>
      <c r="I36" s="1343"/>
      <c r="J36" s="1343"/>
      <c r="K36" s="1343"/>
      <c r="L36" s="1340"/>
      <c r="M36" s="1343"/>
    </row>
    <row r="37" spans="2:13" ht="20.100000000000001" customHeight="1" x14ac:dyDescent="0.2">
      <c r="B37" s="1337"/>
      <c r="C37" s="1341"/>
      <c r="D37" s="1342"/>
      <c r="E37" s="1343"/>
      <c r="F37" s="1343"/>
      <c r="G37" s="1343"/>
      <c r="H37" s="1343"/>
      <c r="I37" s="1343"/>
      <c r="J37" s="1343"/>
      <c r="K37" s="1343"/>
      <c r="L37" s="1340">
        <f t="shared" si="0"/>
        <v>0</v>
      </c>
      <c r="M37" s="1343"/>
    </row>
    <row r="38" spans="2:13" ht="20.100000000000001" customHeight="1" x14ac:dyDescent="0.2">
      <c r="B38" s="1337" t="s">
        <v>2137</v>
      </c>
      <c r="C38" s="1341"/>
      <c r="D38" s="1342"/>
      <c r="E38" s="1343"/>
      <c r="F38" s="1343"/>
      <c r="G38" s="1343"/>
      <c r="H38" s="1343"/>
      <c r="I38" s="1343"/>
      <c r="J38" s="1343"/>
      <c r="K38" s="1343"/>
      <c r="L38" s="1340"/>
      <c r="M38" s="1343"/>
    </row>
    <row r="39" spans="2:13" ht="20.100000000000001" customHeight="1" x14ac:dyDescent="0.2">
      <c r="B39" s="1337" t="s">
        <v>2171</v>
      </c>
      <c r="C39" s="1341"/>
      <c r="D39" s="1342"/>
      <c r="E39" s="1343"/>
      <c r="F39" s="1343"/>
      <c r="G39" s="1343"/>
      <c r="H39" s="1343"/>
      <c r="I39" s="1343"/>
      <c r="J39" s="1343"/>
      <c r="K39" s="1343"/>
      <c r="L39" s="1340"/>
      <c r="M39" s="1343"/>
    </row>
    <row r="40" spans="2:13" ht="20.100000000000001" customHeight="1" x14ac:dyDescent="0.2">
      <c r="B40" s="1337" t="s">
        <v>2172</v>
      </c>
      <c r="C40" s="1341" t="s">
        <v>2164</v>
      </c>
      <c r="D40" s="1342" t="s">
        <v>2173</v>
      </c>
      <c r="E40" s="1343">
        <v>117563</v>
      </c>
      <c r="F40" s="1343"/>
      <c r="G40" s="1343">
        <v>117563</v>
      </c>
      <c r="H40" s="1343"/>
      <c r="I40" s="1343"/>
      <c r="J40" s="1343"/>
      <c r="K40" s="1343"/>
      <c r="L40" s="1340">
        <f t="shared" si="0"/>
        <v>117563</v>
      </c>
      <c r="M40" s="1343">
        <v>117563</v>
      </c>
    </row>
    <row r="41" spans="2:13" ht="20.100000000000001" customHeight="1" x14ac:dyDescent="0.2">
      <c r="B41" s="1337" t="s">
        <v>2172</v>
      </c>
      <c r="C41" s="1341" t="s">
        <v>2164</v>
      </c>
      <c r="D41" s="1342" t="s">
        <v>2174</v>
      </c>
      <c r="E41" s="1343"/>
      <c r="F41" s="1343">
        <v>87628</v>
      </c>
      <c r="G41" s="1343"/>
      <c r="H41" s="1343"/>
      <c r="I41" s="1343">
        <v>126984</v>
      </c>
      <c r="J41" s="1343"/>
      <c r="K41" s="1343"/>
      <c r="L41" s="1340">
        <f t="shared" si="0"/>
        <v>126984</v>
      </c>
      <c r="M41" s="1343">
        <v>126984</v>
      </c>
    </row>
    <row r="42" spans="2:13" ht="20.100000000000001" customHeight="1" x14ac:dyDescent="0.2">
      <c r="B42" s="1337"/>
      <c r="C42" s="1341"/>
      <c r="D42" s="1342"/>
      <c r="E42" s="1343"/>
      <c r="F42" s="1343"/>
      <c r="G42" s="1343"/>
      <c r="H42" s="1343"/>
      <c r="I42" s="1343"/>
      <c r="J42" s="1343"/>
      <c r="K42" s="1343"/>
      <c r="L42" s="1340"/>
      <c r="M42" s="1343"/>
    </row>
    <row r="43" spans="2:13" ht="20.100000000000001" customHeight="1" x14ac:dyDescent="0.2">
      <c r="B43" s="1337" t="s">
        <v>2175</v>
      </c>
      <c r="C43" s="1341"/>
      <c r="D43" s="1342"/>
      <c r="E43" s="1343">
        <f>SUM(E40:E42)</f>
        <v>117563</v>
      </c>
      <c r="F43" s="1343">
        <f>SUM(F40:F42)</f>
        <v>87628</v>
      </c>
      <c r="G43" s="1343">
        <f>SUM(G40:G42)</f>
        <v>117563</v>
      </c>
      <c r="H43" s="1343"/>
      <c r="I43" s="1343">
        <f>SUM(I40:I42)</f>
        <v>126984</v>
      </c>
      <c r="J43" s="1343"/>
      <c r="K43" s="1343"/>
      <c r="L43" s="1343">
        <f>SUM(L40:L42)</f>
        <v>244547</v>
      </c>
      <c r="M43" s="1343">
        <f>SUM(M40:M42)</f>
        <v>244547</v>
      </c>
    </row>
    <row r="44" spans="2:13" ht="20.100000000000001" customHeight="1" x14ac:dyDescent="0.2">
      <c r="B44" s="1337"/>
      <c r="C44" s="1341"/>
      <c r="D44" s="1342"/>
      <c r="E44" s="1343"/>
      <c r="F44" s="1343"/>
      <c r="G44" s="1343"/>
      <c r="H44" s="1343"/>
      <c r="I44" s="1343"/>
      <c r="J44" s="1343"/>
      <c r="K44" s="1343"/>
      <c r="L44" s="1340"/>
      <c r="M44" s="1343"/>
    </row>
    <row r="45" spans="2:13" ht="20.100000000000001" customHeight="1" x14ac:dyDescent="0.2">
      <c r="B45" s="1337" t="s">
        <v>2137</v>
      </c>
      <c r="C45" s="1341"/>
      <c r="D45" s="1342"/>
      <c r="E45" s="1343"/>
      <c r="F45" s="1343"/>
      <c r="G45" s="1343"/>
      <c r="H45" s="1343"/>
      <c r="I45" s="1343"/>
      <c r="J45" s="1343"/>
      <c r="K45" s="1343"/>
      <c r="L45" s="1340"/>
      <c r="M45" s="1343"/>
    </row>
    <row r="46" spans="2:13" ht="20.100000000000001" customHeight="1" x14ac:dyDescent="0.2">
      <c r="B46" s="1337" t="s">
        <v>2176</v>
      </c>
      <c r="C46" s="1341"/>
      <c r="D46" s="1342"/>
      <c r="E46" s="1343"/>
      <c r="F46" s="1343"/>
      <c r="G46" s="1343"/>
      <c r="H46" s="1343"/>
      <c r="I46" s="1343"/>
      <c r="J46" s="1343"/>
      <c r="K46" s="1343"/>
      <c r="L46" s="1340"/>
      <c r="M46" s="1343"/>
    </row>
    <row r="47" spans="2:13" ht="20.100000000000001" customHeight="1" x14ac:dyDescent="0.2">
      <c r="B47" s="1337" t="s">
        <v>2177</v>
      </c>
      <c r="C47" s="1341" t="s">
        <v>2178</v>
      </c>
      <c r="D47" s="1342" t="s">
        <v>2179</v>
      </c>
      <c r="E47" s="1343"/>
      <c r="F47" s="1343">
        <v>17672</v>
      </c>
      <c r="G47" s="1343"/>
      <c r="H47" s="1343"/>
      <c r="I47" s="1343">
        <v>19762</v>
      </c>
      <c r="J47" s="1343"/>
      <c r="K47" s="1343"/>
      <c r="L47" s="1340">
        <f t="shared" si="0"/>
        <v>19762</v>
      </c>
      <c r="M47" s="1343">
        <v>48414</v>
      </c>
    </row>
    <row r="48" spans="2:13" ht="20.100000000000001" customHeight="1" x14ac:dyDescent="0.2">
      <c r="B48" s="1337"/>
      <c r="C48" s="1341"/>
      <c r="D48" s="1342"/>
      <c r="E48" s="1343"/>
      <c r="F48" s="1343"/>
      <c r="G48" s="1343"/>
      <c r="H48" s="1343"/>
      <c r="I48" s="1343"/>
      <c r="J48" s="1343"/>
      <c r="K48" s="1343"/>
      <c r="L48" s="1340"/>
      <c r="M48" s="1343"/>
    </row>
    <row r="49" spans="2:13" ht="20.100000000000001" customHeight="1" x14ac:dyDescent="0.2">
      <c r="B49" s="1337" t="s">
        <v>2180</v>
      </c>
      <c r="C49" s="1341"/>
      <c r="D49" s="1342"/>
      <c r="E49" s="1343"/>
      <c r="F49" s="1343">
        <f>SUM(F47:F48)</f>
        <v>17672</v>
      </c>
      <c r="G49" s="1343"/>
      <c r="H49" s="1343"/>
      <c r="I49" s="1343">
        <f>SUM(I47:I48)</f>
        <v>19762</v>
      </c>
      <c r="J49" s="1343"/>
      <c r="K49" s="1343"/>
      <c r="L49" s="1343">
        <f>SUM(L47:L48)</f>
        <v>19762</v>
      </c>
      <c r="M49" s="1343">
        <f>SUM(M47:M48)</f>
        <v>48414</v>
      </c>
    </row>
    <row r="50" spans="2:13" ht="20.100000000000001" customHeight="1" x14ac:dyDescent="0.2">
      <c r="B50" s="1337"/>
      <c r="C50" s="1341"/>
      <c r="D50" s="1342"/>
      <c r="E50" s="1343"/>
      <c r="F50" s="1343"/>
      <c r="G50" s="1343"/>
      <c r="H50" s="1343"/>
      <c r="I50" s="1343"/>
      <c r="J50" s="1343"/>
      <c r="K50" s="1343"/>
      <c r="L50" s="1340"/>
      <c r="M50" s="1343"/>
    </row>
    <row r="51" spans="2:13" ht="20.100000000000001" customHeight="1" x14ac:dyDescent="0.2">
      <c r="B51" s="1337" t="s">
        <v>2137</v>
      </c>
      <c r="C51" s="1341"/>
      <c r="D51" s="1342"/>
      <c r="E51" s="1343"/>
      <c r="F51" s="1343"/>
      <c r="G51" s="1343"/>
      <c r="H51" s="1343"/>
      <c r="I51" s="1343"/>
      <c r="J51" s="1343"/>
      <c r="K51" s="1343"/>
      <c r="L51" s="1340">
        <f t="shared" si="0"/>
        <v>0</v>
      </c>
      <c r="M51" s="1343"/>
    </row>
    <row r="52" spans="2:13" ht="20.100000000000001" customHeight="1" x14ac:dyDescent="0.2">
      <c r="B52" s="1337" t="s">
        <v>2181</v>
      </c>
      <c r="C52" s="1341">
        <v>84.040999999999997</v>
      </c>
      <c r="D52" s="1342" t="s">
        <v>2182</v>
      </c>
      <c r="E52" s="1343">
        <v>1016</v>
      </c>
      <c r="F52" s="1343"/>
      <c r="G52" s="1343">
        <v>1016</v>
      </c>
      <c r="H52" s="1343"/>
      <c r="I52" s="1343"/>
      <c r="J52" s="1343"/>
      <c r="K52" s="1343"/>
      <c r="L52" s="1340">
        <f t="shared" si="0"/>
        <v>1016</v>
      </c>
      <c r="M52" s="1343" t="s">
        <v>2166</v>
      </c>
    </row>
    <row r="53" spans="2:13" ht="20.100000000000001" customHeight="1" x14ac:dyDescent="0.2">
      <c r="B53" s="1337" t="s">
        <v>2181</v>
      </c>
      <c r="C53" s="1341">
        <v>84.040999999999997</v>
      </c>
      <c r="D53" s="1342" t="s">
        <v>2183</v>
      </c>
      <c r="E53" s="1343"/>
      <c r="F53" s="1343">
        <v>326</v>
      </c>
      <c r="G53" s="1343"/>
      <c r="H53" s="1343"/>
      <c r="I53" s="1343">
        <v>326</v>
      </c>
      <c r="J53" s="1343"/>
      <c r="K53" s="1343"/>
      <c r="L53" s="1340">
        <f t="shared" si="0"/>
        <v>326</v>
      </c>
      <c r="M53" s="1343" t="s">
        <v>2166</v>
      </c>
    </row>
    <row r="54" spans="2:13" ht="20.100000000000001" customHeight="1" x14ac:dyDescent="0.2">
      <c r="B54" s="1337"/>
      <c r="C54" s="1341"/>
      <c r="D54" s="1342"/>
      <c r="E54" s="1343"/>
      <c r="F54" s="1343"/>
      <c r="G54" s="1343"/>
      <c r="H54" s="1343"/>
      <c r="I54" s="1343"/>
      <c r="J54" s="1343"/>
      <c r="K54" s="1343"/>
      <c r="L54" s="1340"/>
      <c r="M54" s="1343"/>
    </row>
    <row r="55" spans="2:13" ht="20.100000000000001" customHeight="1" x14ac:dyDescent="0.2">
      <c r="B55" s="1337" t="s">
        <v>2184</v>
      </c>
      <c r="C55" s="1341"/>
      <c r="D55" s="1342"/>
      <c r="E55" s="1343">
        <f>SUM(E52:E54)</f>
        <v>1016</v>
      </c>
      <c r="F55" s="1343">
        <f>SUM(F52:F54)</f>
        <v>326</v>
      </c>
      <c r="G55" s="1343">
        <f>SUM(G52:G54)</f>
        <v>1016</v>
      </c>
      <c r="H55" s="1343"/>
      <c r="I55" s="1343">
        <f>SUM(I52:I54)</f>
        <v>326</v>
      </c>
      <c r="J55" s="1343"/>
      <c r="K55" s="1343"/>
      <c r="L55" s="1343">
        <f>SUM(L52:L54)</f>
        <v>1342</v>
      </c>
      <c r="M55" s="1343"/>
    </row>
    <row r="56" spans="2:13" ht="20.100000000000001" customHeight="1" x14ac:dyDescent="0.2">
      <c r="B56" s="1337"/>
      <c r="C56" s="1341"/>
      <c r="D56" s="1342"/>
      <c r="E56" s="1343"/>
      <c r="F56" s="1343"/>
      <c r="G56" s="1343"/>
      <c r="H56" s="1343"/>
      <c r="I56" s="1343"/>
      <c r="J56" s="1343"/>
      <c r="K56" s="1343"/>
      <c r="L56" s="1340"/>
      <c r="M56" s="1343"/>
    </row>
    <row r="57" spans="2:13" ht="20.100000000000001" customHeight="1" x14ac:dyDescent="0.2">
      <c r="B57" s="1337"/>
      <c r="C57" s="1341"/>
      <c r="D57" s="1342"/>
      <c r="E57" s="1343"/>
      <c r="F57" s="1343"/>
      <c r="G57" s="1343"/>
      <c r="H57" s="1343"/>
      <c r="I57" s="1343"/>
      <c r="J57" s="1343"/>
      <c r="K57" s="1343"/>
      <c r="L57" s="1340"/>
      <c r="M57" s="1343"/>
    </row>
    <row r="58" spans="2:13" ht="20.100000000000001" customHeight="1" x14ac:dyDescent="0.2">
      <c r="B58" s="1337"/>
      <c r="C58" s="1341"/>
      <c r="D58" s="1342"/>
      <c r="E58" s="1343"/>
      <c r="F58" s="1343"/>
      <c r="G58" s="1343"/>
      <c r="H58" s="1343"/>
      <c r="I58" s="1343"/>
      <c r="J58" s="1343"/>
      <c r="K58" s="1343"/>
      <c r="L58" s="1340"/>
      <c r="M58" s="1343"/>
    </row>
    <row r="59" spans="2:13" ht="20.100000000000001" customHeight="1" x14ac:dyDescent="0.2">
      <c r="B59" s="1337"/>
      <c r="C59" s="1341"/>
      <c r="D59" s="1342"/>
      <c r="E59" s="1343"/>
      <c r="F59" s="1343"/>
      <c r="G59" s="1343"/>
      <c r="H59" s="1343"/>
      <c r="I59" s="1343"/>
      <c r="J59" s="1343"/>
      <c r="K59" s="1343"/>
      <c r="L59" s="1340"/>
      <c r="M59" s="1343"/>
    </row>
    <row r="60" spans="2:13" ht="20.100000000000001" customHeight="1" x14ac:dyDescent="0.2">
      <c r="B60" s="1337"/>
      <c r="C60" s="1341"/>
      <c r="D60" s="1342"/>
      <c r="E60" s="1343"/>
      <c r="F60" s="1343"/>
      <c r="G60" s="1343"/>
      <c r="H60" s="1343"/>
      <c r="I60" s="1343"/>
      <c r="J60" s="1343"/>
      <c r="K60" s="1343"/>
      <c r="L60" s="1340"/>
      <c r="M60" s="1343"/>
    </row>
    <row r="61" spans="2:13" ht="20.100000000000001" customHeight="1" x14ac:dyDescent="0.2">
      <c r="B61" s="1337"/>
      <c r="C61" s="1341"/>
      <c r="D61" s="1342"/>
      <c r="E61" s="1343"/>
      <c r="F61" s="1343"/>
      <c r="G61" s="1343"/>
      <c r="H61" s="1343"/>
      <c r="I61" s="1343"/>
      <c r="J61" s="1343"/>
      <c r="K61" s="1343"/>
      <c r="L61" s="1340"/>
      <c r="M61" s="1343"/>
    </row>
    <row r="62" spans="2:13" ht="20.100000000000001" customHeight="1" x14ac:dyDescent="0.2">
      <c r="B62" s="1337"/>
      <c r="C62" s="1341"/>
      <c r="D62" s="1342"/>
      <c r="E62" s="1343"/>
      <c r="F62" s="1343"/>
      <c r="G62" s="1343"/>
      <c r="H62" s="1343"/>
      <c r="I62" s="1343"/>
      <c r="J62" s="1343"/>
      <c r="K62" s="1343"/>
      <c r="L62" s="1340"/>
      <c r="M62" s="1343"/>
    </row>
    <row r="63" spans="2:13" ht="20.100000000000001" customHeight="1" x14ac:dyDescent="0.2">
      <c r="B63" s="1337" t="s">
        <v>2185</v>
      </c>
      <c r="C63" s="1341"/>
      <c r="D63" s="1342"/>
      <c r="E63" s="1343"/>
      <c r="F63" s="1343"/>
      <c r="G63" s="1343"/>
      <c r="H63" s="1343"/>
      <c r="I63" s="1343"/>
      <c r="J63" s="1343"/>
      <c r="K63" s="1343"/>
      <c r="L63" s="1340">
        <f t="shared" si="0"/>
        <v>0</v>
      </c>
      <c r="M63" s="1343"/>
    </row>
    <row r="64" spans="2:13" ht="20.100000000000001" customHeight="1" x14ac:dyDescent="0.2">
      <c r="B64" s="1337" t="s">
        <v>2138</v>
      </c>
      <c r="C64" s="1341"/>
      <c r="D64" s="1342"/>
      <c r="E64" s="1343"/>
      <c r="F64" s="1343"/>
      <c r="G64" s="1343"/>
      <c r="H64" s="1343"/>
      <c r="I64" s="1343"/>
      <c r="J64" s="1343"/>
      <c r="K64" s="1343"/>
      <c r="L64" s="1340">
        <f t="shared" si="0"/>
        <v>0</v>
      </c>
      <c r="M64" s="1343"/>
    </row>
    <row r="65" spans="2:13" ht="20.100000000000001" customHeight="1" x14ac:dyDescent="0.2">
      <c r="B65" s="1337" t="s">
        <v>2186</v>
      </c>
      <c r="C65" s="1341"/>
      <c r="D65" s="1342"/>
      <c r="E65" s="1343"/>
      <c r="F65" s="1343"/>
      <c r="G65" s="1343"/>
      <c r="H65" s="1343"/>
      <c r="I65" s="1343"/>
      <c r="J65" s="1343"/>
      <c r="K65" s="1343"/>
      <c r="L65" s="1340">
        <f t="shared" si="0"/>
        <v>0</v>
      </c>
      <c r="M65" s="1343"/>
    </row>
    <row r="66" spans="2:13" ht="20.100000000000001" customHeight="1" x14ac:dyDescent="0.2">
      <c r="B66" s="1337" t="s">
        <v>2187</v>
      </c>
      <c r="C66" s="1341">
        <v>10.555</v>
      </c>
      <c r="D66" s="1342" t="s">
        <v>2190</v>
      </c>
      <c r="E66" s="1343">
        <v>684171</v>
      </c>
      <c r="F66" s="1343">
        <v>165772</v>
      </c>
      <c r="G66" s="1343">
        <v>698367</v>
      </c>
      <c r="H66" s="1343"/>
      <c r="I66" s="1343">
        <v>151576</v>
      </c>
      <c r="J66" s="1343"/>
      <c r="K66" s="1343"/>
      <c r="L66" s="1340">
        <f t="shared" si="0"/>
        <v>849943</v>
      </c>
      <c r="M66" s="1343" t="s">
        <v>2166</v>
      </c>
    </row>
    <row r="67" spans="2:13" ht="20.100000000000001" customHeight="1" x14ac:dyDescent="0.2">
      <c r="B67" s="1337" t="s">
        <v>2187</v>
      </c>
      <c r="C67" s="1341">
        <v>10.555</v>
      </c>
      <c r="D67" s="1342" t="s">
        <v>2191</v>
      </c>
      <c r="E67" s="1343"/>
      <c r="F67" s="1343">
        <v>687874</v>
      </c>
      <c r="G67" s="1343"/>
      <c r="H67" s="1343"/>
      <c r="I67" s="1343">
        <v>704677</v>
      </c>
      <c r="J67" s="1343"/>
      <c r="K67" s="1343"/>
      <c r="L67" s="1340">
        <f t="shared" si="0"/>
        <v>704677</v>
      </c>
      <c r="M67" s="1343" t="s">
        <v>2166</v>
      </c>
    </row>
    <row r="68" spans="2:13" ht="20.100000000000001" customHeight="1" x14ac:dyDescent="0.2">
      <c r="B68" s="1337" t="s">
        <v>2188</v>
      </c>
      <c r="C68" s="1341">
        <v>10.555</v>
      </c>
      <c r="D68" s="1342" t="s">
        <v>2166</v>
      </c>
      <c r="E68" s="1343"/>
      <c r="F68" s="1343">
        <v>56377</v>
      </c>
      <c r="G68" s="1343"/>
      <c r="H68" s="1343"/>
      <c r="I68" s="1343">
        <v>56377</v>
      </c>
      <c r="J68" s="1343"/>
      <c r="K68" s="1343"/>
      <c r="L68" s="1340">
        <f t="shared" si="0"/>
        <v>56377</v>
      </c>
      <c r="M68" s="1343" t="s">
        <v>2166</v>
      </c>
    </row>
    <row r="69" spans="2:13" ht="20.100000000000001" customHeight="1" x14ac:dyDescent="0.2">
      <c r="B69" s="1337" t="s">
        <v>2189</v>
      </c>
      <c r="C69" s="1341">
        <v>10.555</v>
      </c>
      <c r="D69" s="1342" t="s">
        <v>2166</v>
      </c>
      <c r="E69" s="1343"/>
      <c r="F69" s="1343">
        <v>45919</v>
      </c>
      <c r="G69" s="1343"/>
      <c r="H69" s="1343"/>
      <c r="I69" s="1343">
        <v>45919</v>
      </c>
      <c r="J69" s="1343"/>
      <c r="K69" s="1343"/>
      <c r="L69" s="1340">
        <f t="shared" si="0"/>
        <v>45919</v>
      </c>
      <c r="M69" s="1343" t="s">
        <v>2166</v>
      </c>
    </row>
    <row r="70" spans="2:13" ht="20.100000000000001" customHeight="1" x14ac:dyDescent="0.2">
      <c r="B70" s="1337"/>
      <c r="C70" s="1341"/>
      <c r="D70" s="1342"/>
      <c r="E70" s="1343"/>
      <c r="F70" s="1343"/>
      <c r="G70" s="1343"/>
      <c r="H70" s="1343"/>
      <c r="I70" s="1343"/>
      <c r="J70" s="1343"/>
      <c r="K70" s="1343"/>
      <c r="L70" s="1340"/>
      <c r="M70" s="1343"/>
    </row>
    <row r="71" spans="2:13" ht="20.100000000000001" customHeight="1" x14ac:dyDescent="0.2">
      <c r="B71" s="1337" t="s">
        <v>2196</v>
      </c>
      <c r="C71" s="1341">
        <v>10.553000000000001</v>
      </c>
      <c r="D71" s="1342" t="s">
        <v>2192</v>
      </c>
      <c r="E71" s="1343">
        <v>270700</v>
      </c>
      <c r="F71" s="1343">
        <v>62668</v>
      </c>
      <c r="G71" s="1343">
        <v>274727</v>
      </c>
      <c r="H71" s="1343"/>
      <c r="I71" s="1343">
        <v>58641</v>
      </c>
      <c r="J71" s="1343"/>
      <c r="K71" s="1343"/>
      <c r="L71" s="1340">
        <f t="shared" si="0"/>
        <v>333368</v>
      </c>
      <c r="M71" s="1343" t="s">
        <v>2166</v>
      </c>
    </row>
    <row r="72" spans="2:13" ht="20.100000000000001" customHeight="1" x14ac:dyDescent="0.2">
      <c r="B72" s="1337" t="s">
        <v>2196</v>
      </c>
      <c r="C72" s="1341">
        <v>10.553000000000001</v>
      </c>
      <c r="D72" s="1342" t="s">
        <v>2193</v>
      </c>
      <c r="E72" s="1343"/>
      <c r="F72" s="1343">
        <v>263018</v>
      </c>
      <c r="G72" s="1343"/>
      <c r="H72" s="1343"/>
      <c r="I72" s="1343">
        <v>263018</v>
      </c>
      <c r="J72" s="1343"/>
      <c r="K72" s="1343"/>
      <c r="L72" s="1340">
        <f t="shared" si="0"/>
        <v>263018</v>
      </c>
      <c r="M72" s="1343" t="s">
        <v>2166</v>
      </c>
    </row>
    <row r="73" spans="2:13" ht="20.100000000000001" customHeight="1" x14ac:dyDescent="0.2">
      <c r="B73" s="1337" t="s">
        <v>2194</v>
      </c>
      <c r="C73" s="1341"/>
      <c r="D73" s="1342"/>
      <c r="E73" s="1343">
        <f>SUM(E66:E72)</f>
        <v>954871</v>
      </c>
      <c r="F73" s="1343">
        <f>SUM(F66:F72)</f>
        <v>1281628</v>
      </c>
      <c r="G73" s="1343">
        <f>SUM(G66:G72)</f>
        <v>973094</v>
      </c>
      <c r="H73" s="1343"/>
      <c r="I73" s="1343">
        <f>SUM(I66:I72)</f>
        <v>1280208</v>
      </c>
      <c r="J73" s="1343"/>
      <c r="K73" s="1343"/>
      <c r="L73" s="1343">
        <f>SUM(L66:L72)</f>
        <v>2253302</v>
      </c>
      <c r="M73" s="1343"/>
    </row>
    <row r="74" spans="2:13" ht="20.100000000000001" customHeight="1" x14ac:dyDescent="0.2">
      <c r="B74" s="1337"/>
      <c r="C74" s="1341"/>
      <c r="D74" s="1342"/>
      <c r="E74" s="1343"/>
      <c r="F74" s="1343"/>
      <c r="G74" s="1343"/>
      <c r="H74" s="1343"/>
      <c r="I74" s="1343"/>
      <c r="J74" s="1343"/>
      <c r="K74" s="1343"/>
      <c r="L74" s="1340"/>
      <c r="M74" s="1343"/>
    </row>
    <row r="75" spans="2:13" ht="20.100000000000001" customHeight="1" x14ac:dyDescent="0.2">
      <c r="B75" s="1337" t="s">
        <v>2195</v>
      </c>
      <c r="C75" s="1341">
        <v>10.558</v>
      </c>
      <c r="D75" s="1342" t="s">
        <v>2197</v>
      </c>
      <c r="E75" s="1343">
        <v>84628</v>
      </c>
      <c r="F75" s="1343">
        <v>21820</v>
      </c>
      <c r="G75" s="1343">
        <v>85316</v>
      </c>
      <c r="H75" s="1343"/>
      <c r="I75" s="1343">
        <v>21132</v>
      </c>
      <c r="J75" s="1343"/>
      <c r="K75" s="1343"/>
      <c r="L75" s="1340">
        <f t="shared" si="0"/>
        <v>106448</v>
      </c>
      <c r="M75" s="1343" t="s">
        <v>2166</v>
      </c>
    </row>
    <row r="76" spans="2:13" ht="20.100000000000001" customHeight="1" x14ac:dyDescent="0.2">
      <c r="B76" s="1337" t="s">
        <v>2195</v>
      </c>
      <c r="C76" s="1341">
        <v>10.558</v>
      </c>
      <c r="D76" s="1342" t="s">
        <v>2198</v>
      </c>
      <c r="E76" s="1343"/>
      <c r="F76" s="1343">
        <v>82027</v>
      </c>
      <c r="G76" s="1343"/>
      <c r="H76" s="1343"/>
      <c r="I76" s="1343">
        <v>82027</v>
      </c>
      <c r="J76" s="1343"/>
      <c r="K76" s="1343"/>
      <c r="L76" s="1340">
        <f t="shared" si="0"/>
        <v>82027</v>
      </c>
      <c r="M76" s="1343" t="s">
        <v>2166</v>
      </c>
    </row>
    <row r="77" spans="2:13" ht="20.100000000000001" customHeight="1" x14ac:dyDescent="0.2">
      <c r="B77" s="1337"/>
      <c r="C77" s="1341"/>
      <c r="D77" s="1342"/>
      <c r="E77" s="1343"/>
      <c r="F77" s="1343"/>
      <c r="G77" s="1343"/>
      <c r="H77" s="1343"/>
      <c r="I77" s="1343"/>
      <c r="J77" s="1343"/>
      <c r="K77" s="1343"/>
      <c r="L77" s="1340"/>
      <c r="M77" s="1343"/>
    </row>
    <row r="78" spans="2:13" ht="20.100000000000001" customHeight="1" x14ac:dyDescent="0.2">
      <c r="B78" s="1337" t="s">
        <v>2199</v>
      </c>
      <c r="C78" s="1341">
        <v>10.582000000000001</v>
      </c>
      <c r="D78" s="1342" t="s">
        <v>2200</v>
      </c>
      <c r="E78" s="1343">
        <v>6974</v>
      </c>
      <c r="F78" s="1343"/>
      <c r="G78" s="1343">
        <v>6974</v>
      </c>
      <c r="H78" s="1343"/>
      <c r="I78" s="1343"/>
      <c r="J78" s="1343"/>
      <c r="K78" s="1343"/>
      <c r="L78" s="1340">
        <f t="shared" si="0"/>
        <v>6974</v>
      </c>
      <c r="M78" s="1343" t="s">
        <v>2166</v>
      </c>
    </row>
    <row r="79" spans="2:13" ht="20.100000000000001" customHeight="1" x14ac:dyDescent="0.2">
      <c r="B79" s="1337" t="s">
        <v>2199</v>
      </c>
      <c r="C79" s="1341">
        <v>10.582000000000001</v>
      </c>
      <c r="D79" s="1342" t="s">
        <v>2201</v>
      </c>
      <c r="E79" s="1343">
        <v>37940</v>
      </c>
      <c r="F79" s="1343">
        <v>29116</v>
      </c>
      <c r="G79" s="1343">
        <v>57618</v>
      </c>
      <c r="H79" s="1343"/>
      <c r="I79" s="1343">
        <v>9438</v>
      </c>
      <c r="J79" s="1343"/>
      <c r="K79" s="1343"/>
      <c r="L79" s="1340">
        <f t="shared" si="0"/>
        <v>67056</v>
      </c>
      <c r="M79" s="1343" t="s">
        <v>2166</v>
      </c>
    </row>
    <row r="80" spans="2:13" ht="20.100000000000001" customHeight="1" x14ac:dyDescent="0.2">
      <c r="B80" s="1337" t="s">
        <v>2199</v>
      </c>
      <c r="C80" s="1341">
        <v>10.582000000000001</v>
      </c>
      <c r="D80" s="1342" t="s">
        <v>2202</v>
      </c>
      <c r="E80" s="1343"/>
      <c r="F80" s="1343">
        <v>14631</v>
      </c>
      <c r="G80" s="1343"/>
      <c r="H80" s="1343"/>
      <c r="I80" s="1343">
        <v>14631</v>
      </c>
      <c r="J80" s="1343"/>
      <c r="K80" s="1343"/>
      <c r="L80" s="1340">
        <f t="shared" si="0"/>
        <v>14631</v>
      </c>
      <c r="M80" s="1343" t="s">
        <v>2166</v>
      </c>
    </row>
    <row r="81" spans="2:13" ht="20.100000000000001" customHeight="1" x14ac:dyDescent="0.2">
      <c r="B81" s="1337" t="s">
        <v>2199</v>
      </c>
      <c r="C81" s="1341">
        <v>10.582000000000001</v>
      </c>
      <c r="D81" s="1342" t="s">
        <v>2203</v>
      </c>
      <c r="E81" s="1343"/>
      <c r="F81" s="1343">
        <v>51097</v>
      </c>
      <c r="G81" s="1343"/>
      <c r="H81" s="1343"/>
      <c r="I81" s="1343">
        <v>51097</v>
      </c>
      <c r="J81" s="1343"/>
      <c r="K81" s="1343"/>
      <c r="L81" s="1340">
        <f t="shared" si="0"/>
        <v>51097</v>
      </c>
      <c r="M81" s="1343" t="s">
        <v>2166</v>
      </c>
    </row>
    <row r="82" spans="2:13" ht="20.100000000000001" customHeight="1" x14ac:dyDescent="0.2">
      <c r="B82" s="1337"/>
      <c r="C82" s="1341"/>
      <c r="D82" s="1342"/>
      <c r="E82" s="1343"/>
      <c r="F82" s="1343"/>
      <c r="G82" s="1343"/>
      <c r="H82" s="1343"/>
      <c r="I82" s="1343"/>
      <c r="J82" s="1343"/>
      <c r="K82" s="1343"/>
      <c r="L82" s="1340"/>
      <c r="M82" s="1343"/>
    </row>
    <row r="83" spans="2:13" ht="20.100000000000001" customHeight="1" x14ac:dyDescent="0.2">
      <c r="B83" s="1337" t="s">
        <v>2204</v>
      </c>
      <c r="C83" s="1341">
        <v>10.579000000000001</v>
      </c>
      <c r="D83" s="1342" t="s">
        <v>2205</v>
      </c>
      <c r="E83" s="1343"/>
      <c r="F83" s="1343">
        <v>7733</v>
      </c>
      <c r="G83" s="1343"/>
      <c r="H83" s="1343"/>
      <c r="I83" s="1343">
        <v>7733</v>
      </c>
      <c r="J83" s="1343"/>
      <c r="K83" s="1343"/>
      <c r="L83" s="1340">
        <f t="shared" si="0"/>
        <v>7733</v>
      </c>
      <c r="M83" s="1343" t="s">
        <v>2166</v>
      </c>
    </row>
    <row r="84" spans="2:13" ht="20.100000000000001" customHeight="1" x14ac:dyDescent="0.2">
      <c r="B84" s="1337"/>
      <c r="C84" s="1341"/>
      <c r="D84" s="1342"/>
      <c r="E84" s="1343"/>
      <c r="F84" s="1343"/>
      <c r="G84" s="1343"/>
      <c r="H84" s="1343"/>
      <c r="I84" s="1343"/>
      <c r="J84" s="1343"/>
      <c r="K84" s="1343"/>
      <c r="L84" s="1340"/>
      <c r="M84" s="1343"/>
    </row>
    <row r="85" spans="2:13" ht="20.100000000000001" customHeight="1" x14ac:dyDescent="0.2">
      <c r="B85" s="1337" t="s">
        <v>2206</v>
      </c>
      <c r="C85" s="1341"/>
      <c r="D85" s="1342"/>
      <c r="E85" s="1343">
        <f>SUM(E73:E83)</f>
        <v>1084413</v>
      </c>
      <c r="F85" s="1343">
        <f>SUM(F73:F83)</f>
        <v>1488052</v>
      </c>
      <c r="G85" s="1343">
        <f>SUM(G73:G83)</f>
        <v>1123002</v>
      </c>
      <c r="H85" s="1343"/>
      <c r="I85" s="1343">
        <f>SUM(I73:I83)</f>
        <v>1466266</v>
      </c>
      <c r="J85" s="1343"/>
      <c r="K85" s="1343"/>
      <c r="L85" s="1343">
        <f>SUM(L73:L83)</f>
        <v>2589268</v>
      </c>
      <c r="M85" s="1343"/>
    </row>
    <row r="86" spans="2:13" ht="20.100000000000001" customHeight="1" x14ac:dyDescent="0.2">
      <c r="B86" s="1337"/>
      <c r="C86" s="1341"/>
      <c r="D86" s="1342"/>
      <c r="E86" s="1343"/>
      <c r="F86" s="1343"/>
      <c r="G86" s="1343"/>
      <c r="H86" s="1343"/>
      <c r="I86" s="1343"/>
      <c r="J86" s="1343"/>
      <c r="K86" s="1343"/>
      <c r="L86" s="1340"/>
      <c r="M86" s="1343"/>
    </row>
    <row r="87" spans="2:13" ht="20.100000000000001" customHeight="1" x14ac:dyDescent="0.2">
      <c r="B87" s="1337"/>
      <c r="C87" s="1341"/>
      <c r="D87" s="1342"/>
      <c r="E87" s="1343"/>
      <c r="F87" s="1343"/>
      <c r="G87" s="1343"/>
      <c r="H87" s="1343"/>
      <c r="I87" s="1343"/>
      <c r="J87" s="1343"/>
      <c r="K87" s="1343"/>
      <c r="L87" s="1340"/>
      <c r="M87" s="1343"/>
    </row>
    <row r="88" spans="2:13" ht="20.100000000000001" customHeight="1" x14ac:dyDescent="0.2">
      <c r="B88" s="1337"/>
      <c r="C88" s="1341"/>
      <c r="D88" s="1342"/>
      <c r="E88" s="1343"/>
      <c r="F88" s="1343"/>
      <c r="G88" s="1343"/>
      <c r="H88" s="1343"/>
      <c r="I88" s="1343"/>
      <c r="J88" s="1343"/>
      <c r="K88" s="1343"/>
      <c r="L88" s="1340"/>
      <c r="M88" s="1343"/>
    </row>
    <row r="89" spans="2:13" ht="20.100000000000001" customHeight="1" x14ac:dyDescent="0.2">
      <c r="B89" s="1337" t="s">
        <v>2207</v>
      </c>
      <c r="C89" s="1341"/>
      <c r="D89" s="1342"/>
      <c r="E89" s="1343"/>
      <c r="F89" s="1343"/>
      <c r="G89" s="1343"/>
      <c r="H89" s="1343"/>
      <c r="I89" s="1343"/>
      <c r="J89" s="1343"/>
      <c r="K89" s="1343"/>
      <c r="L89" s="1340"/>
      <c r="M89" s="1343"/>
    </row>
    <row r="90" spans="2:13" ht="20.100000000000001" customHeight="1" x14ac:dyDescent="0.2">
      <c r="B90" s="1337" t="s">
        <v>2208</v>
      </c>
      <c r="C90" s="1341"/>
      <c r="D90" s="1342"/>
      <c r="E90" s="1343"/>
      <c r="F90" s="1343"/>
      <c r="G90" s="1343"/>
      <c r="H90" s="1343"/>
      <c r="I90" s="1343"/>
      <c r="J90" s="1343"/>
      <c r="K90" s="1343"/>
      <c r="L90" s="1340"/>
      <c r="M90" s="1343"/>
    </row>
    <row r="91" spans="2:13" ht="20.100000000000001" customHeight="1" x14ac:dyDescent="0.2">
      <c r="B91" s="1337" t="s">
        <v>2209</v>
      </c>
      <c r="C91" s="1341">
        <v>93.778000000000006</v>
      </c>
      <c r="D91" s="1342" t="s">
        <v>2210</v>
      </c>
      <c r="E91" s="1343">
        <v>15509</v>
      </c>
      <c r="F91" s="1343">
        <v>16871</v>
      </c>
      <c r="G91" s="1343">
        <v>23667</v>
      </c>
      <c r="H91" s="1343"/>
      <c r="I91" s="1343">
        <v>8713</v>
      </c>
      <c r="J91" s="1343"/>
      <c r="K91" s="1343"/>
      <c r="L91" s="1340">
        <f t="shared" si="0"/>
        <v>32380</v>
      </c>
      <c r="M91" s="1343" t="s">
        <v>2166</v>
      </c>
    </row>
    <row r="92" spans="2:13" ht="20.100000000000001" customHeight="1" x14ac:dyDescent="0.2">
      <c r="B92" s="1337" t="s">
        <v>2209</v>
      </c>
      <c r="C92" s="1341">
        <v>93.778000000000006</v>
      </c>
      <c r="D92" s="1342" t="s">
        <v>2211</v>
      </c>
      <c r="E92" s="1343"/>
      <c r="F92" s="1343">
        <v>27248</v>
      </c>
      <c r="G92" s="1343"/>
      <c r="H92" s="1343"/>
      <c r="I92" s="1343">
        <v>36398</v>
      </c>
      <c r="J92" s="1343"/>
      <c r="K92" s="1343"/>
      <c r="L92" s="1340">
        <f t="shared" si="0"/>
        <v>36398</v>
      </c>
      <c r="M92" s="1343" t="s">
        <v>2166</v>
      </c>
    </row>
    <row r="93" spans="2:13" ht="20.100000000000001" customHeight="1" x14ac:dyDescent="0.2">
      <c r="B93" s="1337"/>
      <c r="C93" s="1341"/>
      <c r="D93" s="1342"/>
      <c r="E93" s="1343"/>
      <c r="F93" s="1343"/>
      <c r="G93" s="1343"/>
      <c r="H93" s="1343"/>
      <c r="I93" s="1343"/>
      <c r="J93" s="1343"/>
      <c r="K93" s="1343"/>
      <c r="L93" s="1340"/>
      <c r="M93" s="1343"/>
    </row>
    <row r="94" spans="2:13" ht="20.100000000000001" customHeight="1" x14ac:dyDescent="0.2">
      <c r="B94" s="1337" t="s">
        <v>2212</v>
      </c>
      <c r="C94" s="1341"/>
      <c r="D94" s="1342"/>
      <c r="E94" s="1343">
        <f>SUM(E91:E93)</f>
        <v>15509</v>
      </c>
      <c r="F94" s="1343">
        <f>SUM(F91:F93)</f>
        <v>44119</v>
      </c>
      <c r="G94" s="1343">
        <f>SUM(G91:G93)</f>
        <v>23667</v>
      </c>
      <c r="H94" s="1343"/>
      <c r="I94" s="1343">
        <f>SUM(I91:I93)</f>
        <v>45111</v>
      </c>
      <c r="J94" s="1343"/>
      <c r="K94" s="1343"/>
      <c r="L94" s="1343">
        <f>SUM(L91:L93)</f>
        <v>68778</v>
      </c>
      <c r="M94" s="1343"/>
    </row>
    <row r="95" spans="2:13" ht="20.100000000000001" customHeight="1" x14ac:dyDescent="0.2">
      <c r="B95" s="1337"/>
      <c r="C95" s="1341"/>
      <c r="D95" s="1342"/>
      <c r="E95" s="1343"/>
      <c r="F95" s="1343"/>
      <c r="G95" s="1343"/>
      <c r="H95" s="1343"/>
      <c r="I95" s="1343"/>
      <c r="J95" s="1343"/>
      <c r="K95" s="1343"/>
      <c r="L95" s="1340"/>
      <c r="M95" s="1343"/>
    </row>
    <row r="96" spans="2:13" ht="20.100000000000001" customHeight="1" x14ac:dyDescent="0.2">
      <c r="B96" s="1337" t="s">
        <v>2207</v>
      </c>
      <c r="C96" s="1341"/>
      <c r="D96" s="1342"/>
      <c r="E96" s="1343"/>
      <c r="F96" s="1343"/>
      <c r="G96" s="1343"/>
      <c r="H96" s="1343"/>
      <c r="I96" s="1343"/>
      <c r="J96" s="1343"/>
      <c r="K96" s="1343"/>
      <c r="L96" s="1340"/>
      <c r="M96" s="1343"/>
    </row>
    <row r="97" spans="2:14" ht="20.100000000000001" customHeight="1" x14ac:dyDescent="0.2">
      <c r="B97" s="1337" t="s">
        <v>2213</v>
      </c>
      <c r="C97" s="1341"/>
      <c r="D97" s="1342"/>
      <c r="E97" s="1343"/>
      <c r="F97" s="1343"/>
      <c r="G97" s="1343"/>
      <c r="H97" s="1343"/>
      <c r="I97" s="1343"/>
      <c r="J97" s="1343"/>
      <c r="K97" s="1343"/>
      <c r="L97" s="1340"/>
      <c r="M97" s="1343"/>
    </row>
    <row r="98" spans="2:14" ht="20.100000000000001" customHeight="1" x14ac:dyDescent="0.2">
      <c r="B98" s="1337" t="s">
        <v>2214</v>
      </c>
      <c r="C98" s="1341">
        <v>93.6</v>
      </c>
      <c r="D98" s="1342" t="s">
        <v>2215</v>
      </c>
      <c r="E98" s="1343">
        <v>1293058</v>
      </c>
      <c r="F98" s="1343">
        <v>155080</v>
      </c>
      <c r="G98" s="1343">
        <v>1292793</v>
      </c>
      <c r="H98" s="1343"/>
      <c r="I98" s="1343">
        <v>155345</v>
      </c>
      <c r="J98" s="1343"/>
      <c r="K98" s="1343"/>
      <c r="L98" s="1340">
        <f t="shared" si="0"/>
        <v>1448138</v>
      </c>
      <c r="M98" s="1343">
        <v>1492496</v>
      </c>
    </row>
    <row r="99" spans="2:14" ht="20.100000000000001" customHeight="1" x14ac:dyDescent="0.2">
      <c r="B99" s="1337" t="s">
        <v>2214</v>
      </c>
      <c r="C99" s="1341">
        <v>93.6</v>
      </c>
      <c r="D99" s="1342" t="s">
        <v>2216</v>
      </c>
      <c r="E99" s="1343"/>
      <c r="F99" s="1343">
        <v>1423132</v>
      </c>
      <c r="G99" s="1343"/>
      <c r="H99" s="1343"/>
      <c r="I99" s="1343">
        <v>1422822</v>
      </c>
      <c r="J99" s="1343"/>
      <c r="K99" s="1343"/>
      <c r="L99" s="1340">
        <f t="shared" si="0"/>
        <v>1422822</v>
      </c>
      <c r="M99" s="1343">
        <v>1680060</v>
      </c>
    </row>
    <row r="100" spans="2:14" ht="20.100000000000001" customHeight="1" x14ac:dyDescent="0.2">
      <c r="B100" s="1337"/>
      <c r="C100" s="1341"/>
      <c r="D100" s="1342"/>
      <c r="E100" s="1343"/>
      <c r="F100" s="1343"/>
      <c r="G100" s="1343"/>
      <c r="H100" s="1343"/>
      <c r="I100" s="1343"/>
      <c r="J100" s="1343"/>
      <c r="K100" s="1343"/>
      <c r="L100" s="1340"/>
      <c r="M100" s="1343"/>
    </row>
    <row r="101" spans="2:14" ht="20.100000000000001" customHeight="1" x14ac:dyDescent="0.2">
      <c r="B101" s="1337" t="s">
        <v>2217</v>
      </c>
      <c r="C101" s="1341"/>
      <c r="D101" s="1342"/>
      <c r="E101" s="1343">
        <f>SUM(E98:E100)</f>
        <v>1293058</v>
      </c>
      <c r="F101" s="1343">
        <f>SUM(F98:F100)</f>
        <v>1578212</v>
      </c>
      <c r="G101" s="1343">
        <f>SUM(G98:G100)</f>
        <v>1292793</v>
      </c>
      <c r="H101" s="1343"/>
      <c r="I101" s="1343">
        <f>SUM(I98:I100)</f>
        <v>1578167</v>
      </c>
      <c r="J101" s="1343"/>
      <c r="K101" s="1343"/>
      <c r="L101" s="1343">
        <f>SUM(L98:L100)</f>
        <v>2870960</v>
      </c>
      <c r="M101" s="1343">
        <f>SUM(M98:M100)</f>
        <v>3172556</v>
      </c>
    </row>
    <row r="102" spans="2:14" ht="20.100000000000001" customHeight="1" x14ac:dyDescent="0.2">
      <c r="B102" s="1337"/>
      <c r="C102" s="1341"/>
      <c r="D102" s="1342"/>
      <c r="E102" s="1343"/>
      <c r="F102" s="1343"/>
      <c r="G102" s="1343"/>
      <c r="H102" s="1343"/>
      <c r="I102" s="1343"/>
      <c r="J102" s="1343"/>
      <c r="K102" s="1343"/>
      <c r="L102" s="1340"/>
      <c r="M102" s="1343"/>
    </row>
    <row r="103" spans="2:14" ht="20.100000000000001" customHeight="1" x14ac:dyDescent="0.2">
      <c r="B103" s="1337" t="s">
        <v>2218</v>
      </c>
      <c r="C103" s="1341"/>
      <c r="D103" s="1342"/>
      <c r="E103" s="1343">
        <f>E35+E85</f>
        <v>2565840</v>
      </c>
      <c r="F103" s="1343">
        <f>F35+F85</f>
        <v>3191059</v>
      </c>
      <c r="G103" s="1343">
        <f>G35+G85</f>
        <v>2795339</v>
      </c>
      <c r="H103" s="1343"/>
      <c r="I103" s="1343">
        <f>I35+I85</f>
        <v>3197365</v>
      </c>
      <c r="J103" s="1343"/>
      <c r="K103" s="1343"/>
      <c r="L103" s="1343">
        <f>L35+L85</f>
        <v>5992704</v>
      </c>
      <c r="M103" s="1343">
        <f>M35+M85</f>
        <v>4089048</v>
      </c>
    </row>
    <row r="104" spans="2:14" ht="20.100000000000001" customHeight="1" x14ac:dyDescent="0.2">
      <c r="B104" s="1337" t="s">
        <v>2219</v>
      </c>
      <c r="C104" s="1341"/>
      <c r="D104" s="1342"/>
      <c r="E104" s="1343">
        <f>E43+E49+E55+E94+E101</f>
        <v>1427146</v>
      </c>
      <c r="F104" s="1343">
        <f>F43+F49+F55+F94+F101</f>
        <v>1727957</v>
      </c>
      <c r="G104" s="1343">
        <f>G43+G49+G55+G94+G101</f>
        <v>1435039</v>
      </c>
      <c r="H104" s="1343"/>
      <c r="I104" s="1343">
        <f>I43+I49+I55+I94+I101</f>
        <v>1770350</v>
      </c>
      <c r="J104" s="1343"/>
      <c r="K104" s="1343"/>
      <c r="L104" s="1343">
        <f>L43+L49+L55+L94+L101</f>
        <v>3205389</v>
      </c>
      <c r="M104" s="1343">
        <f>M43+M49+M55+M94+M101</f>
        <v>3465517</v>
      </c>
    </row>
    <row r="105" spans="2:14" ht="20.100000000000001" customHeight="1" x14ac:dyDescent="0.2">
      <c r="B105" s="1337"/>
      <c r="C105" s="1341"/>
      <c r="D105" s="1342"/>
      <c r="E105" s="1343"/>
      <c r="F105" s="1343"/>
      <c r="G105" s="1343"/>
      <c r="H105" s="1343"/>
      <c r="I105" s="1343"/>
      <c r="J105" s="1343"/>
      <c r="K105" s="1343"/>
      <c r="L105" s="1340"/>
      <c r="M105" s="1343"/>
    </row>
    <row r="106" spans="2:14" ht="20.100000000000001" customHeight="1" x14ac:dyDescent="0.2">
      <c r="B106" s="1337" t="s">
        <v>2220</v>
      </c>
      <c r="C106" s="1341"/>
      <c r="D106" s="1342"/>
      <c r="E106" s="1343">
        <f>SUM(E103:E105)</f>
        <v>3992986</v>
      </c>
      <c r="F106" s="1343">
        <f>SUM(F103:F105)</f>
        <v>4919016</v>
      </c>
      <c r="G106" s="1343">
        <f>SUM(G103:G105)</f>
        <v>4230378</v>
      </c>
      <c r="H106" s="1343"/>
      <c r="I106" s="1343">
        <f>SUM(I103:I105)</f>
        <v>4967715</v>
      </c>
      <c r="J106" s="1343"/>
      <c r="K106" s="1343"/>
      <c r="L106" s="1343">
        <f>SUM(L103:L105)</f>
        <v>9198093</v>
      </c>
      <c r="M106" s="1343">
        <f>SUM(M103:M105)</f>
        <v>7554565</v>
      </c>
      <c r="N106" s="1344"/>
    </row>
    <row r="107" spans="2:14" ht="9" customHeight="1" x14ac:dyDescent="0.2">
      <c r="B107" s="1345"/>
      <c r="C107" s="1346"/>
      <c r="D107" s="1347"/>
      <c r="E107" s="1348"/>
      <c r="F107" s="1348"/>
      <c r="G107" s="1348"/>
      <c r="H107" s="1348"/>
      <c r="I107" s="1348"/>
      <c r="J107" s="1348"/>
      <c r="K107" s="1348"/>
      <c r="L107" s="1348"/>
      <c r="M107" s="1348"/>
      <c r="N107" s="1344"/>
    </row>
    <row r="108" spans="2:14" ht="13.5" customHeight="1" x14ac:dyDescent="0.2">
      <c r="B108" s="1282" t="s">
        <v>1838</v>
      </c>
      <c r="C108" s="1349"/>
      <c r="D108" s="1350"/>
      <c r="E108" s="1257"/>
      <c r="F108" s="1257"/>
      <c r="G108" s="1250"/>
      <c r="H108" s="1250"/>
      <c r="I108" s="1250"/>
      <c r="J108" s="1250"/>
      <c r="K108" s="1250"/>
      <c r="L108" s="1250"/>
      <c r="M108" s="1257"/>
      <c r="N108" s="1344"/>
    </row>
    <row r="109" spans="2:14" ht="8.25" customHeight="1" x14ac:dyDescent="0.2">
      <c r="B109" s="1282"/>
      <c r="C109" s="1349"/>
      <c r="D109" s="1350"/>
      <c r="E109" s="1257"/>
      <c r="F109" s="1257"/>
      <c r="G109" s="1250"/>
      <c r="H109" s="1250"/>
      <c r="I109" s="1250"/>
      <c r="J109" s="1250"/>
      <c r="K109" s="1250"/>
      <c r="L109" s="1250"/>
      <c r="M109" s="1257"/>
      <c r="N109" s="1344"/>
    </row>
    <row r="110" spans="2:14" x14ac:dyDescent="0.2">
      <c r="B110" s="1351" t="s">
        <v>1949</v>
      </c>
      <c r="C110" s="1352"/>
      <c r="D110" s="1353"/>
      <c r="E110" s="1354"/>
      <c r="F110" s="1354"/>
      <c r="G110" s="1354"/>
      <c r="H110" s="1354"/>
      <c r="I110" s="317"/>
      <c r="J110" s="317"/>
    </row>
    <row r="111" spans="2:14" ht="8.25" customHeight="1" x14ac:dyDescent="0.2">
      <c r="B111" s="1277"/>
      <c r="C111" s="1355"/>
      <c r="D111" s="1356"/>
      <c r="E111" s="1278"/>
      <c r="F111" s="1278"/>
      <c r="G111" s="317"/>
      <c r="H111" s="317"/>
      <c r="I111" s="317"/>
      <c r="J111" s="317"/>
    </row>
    <row r="112" spans="2:14" ht="13.5" customHeight="1" x14ac:dyDescent="0.2">
      <c r="B112" s="1276" t="s">
        <v>1308</v>
      </c>
      <c r="G112" s="317"/>
      <c r="H112" s="317"/>
      <c r="I112" s="317"/>
      <c r="J112" s="317"/>
    </row>
    <row r="113" spans="2:13" ht="10.5" customHeight="1" x14ac:dyDescent="0.2">
      <c r="B113" s="1359"/>
      <c r="C113" s="1360"/>
      <c r="D113" s="1361"/>
      <c r="E113" s="1297"/>
      <c r="F113" s="1297"/>
      <c r="G113" s="1297"/>
      <c r="H113" s="1297"/>
      <c r="I113" s="1297"/>
      <c r="J113" s="1297"/>
      <c r="K113" s="1362"/>
      <c r="L113" s="1362"/>
      <c r="M113" s="1297"/>
    </row>
    <row r="114" spans="2:13" ht="9.6" customHeight="1" x14ac:dyDescent="0.2">
      <c r="B114" s="1363"/>
      <c r="G114" s="317"/>
      <c r="H114" s="317"/>
      <c r="I114" s="317"/>
      <c r="J114" s="317"/>
    </row>
    <row r="115" spans="2:13" ht="11.25" customHeight="1" x14ac:dyDescent="0.2">
      <c r="B115" s="1364" t="s">
        <v>1839</v>
      </c>
      <c r="C115" s="1365"/>
      <c r="D115" s="1365"/>
      <c r="E115" s="1365"/>
      <c r="F115" s="1365"/>
      <c r="G115" s="1365"/>
      <c r="H115" s="1365"/>
      <c r="I115" s="1366"/>
      <c r="J115" s="1366"/>
      <c r="K115" s="1366"/>
      <c r="L115" s="1366"/>
      <c r="M115" s="1366"/>
    </row>
    <row r="116" spans="2:13" ht="11.25" customHeight="1" x14ac:dyDescent="0.2">
      <c r="B116" s="1367" t="s">
        <v>1666</v>
      </c>
      <c r="C116" s="1366"/>
      <c r="D116" s="1366"/>
      <c r="E116" s="1366"/>
      <c r="F116" s="1366"/>
      <c r="G116" s="1366"/>
      <c r="H116" s="1366"/>
      <c r="I116" s="1366"/>
      <c r="J116" s="1366"/>
      <c r="K116" s="1366"/>
      <c r="L116" s="1366"/>
      <c r="M116" s="1366"/>
    </row>
    <row r="117" spans="2:13" ht="3.95" customHeight="1" x14ac:dyDescent="0.2">
      <c r="B117" s="1367"/>
      <c r="C117" s="1366"/>
      <c r="D117" s="1366"/>
      <c r="E117" s="1366"/>
      <c r="F117" s="1366"/>
      <c r="G117" s="1366"/>
      <c r="H117" s="1366"/>
      <c r="I117" s="1366"/>
      <c r="J117" s="1366"/>
      <c r="K117" s="1366"/>
      <c r="L117" s="1366"/>
      <c r="M117" s="1366"/>
    </row>
    <row r="118" spans="2:13" ht="11.25" customHeight="1" x14ac:dyDescent="0.2">
      <c r="B118" s="1364" t="s">
        <v>1840</v>
      </c>
      <c r="C118" s="1366"/>
      <c r="D118" s="1366"/>
      <c r="E118" s="1366"/>
      <c r="F118" s="1366"/>
      <c r="G118" s="1366"/>
      <c r="H118" s="1366"/>
      <c r="I118" s="1366"/>
      <c r="J118" s="1366"/>
      <c r="K118" s="1366"/>
      <c r="L118" s="1366"/>
      <c r="M118" s="1366"/>
    </row>
    <row r="119" spans="2:13" ht="11.25" customHeight="1" x14ac:dyDescent="0.2">
      <c r="B119" s="1300" t="s">
        <v>1667</v>
      </c>
      <c r="C119" s="1368"/>
      <c r="D119" s="1369"/>
      <c r="E119" s="1300"/>
      <c r="F119" s="1300"/>
      <c r="G119" s="1300"/>
      <c r="H119" s="1300"/>
      <c r="I119" s="1300"/>
      <c r="J119" s="1300"/>
      <c r="K119" s="1370"/>
      <c r="L119" s="1370"/>
      <c r="M119" s="1300"/>
    </row>
    <row r="120" spans="2:13" ht="3.95" customHeight="1" x14ac:dyDescent="0.2">
      <c r="B120" s="1300"/>
      <c r="C120" s="1368"/>
      <c r="D120" s="1369"/>
      <c r="E120" s="1300"/>
      <c r="F120" s="1300"/>
      <c r="G120" s="1300"/>
      <c r="H120" s="1300"/>
      <c r="I120" s="1300"/>
      <c r="J120" s="1300"/>
      <c r="K120" s="1370"/>
      <c r="L120" s="1370"/>
      <c r="M120" s="1300"/>
    </row>
    <row r="121" spans="2:13" ht="11.25" customHeight="1" x14ac:dyDescent="0.2">
      <c r="B121" s="1371" t="s">
        <v>1841</v>
      </c>
      <c r="C121" s="1368"/>
      <c r="D121" s="1369"/>
      <c r="E121" s="1300"/>
      <c r="F121" s="1300"/>
      <c r="G121" s="1300"/>
      <c r="H121" s="1300"/>
      <c r="I121" s="1300"/>
      <c r="J121" s="1300"/>
      <c r="K121" s="1370"/>
      <c r="L121" s="1370"/>
      <c r="M121" s="1300"/>
    </row>
    <row r="122" spans="2:13" ht="3.95" customHeight="1" x14ac:dyDescent="0.2">
      <c r="B122" s="1371"/>
      <c r="C122" s="1368"/>
      <c r="D122" s="1369"/>
      <c r="E122" s="1300"/>
      <c r="F122" s="1300"/>
      <c r="G122" s="1300"/>
      <c r="H122" s="1300"/>
      <c r="I122" s="1300"/>
      <c r="J122" s="1300"/>
      <c r="K122" s="1370"/>
      <c r="L122" s="1370"/>
      <c r="M122" s="1300"/>
    </row>
    <row r="123" spans="2:13" ht="11.25" customHeight="1" x14ac:dyDescent="0.2">
      <c r="B123" s="1372" t="s">
        <v>1842</v>
      </c>
      <c r="C123" s="1368"/>
      <c r="D123" s="1369"/>
      <c r="E123" s="1300"/>
      <c r="F123" s="1300"/>
      <c r="G123" s="1300"/>
      <c r="H123" s="1300"/>
      <c r="I123" s="1300"/>
      <c r="J123" s="1300"/>
      <c r="K123" s="1370"/>
      <c r="L123" s="1370"/>
      <c r="M123" s="1300"/>
    </row>
    <row r="124" spans="2:13" ht="11.25" customHeight="1" x14ac:dyDescent="0.2">
      <c r="B124" s="1300" t="s">
        <v>1668</v>
      </c>
      <c r="G124" s="317"/>
      <c r="H124" s="317"/>
      <c r="I124" s="317"/>
      <c r="J124" s="317"/>
    </row>
    <row r="125" spans="2:13" ht="11.1" customHeight="1" x14ac:dyDescent="0.2">
      <c r="B125" s="1300"/>
      <c r="G125" s="317"/>
      <c r="H125" s="317"/>
      <c r="I125" s="317"/>
      <c r="J125" s="317"/>
    </row>
    <row r="126" spans="2:13" ht="11.1" customHeight="1" x14ac:dyDescent="0.2">
      <c r="B126" s="1300"/>
      <c r="G126" s="317"/>
      <c r="H126" s="317"/>
      <c r="I126" s="317"/>
      <c r="J126" s="317"/>
    </row>
    <row r="127" spans="2:13" ht="13.5" customHeight="1" x14ac:dyDescent="0.2">
      <c r="M127" s="1373"/>
    </row>
    <row r="128" spans="2:13" ht="13.5" customHeight="1" x14ac:dyDescent="0.2">
      <c r="M128" s="1373"/>
    </row>
    <row r="129" spans="7:13" ht="13.5" customHeight="1" x14ac:dyDescent="0.2">
      <c r="M129" s="1373"/>
    </row>
    <row r="130" spans="7:13" ht="13.5" customHeight="1" x14ac:dyDescent="0.2">
      <c r="G130" s="317"/>
      <c r="H130" s="317"/>
      <c r="I130" s="317"/>
      <c r="J130" s="317"/>
    </row>
    <row r="131" spans="7:13" ht="13.5" customHeight="1" x14ac:dyDescent="0.2">
      <c r="G131" s="317"/>
      <c r="H131" s="317"/>
      <c r="I131" s="317"/>
      <c r="J131" s="317"/>
    </row>
    <row r="132" spans="7:13" ht="13.5" customHeight="1" x14ac:dyDescent="0.2">
      <c r="G132" s="317"/>
      <c r="H132" s="317"/>
      <c r="I132" s="317"/>
      <c r="J132" s="317"/>
    </row>
    <row r="133" spans="7:13" ht="13.5" customHeight="1" x14ac:dyDescent="0.2">
      <c r="G133" s="317"/>
      <c r="H133" s="317"/>
      <c r="I133" s="317"/>
      <c r="J133" s="317"/>
    </row>
    <row r="134" spans="7:13" ht="13.5" customHeight="1" x14ac:dyDescent="0.2">
      <c r="G134" s="317"/>
      <c r="H134" s="317"/>
      <c r="I134" s="317"/>
      <c r="J134" s="317"/>
    </row>
    <row r="135" spans="7:13" ht="13.5" customHeight="1" x14ac:dyDescent="0.2">
      <c r="G135" s="317"/>
      <c r="H135" s="317"/>
      <c r="I135" s="317"/>
      <c r="J135" s="317"/>
    </row>
    <row r="136" spans="7:13" ht="13.5" customHeight="1" x14ac:dyDescent="0.2">
      <c r="G136" s="317"/>
      <c r="H136" s="317"/>
      <c r="I136" s="317"/>
      <c r="J136" s="317"/>
    </row>
    <row r="137" spans="7:13" ht="13.5" customHeight="1" x14ac:dyDescent="0.2"/>
    <row r="138" spans="7:13" ht="13.5" customHeight="1" x14ac:dyDescent="0.2"/>
    <row r="139" spans="7:13" ht="13.5" customHeight="1" x14ac:dyDescent="0.2"/>
    <row r="140" spans="7:13" ht="25.5" customHeight="1" x14ac:dyDescent="0.2"/>
    <row r="141" spans="7:13" ht="25.5" customHeight="1" x14ac:dyDescent="0.2"/>
    <row r="142" spans="7:13" ht="25.5" customHeight="1" x14ac:dyDescent="0.2"/>
    <row r="143" spans="7:13" ht="25.5" customHeight="1" x14ac:dyDescent="0.2"/>
    <row r="144" spans="7:13" ht="25.5" customHeight="1" x14ac:dyDescent="0.2"/>
    <row r="145" ht="25.5" customHeight="1" x14ac:dyDescent="0.2"/>
    <row r="146" ht="25.5" customHeight="1" x14ac:dyDescent="0.2"/>
    <row r="147" ht="25.5" customHeight="1" x14ac:dyDescent="0.2"/>
    <row r="148" ht="25.5" customHeight="1" x14ac:dyDescent="0.2"/>
    <row r="149" ht="25.5" customHeight="1" x14ac:dyDescent="0.2"/>
    <row r="150" ht="25.5" customHeight="1" x14ac:dyDescent="0.2"/>
    <row r="151" ht="25.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4.7" customHeight="1" x14ac:dyDescent="0.2"/>
    <row r="190" ht="12.2"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4.7" customHeight="1" x14ac:dyDescent="0.2"/>
    <row r="23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2075</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2075</v>
      </c>
      <c r="C53" s="179">
        <v>22</v>
      </c>
      <c r="D53" s="247" t="s">
        <v>1537</v>
      </c>
      <c r="E53" s="248"/>
      <c r="F53" s="249"/>
      <c r="G53" s="249" t="s">
        <v>1536</v>
      </c>
      <c r="H53" s="250">
        <v>36129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2084</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K33" sqref="K3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Mout Vernon SD 80</v>
      </c>
      <c r="C1" s="2481"/>
      <c r="D1" s="2481"/>
      <c r="E1" s="2481"/>
      <c r="F1" s="2481"/>
      <c r="G1" s="2481"/>
      <c r="H1" s="2481"/>
      <c r="I1" s="2481"/>
      <c r="J1" s="1422"/>
    </row>
    <row r="2" spans="2:10" s="317" customFormat="1" ht="12.75" customHeight="1" x14ac:dyDescent="0.2">
      <c r="B2" s="2482">
        <f>'Single Audit Cover'!E7</f>
        <v>13041080002</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t="s">
        <v>1226</v>
      </c>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2075</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2075</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2075</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2075</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t="s">
        <v>2133</v>
      </c>
      <c r="E29" s="2487"/>
      <c r="F29" s="2487"/>
      <c r="G29" s="2487"/>
      <c r="H29" s="2487"/>
      <c r="I29" s="2487"/>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2075</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8" t="s">
        <v>1852</v>
      </c>
      <c r="D37" s="2489"/>
      <c r="E37" s="2489"/>
      <c r="F37" s="2490"/>
      <c r="G37" s="2488" t="s">
        <v>1674</v>
      </c>
      <c r="H37" s="2489"/>
      <c r="I37" s="2490"/>
    </row>
    <row r="38" spans="2:9" ht="16.5" customHeight="1" x14ac:dyDescent="0.2">
      <c r="B38" s="1444" t="s">
        <v>2134</v>
      </c>
      <c r="C38" s="2476" t="s">
        <v>2135</v>
      </c>
      <c r="D38" s="2477"/>
      <c r="E38" s="2477"/>
      <c r="F38" s="2478"/>
      <c r="G38" s="2491">
        <f>151576+704677+56377+45919+58641+263018</f>
        <v>1280208</v>
      </c>
      <c r="H38" s="2492"/>
      <c r="I38" s="2493"/>
    </row>
    <row r="39" spans="2:9" ht="16.5" customHeight="1" x14ac:dyDescent="0.2">
      <c r="B39" s="1444">
        <v>10.558</v>
      </c>
      <c r="C39" s="2476" t="s">
        <v>2136</v>
      </c>
      <c r="D39" s="2477"/>
      <c r="E39" s="2477"/>
      <c r="F39" s="2478"/>
      <c r="G39" s="2479">
        <f>21132+82027</f>
        <v>103159</v>
      </c>
      <c r="H39" s="2479"/>
      <c r="I39" s="2479"/>
    </row>
    <row r="40" spans="2:9" ht="16.5" customHeight="1" x14ac:dyDescent="0.2">
      <c r="B40" s="1444">
        <v>93.6</v>
      </c>
      <c r="C40" s="2476" t="s">
        <v>1105</v>
      </c>
      <c r="D40" s="2477"/>
      <c r="E40" s="2477"/>
      <c r="F40" s="2478"/>
      <c r="G40" s="2479">
        <v>1578167</v>
      </c>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2961534</v>
      </c>
      <c r="H43" s="2472"/>
      <c r="I43" s="2472"/>
    </row>
    <row r="44" spans="2:9" ht="12.75" customHeight="1" x14ac:dyDescent="0.2"/>
    <row r="45" spans="2:9" ht="12.75" customHeight="1" x14ac:dyDescent="0.2">
      <c r="B45" s="1435" t="s">
        <v>1950</v>
      </c>
      <c r="D45" s="2473">
        <f>' SEFA'!I106</f>
        <v>4967715</v>
      </c>
      <c r="E45" s="2474"/>
    </row>
    <row r="46" spans="2:9" ht="5.25" customHeight="1" x14ac:dyDescent="0.2">
      <c r="B46" s="1445"/>
      <c r="D46" s="1446"/>
      <c r="E46" s="1447"/>
    </row>
    <row r="47" spans="2:9" ht="12.75" customHeight="1" x14ac:dyDescent="0.2">
      <c r="B47" s="1300" t="s">
        <v>1676</v>
      </c>
      <c r="C47" s="1300"/>
      <c r="D47" s="1448">
        <f>+G43/D45</f>
        <v>0.59615618045721219</v>
      </c>
      <c r="E47" s="1449"/>
      <c r="F47" s="1450"/>
      <c r="I47" s="1451"/>
    </row>
    <row r="48" spans="2:9" ht="9.9499999999999993" customHeight="1" x14ac:dyDescent="0.2"/>
    <row r="49" spans="1:9" x14ac:dyDescent="0.2">
      <c r="B49" s="1368" t="s">
        <v>1335</v>
      </c>
      <c r="C49" s="1282"/>
      <c r="D49" s="1282"/>
      <c r="E49" s="2475">
        <v>750000</v>
      </c>
      <c r="F49" s="2475"/>
      <c r="G49" s="2475"/>
      <c r="H49" s="322"/>
    </row>
    <row r="51" spans="1:9" ht="13.5" customHeight="1" x14ac:dyDescent="0.2">
      <c r="B51" s="1368" t="s">
        <v>1334</v>
      </c>
      <c r="C51" s="1282"/>
      <c r="E51" s="1438"/>
      <c r="F51" s="1300" t="s">
        <v>940</v>
      </c>
      <c r="G51" s="1438" t="s">
        <v>2075</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Mout Vernon SD 80</v>
      </c>
      <c r="C1" s="2480"/>
      <c r="D1" s="2480"/>
      <c r="E1" s="2480"/>
      <c r="F1" s="2480"/>
      <c r="G1" s="2480"/>
      <c r="H1" s="2480"/>
      <c r="I1" s="2480"/>
      <c r="J1" s="2480"/>
      <c r="K1" s="2480"/>
      <c r="L1" s="1374"/>
      <c r="M1" s="1374"/>
    </row>
    <row r="2" spans="1:13" ht="12" customHeight="1" x14ac:dyDescent="0.2">
      <c r="B2" s="2482">
        <f>'Single Audit Cover'!E7</f>
        <v>13041080002</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v>1</v>
      </c>
      <c r="E10" s="322"/>
      <c r="F10" s="1387" t="s">
        <v>1362</v>
      </c>
      <c r="G10" s="1388" t="s">
        <v>2075</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2101</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2102</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9" t="s">
        <v>2103</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2105</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2104</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2106</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4" t="s">
        <v>2107</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T23" sqref="T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Mout Vernon SD 80</v>
      </c>
      <c r="C1" s="2503"/>
      <c r="D1" s="2503"/>
      <c r="E1" s="2503"/>
      <c r="F1" s="2503"/>
      <c r="G1" s="2503"/>
      <c r="H1" s="2503"/>
      <c r="I1" s="2503"/>
      <c r="J1" s="2503"/>
      <c r="K1" s="2503"/>
      <c r="L1" s="1465"/>
    </row>
    <row r="2" spans="1:12" ht="12.75" customHeight="1" x14ac:dyDescent="0.2">
      <c r="B2" s="2504">
        <f>'Single Audit Cover'!E7</f>
        <v>13041080002</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6" sqref="C26"/>
    </sheetView>
  </sheetViews>
  <sheetFormatPr defaultColWidth="9.140625" defaultRowHeight="12.75" x14ac:dyDescent="0.2"/>
  <cols>
    <col min="1" max="1" width="1.5703125" style="317" customWidth="1"/>
    <col min="2" max="2" width="14.7109375" style="317" customWidth="1"/>
    <col min="3" max="3" width="58.28515625" style="317" customWidth="1"/>
    <col min="4" max="4" width="2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Mout Vernon SD 80</v>
      </c>
      <c r="C1" s="2480"/>
      <c r="D1" s="2480"/>
      <c r="E1" s="1491"/>
    </row>
    <row r="2" spans="2:5" s="1282" customFormat="1" ht="12.75" customHeight="1" x14ac:dyDescent="0.2">
      <c r="B2" s="2482">
        <f>'Single Audit Cover'!E7</f>
        <v>13041080002</v>
      </c>
      <c r="C2" s="2482"/>
      <c r="D2" s="2482"/>
      <c r="E2" s="1492"/>
    </row>
    <row r="3" spans="2:5" ht="12.75" customHeight="1" x14ac:dyDescent="0.2">
      <c r="B3" s="2496" t="s">
        <v>1867</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956" t="s">
        <v>2221</v>
      </c>
      <c r="C8" s="2507" t="s">
        <v>2222</v>
      </c>
      <c r="D8" s="324"/>
      <c r="E8" s="324"/>
    </row>
    <row r="9" spans="2:5" ht="13.5" customHeight="1" x14ac:dyDescent="0.2">
      <c r="B9" s="1956"/>
      <c r="C9" s="2507"/>
      <c r="D9" s="1957" t="s">
        <v>2223</v>
      </c>
      <c r="E9" s="323"/>
    </row>
    <row r="10" spans="2:5" ht="13.5" customHeight="1" x14ac:dyDescent="0.2">
      <c r="B10" s="1496"/>
      <c r="C10" s="2507"/>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1870</v>
      </c>
    </row>
    <row r="46" spans="2:5" ht="12.2" customHeight="1" x14ac:dyDescent="0.2">
      <c r="B46" s="1504" t="s">
        <v>1871</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5">
    <mergeCell ref="B1:D1"/>
    <mergeCell ref="B2:D2"/>
    <mergeCell ref="B3:D3"/>
    <mergeCell ref="B4:D4"/>
    <mergeCell ref="C8:C1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187678217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1.48862E-2</v>
      </c>
      <c r="E10" s="356" t="s">
        <v>1062</v>
      </c>
      <c r="F10" s="355">
        <v>5.4878000000000001E-3</v>
      </c>
      <c r="G10" s="356" t="s">
        <v>1062</v>
      </c>
      <c r="H10" s="355">
        <v>3.9420000000000002E-3</v>
      </c>
      <c r="I10" s="356" t="s">
        <v>1063</v>
      </c>
      <c r="J10" s="1753">
        <f>ROUND(D10+F10+H10,5)</f>
        <v>2.4320000000000001E-2</v>
      </c>
      <c r="K10" s="222"/>
      <c r="L10" s="355">
        <v>4.9890000000000004E-4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20812732</v>
      </c>
      <c r="E16" s="356"/>
      <c r="F16" s="1754">
        <f>SUM('Acct Summary 7-8'!C17,'Acct Summary 7-8'!D17,'Acct Summary 7-8'!F17)</f>
        <v>18930564</v>
      </c>
      <c r="G16" s="356"/>
      <c r="H16" s="1754">
        <f>SUM(D16-F16)</f>
        <v>1882168</v>
      </c>
      <c r="I16" s="222"/>
      <c r="J16" s="1754">
        <f>SUM('Acct Summary 7-8'!C81,'Acct Summary 7-8'!D81,'Acct Summary 7-8'!F81,'Acct Summary 7-8'!I81)</f>
        <v>6223476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607</v>
      </c>
      <c r="D31" s="237" t="s">
        <v>1132</v>
      </c>
      <c r="E31" s="222"/>
      <c r="F31" s="222"/>
      <c r="G31" s="363"/>
      <c r="H31" s="1756">
        <f>IF(B31="X",(J7*0.069),IF(B32="X",(J7*0.138),"Enter x in a.or b."))</f>
        <v>12949796.973000001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8780000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11" sqref="O1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Mout Vernon SD 80</v>
      </c>
      <c r="E7" s="391"/>
      <c r="G7" s="252"/>
      <c r="H7" s="387"/>
      <c r="I7" s="387"/>
      <c r="J7" s="387"/>
      <c r="K7" s="387"/>
      <c r="L7" s="329"/>
      <c r="M7" s="329"/>
      <c r="N7" s="329"/>
      <c r="O7" s="329"/>
      <c r="P7" s="329"/>
    </row>
    <row r="8" spans="1:18" ht="12.75" x14ac:dyDescent="0.2">
      <c r="A8" s="329"/>
      <c r="B8" s="329"/>
      <c r="C8" s="389" t="s">
        <v>1187</v>
      </c>
      <c r="D8" s="392">
        <f>COVER!A13</f>
        <v>13041080002</v>
      </c>
      <c r="E8" s="393"/>
      <c r="G8" s="329"/>
      <c r="H8" s="329"/>
      <c r="I8" s="329"/>
      <c r="J8" s="329"/>
      <c r="K8" s="329"/>
      <c r="L8" s="329"/>
      <c r="M8" s="329"/>
      <c r="N8" s="329"/>
      <c r="O8" s="329"/>
      <c r="P8" s="329"/>
    </row>
    <row r="9" spans="1:18" ht="12.75" x14ac:dyDescent="0.2">
      <c r="A9" s="329"/>
      <c r="B9" s="329"/>
      <c r="C9" s="389" t="s">
        <v>737</v>
      </c>
      <c r="D9" s="394" t="str">
        <f>COVER!A15</f>
        <v>Jefferson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6223476</v>
      </c>
      <c r="I12" s="404"/>
      <c r="J12" s="404"/>
      <c r="K12" s="405">
        <f>TRUNC((H12/H13*100000),5)/100000</f>
        <v>0.2990225406</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20812732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18930564</v>
      </c>
      <c r="I17" s="404"/>
      <c r="J17" s="416"/>
      <c r="K17" s="405">
        <f>TRUNC((H17/H18*100000),5)/100000</f>
        <v>0.90956650949999995</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20812732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6230886</v>
      </c>
      <c r="I24" s="422"/>
      <c r="J24" s="422"/>
      <c r="K24" s="423">
        <f>TRUNC(((H24/H25*100000)/100000),2)</f>
        <v>118.49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52584.9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3879684.10182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8780000</v>
      </c>
      <c r="I32" s="420"/>
      <c r="J32" s="420"/>
      <c r="K32" s="423">
        <f>TRUNC(100-((((H32/H33*100))*100)/100),2)</f>
        <v>32.19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12949796.973000001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0"/>
      <c r="D3" s="1581"/>
      <c r="E3" s="1581"/>
      <c r="F3" s="1581"/>
      <c r="G3" s="1581"/>
      <c r="H3" s="1581"/>
      <c r="I3" s="1581"/>
      <c r="J3" s="1581"/>
      <c r="K3" s="1581"/>
      <c r="L3" s="1581"/>
      <c r="M3" s="1582"/>
      <c r="N3" s="1583"/>
    </row>
    <row r="4" spans="1:14" ht="13.5" customHeight="1" x14ac:dyDescent="0.2">
      <c r="A4" s="463" t="s">
        <v>1750</v>
      </c>
      <c r="B4" s="464"/>
      <c r="C4" s="465">
        <v>4931938</v>
      </c>
      <c r="D4" s="466">
        <v>302460</v>
      </c>
      <c r="E4" s="466">
        <v>11</v>
      </c>
      <c r="F4" s="466">
        <v>16</v>
      </c>
      <c r="G4" s="466">
        <v>461043</v>
      </c>
      <c r="H4" s="466">
        <v>4112362</v>
      </c>
      <c r="I4" s="466">
        <v>996472</v>
      </c>
      <c r="J4" s="467">
        <v>28094</v>
      </c>
      <c r="K4" s="466">
        <v>98147</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7523</v>
      </c>
      <c r="D7" s="467"/>
      <c r="E7" s="467"/>
      <c r="F7" s="467"/>
      <c r="G7" s="467">
        <v>17730</v>
      </c>
      <c r="H7" s="467"/>
      <c r="I7" s="467">
        <v>468795</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4939461</v>
      </c>
      <c r="D13" s="1758">
        <f t="shared" ref="D13:L13" si="0">SUM(D4:D12)</f>
        <v>302460</v>
      </c>
      <c r="E13" s="1758">
        <f t="shared" si="0"/>
        <v>11</v>
      </c>
      <c r="F13" s="1758">
        <f t="shared" si="0"/>
        <v>16</v>
      </c>
      <c r="G13" s="1758">
        <f t="shared" si="0"/>
        <v>478773</v>
      </c>
      <c r="H13" s="1758">
        <f t="shared" si="0"/>
        <v>4112362</v>
      </c>
      <c r="I13" s="1758">
        <f t="shared" si="0"/>
        <v>1465267</v>
      </c>
      <c r="J13" s="1758">
        <f t="shared" si="0"/>
        <v>28094</v>
      </c>
      <c r="K13" s="1758">
        <f t="shared" si="0"/>
        <v>98147</v>
      </c>
      <c r="L13" s="1758">
        <f t="shared" si="0"/>
        <v>0</v>
      </c>
      <c r="M13" s="468"/>
      <c r="N13" s="469"/>
    </row>
    <row r="14" spans="1:14" ht="18" customHeight="1" thickTop="1" x14ac:dyDescent="0.2">
      <c r="A14" s="2130" t="s">
        <v>149</v>
      </c>
      <c r="B14" s="2131"/>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1480769</v>
      </c>
      <c r="N16" s="484"/>
    </row>
    <row r="17" spans="1:14" s="485" customFormat="1" ht="12.75" customHeight="1" x14ac:dyDescent="0.2">
      <c r="A17" s="482" t="s">
        <v>1470</v>
      </c>
      <c r="B17" s="483">
        <v>230</v>
      </c>
      <c r="C17" s="477"/>
      <c r="D17" s="477"/>
      <c r="E17" s="477"/>
      <c r="F17" s="477"/>
      <c r="G17" s="477"/>
      <c r="H17" s="477"/>
      <c r="I17" s="477"/>
      <c r="J17" s="477"/>
      <c r="K17" s="477"/>
      <c r="L17" s="477"/>
      <c r="M17" s="467">
        <v>17573652</v>
      </c>
      <c r="N17" s="484"/>
    </row>
    <row r="18" spans="1:14" s="485" customFormat="1" ht="12.75" customHeight="1" x14ac:dyDescent="0.2">
      <c r="A18" s="482" t="s">
        <v>1471</v>
      </c>
      <c r="B18" s="483">
        <v>240</v>
      </c>
      <c r="C18" s="477"/>
      <c r="D18" s="477"/>
      <c r="E18" s="477"/>
      <c r="F18" s="477"/>
      <c r="G18" s="477"/>
      <c r="H18" s="477"/>
      <c r="I18" s="477"/>
      <c r="J18" s="477"/>
      <c r="K18" s="477"/>
      <c r="L18" s="477"/>
      <c r="M18" s="467">
        <v>335802</v>
      </c>
      <c r="N18" s="484"/>
    </row>
    <row r="19" spans="1:14" s="485" customFormat="1" ht="12.75" customHeight="1" x14ac:dyDescent="0.2">
      <c r="A19" s="482" t="s">
        <v>1472</v>
      </c>
      <c r="B19" s="483">
        <v>250</v>
      </c>
      <c r="C19" s="477"/>
      <c r="D19" s="477"/>
      <c r="E19" s="477"/>
      <c r="F19" s="477"/>
      <c r="G19" s="477"/>
      <c r="H19" s="477"/>
      <c r="I19" s="477"/>
      <c r="J19" s="477"/>
      <c r="K19" s="477"/>
      <c r="L19" s="477"/>
      <c r="M19" s="467">
        <v>977181</v>
      </c>
      <c r="N19" s="484"/>
    </row>
    <row r="20" spans="1:14" s="485" customFormat="1" ht="12.75" customHeight="1" x14ac:dyDescent="0.2">
      <c r="A20" s="482" t="s">
        <v>1473</v>
      </c>
      <c r="B20" s="483">
        <v>260</v>
      </c>
      <c r="C20" s="477"/>
      <c r="D20" s="477"/>
      <c r="E20" s="477"/>
      <c r="F20" s="477"/>
      <c r="G20" s="477"/>
      <c r="H20" s="477"/>
      <c r="I20" s="477"/>
      <c r="J20" s="477"/>
      <c r="K20" s="477"/>
      <c r="L20" s="477"/>
      <c r="M20" s="467">
        <v>1456386</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8779989</v>
      </c>
    </row>
    <row r="23" spans="1:14" ht="13.5" customHeight="1" thickBot="1" x14ac:dyDescent="0.25">
      <c r="A23" s="1757" t="s">
        <v>664</v>
      </c>
      <c r="B23" s="1762"/>
      <c r="C23" s="468"/>
      <c r="D23" s="468"/>
      <c r="E23" s="468"/>
      <c r="F23" s="468"/>
      <c r="G23" s="468"/>
      <c r="H23" s="468"/>
      <c r="I23" s="468"/>
      <c r="J23" s="468"/>
      <c r="K23" s="468"/>
      <c r="L23" s="468"/>
      <c r="M23" s="1709">
        <f>SUM(M15:M22)</f>
        <v>21823790</v>
      </c>
      <c r="N23" s="1709">
        <f>SUM(N21:N22)</f>
        <v>8780000</v>
      </c>
    </row>
    <row r="24" spans="1:14" ht="18" customHeight="1" thickTop="1" x14ac:dyDescent="0.2">
      <c r="A24" s="2132" t="s">
        <v>619</v>
      </c>
      <c r="B24" s="2133"/>
      <c r="C24" s="1589"/>
      <c r="D24" s="1586"/>
      <c r="E24" s="1586"/>
      <c r="F24" s="1586"/>
      <c r="G24" s="1586"/>
      <c r="H24" s="1586"/>
      <c r="I24" s="1586"/>
      <c r="J24" s="1586"/>
      <c r="K24" s="1586"/>
      <c r="L24" s="1586"/>
      <c r="M24" s="1585"/>
      <c r="N24" s="1590"/>
    </row>
    <row r="25" spans="1:14" x14ac:dyDescent="0.2">
      <c r="A25" s="473" t="s">
        <v>666</v>
      </c>
      <c r="B25" s="470">
        <v>410</v>
      </c>
      <c r="C25" s="478">
        <v>148445</v>
      </c>
      <c r="D25" s="478"/>
      <c r="E25" s="478">
        <v>10320</v>
      </c>
      <c r="F25" s="478">
        <v>335283</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148445</v>
      </c>
      <c r="D34" s="1761">
        <f t="shared" ref="D34:K34" si="1">SUM(D25:D33)</f>
        <v>0</v>
      </c>
      <c r="E34" s="1761">
        <f t="shared" si="1"/>
        <v>10320</v>
      </c>
      <c r="F34" s="1761">
        <f t="shared" si="1"/>
        <v>335283</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34" t="s">
        <v>550</v>
      </c>
      <c r="B35" s="213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8780000</v>
      </c>
    </row>
    <row r="37" spans="1:14" ht="13.5" thickBot="1" x14ac:dyDescent="0.25">
      <c r="A37" s="1757" t="s">
        <v>674</v>
      </c>
      <c r="B37" s="1762"/>
      <c r="C37" s="477"/>
      <c r="D37" s="477"/>
      <c r="E37" s="477"/>
      <c r="F37" s="477"/>
      <c r="G37" s="477"/>
      <c r="H37" s="477"/>
      <c r="I37" s="477"/>
      <c r="J37" s="477"/>
      <c r="K37" s="477"/>
      <c r="L37" s="480"/>
      <c r="M37" s="468"/>
      <c r="N37" s="1709">
        <f>SUM(N36:N36)</f>
        <v>8780000</v>
      </c>
    </row>
    <row r="38" spans="1:14" s="329" customFormat="1" ht="13.5" customHeight="1" thickTop="1" x14ac:dyDescent="0.2">
      <c r="A38" s="496" t="s">
        <v>440</v>
      </c>
      <c r="B38" s="483">
        <v>714</v>
      </c>
      <c r="C38" s="466">
        <v>46886</v>
      </c>
      <c r="D38" s="466">
        <v>32480</v>
      </c>
      <c r="E38" s="466"/>
      <c r="F38" s="466"/>
      <c r="G38" s="466">
        <v>235911</v>
      </c>
      <c r="H38" s="466"/>
      <c r="I38" s="466"/>
      <c r="J38" s="467"/>
      <c r="K38" s="466"/>
      <c r="L38" s="481"/>
      <c r="M38" s="497"/>
      <c r="N38" s="497"/>
    </row>
    <row r="39" spans="1:14" s="329" customFormat="1" ht="13.5" customHeight="1" x14ac:dyDescent="0.2">
      <c r="A39" s="496" t="s">
        <v>360</v>
      </c>
      <c r="B39" s="483">
        <v>730</v>
      </c>
      <c r="C39" s="466">
        <v>4744130</v>
      </c>
      <c r="D39" s="466">
        <v>269980</v>
      </c>
      <c r="E39" s="466">
        <v>-10309</v>
      </c>
      <c r="F39" s="466">
        <v>-335267</v>
      </c>
      <c r="G39" s="466">
        <v>242862</v>
      </c>
      <c r="H39" s="466">
        <v>4112362</v>
      </c>
      <c r="I39" s="466">
        <v>1465267</v>
      </c>
      <c r="J39" s="467">
        <v>28094</v>
      </c>
      <c r="K39" s="466">
        <v>98147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21823790</v>
      </c>
      <c r="N40" s="497"/>
    </row>
    <row r="41" spans="1:14" ht="13.5" customHeight="1" thickBot="1" x14ac:dyDescent="0.25">
      <c r="A41" s="1757" t="s">
        <v>676</v>
      </c>
      <c r="B41" s="1727"/>
      <c r="C41" s="1709">
        <f>(SUM(C34,C37,C38,C39))</f>
        <v>4939461</v>
      </c>
      <c r="D41" s="1709">
        <f t="shared" ref="D41:L41" si="2">SUM(D34,D37,D38:D39)</f>
        <v>302460</v>
      </c>
      <c r="E41" s="1709">
        <f t="shared" si="2"/>
        <v>11</v>
      </c>
      <c r="F41" s="1709">
        <f t="shared" si="2"/>
        <v>16</v>
      </c>
      <c r="G41" s="1709">
        <f t="shared" si="2"/>
        <v>478773</v>
      </c>
      <c r="H41" s="1709">
        <f t="shared" si="2"/>
        <v>4112362</v>
      </c>
      <c r="I41" s="1709">
        <f t="shared" si="2"/>
        <v>1465267</v>
      </c>
      <c r="J41" s="1709">
        <f t="shared" si="2"/>
        <v>28094</v>
      </c>
      <c r="K41" s="1709">
        <f t="shared" si="2"/>
        <v>98147</v>
      </c>
      <c r="L41" s="1709">
        <f t="shared" si="2"/>
        <v>0</v>
      </c>
      <c r="M41" s="1709">
        <f>SUM(M40)</f>
        <v>21823790</v>
      </c>
      <c r="N41" s="1709">
        <f>SUM(N37)</f>
        <v>8780000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4"/>
      <c r="D3" s="1595"/>
      <c r="E3" s="1595"/>
      <c r="F3" s="1595"/>
      <c r="G3" s="1595"/>
      <c r="H3" s="1595"/>
      <c r="I3" s="1595"/>
      <c r="J3" s="1595"/>
      <c r="K3" s="1596"/>
      <c r="L3" s="506"/>
    </row>
    <row r="4" spans="1:13" ht="15.75" customHeight="1" x14ac:dyDescent="0.2">
      <c r="A4" s="1953" t="s">
        <v>1579</v>
      </c>
      <c r="B4" s="1954">
        <v>1000</v>
      </c>
      <c r="C4" s="1763">
        <f>'Revenues 9-14'!C109</f>
        <v>3293251</v>
      </c>
      <c r="D4" s="1763">
        <f>'Revenues 9-14'!D109</f>
        <v>1098231</v>
      </c>
      <c r="E4" s="1763">
        <f>'Revenues 9-14'!E109</f>
        <v>724639</v>
      </c>
      <c r="F4" s="1763">
        <f>'Revenues 9-14'!F109</f>
        <v>695708</v>
      </c>
      <c r="G4" s="1763">
        <f>'Revenues 9-14'!G109</f>
        <v>731871</v>
      </c>
      <c r="H4" s="1763">
        <f>'Revenues 9-14'!H109</f>
        <v>68585</v>
      </c>
      <c r="I4" s="1763">
        <f>'Revenues 9-14'!I109</f>
        <v>100018</v>
      </c>
      <c r="J4" s="1763">
        <f>'Revenues 9-14'!J109</f>
        <v>447561</v>
      </c>
      <c r="K4" s="1763">
        <f>'Revenues 9-14'!K109</f>
        <v>90350</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9374861</v>
      </c>
      <c r="D6" s="1764">
        <f>'Revenues 9-14'!D173</f>
        <v>0</v>
      </c>
      <c r="E6" s="1764">
        <f>'Revenues 9-14'!E173</f>
        <v>0</v>
      </c>
      <c r="F6" s="1764">
        <f>'Revenues 9-14'!F173</f>
        <v>967946</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5282717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17950829</v>
      </c>
      <c r="D8" s="1709">
        <f t="shared" ref="D8:K8" si="0">SUM(D4:D7)</f>
        <v>1098231</v>
      </c>
      <c r="E8" s="1709">
        <f t="shared" si="0"/>
        <v>724639</v>
      </c>
      <c r="F8" s="1709">
        <f t="shared" si="0"/>
        <v>1663654</v>
      </c>
      <c r="G8" s="1709">
        <f t="shared" si="0"/>
        <v>731871</v>
      </c>
      <c r="H8" s="1709">
        <f t="shared" si="0"/>
        <v>68585</v>
      </c>
      <c r="I8" s="1709">
        <f t="shared" si="0"/>
        <v>100018</v>
      </c>
      <c r="J8" s="1709">
        <f t="shared" si="0"/>
        <v>447561</v>
      </c>
      <c r="K8" s="1709">
        <f t="shared" si="0"/>
        <v>90350</v>
      </c>
      <c r="L8" s="347"/>
    </row>
    <row r="9" spans="1:13" ht="15.75" thickTop="1" x14ac:dyDescent="0.2">
      <c r="A9" s="514" t="s">
        <v>1752</v>
      </c>
      <c r="B9" s="515">
        <v>3998</v>
      </c>
      <c r="C9" s="481">
        <v>5873370</v>
      </c>
      <c r="D9" s="516"/>
      <c r="E9" s="481"/>
      <c r="F9" s="481"/>
      <c r="G9" s="517"/>
      <c r="H9" s="481"/>
      <c r="I9" s="509" t="s">
        <v>1231</v>
      </c>
      <c r="J9" s="478"/>
      <c r="K9" s="481"/>
      <c r="L9" s="347"/>
    </row>
    <row r="10" spans="1:13" s="519" customFormat="1" ht="13.5" thickBot="1" x14ac:dyDescent="0.25">
      <c r="A10" s="1757" t="s">
        <v>1235</v>
      </c>
      <c r="B10" s="1730"/>
      <c r="C10" s="1709">
        <f>SUM(C8:C9)</f>
        <v>23824199</v>
      </c>
      <c r="D10" s="1709">
        <f t="shared" ref="D10:K10" si="1">SUM(D8:D9)</f>
        <v>1098231</v>
      </c>
      <c r="E10" s="1709">
        <f t="shared" si="1"/>
        <v>724639</v>
      </c>
      <c r="F10" s="1709">
        <f t="shared" si="1"/>
        <v>1663654</v>
      </c>
      <c r="G10" s="1709">
        <f t="shared" si="1"/>
        <v>731871</v>
      </c>
      <c r="H10" s="1709">
        <f t="shared" si="1"/>
        <v>68585</v>
      </c>
      <c r="I10" s="1709">
        <f t="shared" si="1"/>
        <v>100018</v>
      </c>
      <c r="J10" s="1709">
        <f t="shared" si="1"/>
        <v>447561</v>
      </c>
      <c r="K10" s="1709">
        <f t="shared" si="1"/>
        <v>90350</v>
      </c>
      <c r="L10" s="518"/>
    </row>
    <row r="11" spans="1:13" s="519" customFormat="1" ht="16.7" customHeight="1" thickTop="1" x14ac:dyDescent="0.2">
      <c r="A11" s="2130" t="s">
        <v>1238</v>
      </c>
      <c r="B11" s="2131"/>
      <c r="C11" s="1591"/>
      <c r="D11" s="1592"/>
      <c r="E11" s="1592"/>
      <c r="F11" s="1592"/>
      <c r="G11" s="1592"/>
      <c r="H11" s="1592"/>
      <c r="I11" s="1592"/>
      <c r="J11" s="1592"/>
      <c r="K11" s="1593"/>
      <c r="L11" s="518"/>
    </row>
    <row r="12" spans="1:13" ht="15.75" customHeight="1" x14ac:dyDescent="0.2">
      <c r="A12" s="1597" t="s">
        <v>476</v>
      </c>
      <c r="B12" s="1599">
        <v>1000</v>
      </c>
      <c r="C12" s="1763">
        <f>'Expenditures 15-22'!K33</f>
        <v>10273048</v>
      </c>
      <c r="D12" s="520" t="s">
        <v>1231</v>
      </c>
      <c r="E12" s="468" t="s">
        <v>1231</v>
      </c>
      <c r="F12" s="468" t="s">
        <v>1231</v>
      </c>
      <c r="G12" s="1763">
        <f>'Expenditures 15-22'!K229</f>
        <v>276416</v>
      </c>
      <c r="H12" s="521"/>
      <c r="I12" s="468" t="s">
        <v>1231</v>
      </c>
      <c r="J12" s="468" t="s">
        <v>1231</v>
      </c>
      <c r="K12" s="521" t="s">
        <v>1231</v>
      </c>
      <c r="L12" s="347"/>
    </row>
    <row r="13" spans="1:13" ht="15.75" customHeight="1" x14ac:dyDescent="0.2">
      <c r="A13" s="1597" t="s">
        <v>477</v>
      </c>
      <c r="B13" s="1599">
        <v>2000</v>
      </c>
      <c r="C13" s="1764">
        <f>'Expenditures 15-22'!K74</f>
        <v>5171072</v>
      </c>
      <c r="D13" s="1764">
        <f>'Expenditures 15-22'!K129</f>
        <v>1092304</v>
      </c>
      <c r="E13" s="469" t="s">
        <v>1231</v>
      </c>
      <c r="F13" s="1764">
        <f>'Expenditures 15-22'!K184</f>
        <v>1285107</v>
      </c>
      <c r="G13" s="1764">
        <f>'Expenditures 15-22'!K279</f>
        <v>315034</v>
      </c>
      <c r="H13" s="1764">
        <f>'Expenditures 15-22'!K303</f>
        <v>1456406</v>
      </c>
      <c r="I13" s="468" t="s">
        <v>1231</v>
      </c>
      <c r="J13" s="1764">
        <f>'Expenditures 15-22'!K330</f>
        <v>421811</v>
      </c>
      <c r="K13" s="1768">
        <f>'Expenditures 15-22'!K352</f>
        <v>24622</v>
      </c>
      <c r="L13" s="347"/>
    </row>
    <row r="14" spans="1:13" ht="15.75" customHeight="1" x14ac:dyDescent="0.2">
      <c r="A14" s="1597" t="s">
        <v>469</v>
      </c>
      <c r="B14" s="1599">
        <v>3000</v>
      </c>
      <c r="C14" s="1764">
        <f>'Expenditures 15-22'!K75</f>
        <v>285127</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822517</v>
      </c>
      <c r="D15" s="1764">
        <f>'Expenditures 15-22'!K139</f>
        <v>1389</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1557054</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16551764</v>
      </c>
      <c r="D17" s="1709">
        <f t="shared" si="2"/>
        <v>1093693</v>
      </c>
      <c r="E17" s="1709">
        <f t="shared" si="2"/>
        <v>1557054</v>
      </c>
      <c r="F17" s="1709">
        <f t="shared" si="2"/>
        <v>1285107</v>
      </c>
      <c r="G17" s="1709">
        <f t="shared" si="2"/>
        <v>591450</v>
      </c>
      <c r="H17" s="1709">
        <f t="shared" si="2"/>
        <v>1456406</v>
      </c>
      <c r="I17" s="468"/>
      <c r="J17" s="1709">
        <f>SUM(J12:J16)</f>
        <v>421811</v>
      </c>
      <c r="K17" s="1709">
        <f>SUM(K12:K16)</f>
        <v>24622</v>
      </c>
      <c r="L17" s="347"/>
    </row>
    <row r="18" spans="1:12" ht="15" customHeight="1" thickTop="1" x14ac:dyDescent="0.2">
      <c r="A18" s="1765" t="s">
        <v>1753</v>
      </c>
      <c r="B18" s="1766">
        <v>4180</v>
      </c>
      <c r="C18" s="1763">
        <f t="shared" ref="C18:H18" si="3">C9</f>
        <v>5873370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22425134</v>
      </c>
      <c r="D19" s="1709">
        <f t="shared" si="4"/>
        <v>1093693</v>
      </c>
      <c r="E19" s="1709">
        <f t="shared" si="4"/>
        <v>1557054</v>
      </c>
      <c r="F19" s="1709">
        <f t="shared" si="4"/>
        <v>1285107</v>
      </c>
      <c r="G19" s="1709">
        <f t="shared" si="4"/>
        <v>591450</v>
      </c>
      <c r="H19" s="1709">
        <f t="shared" si="4"/>
        <v>1456406</v>
      </c>
      <c r="I19" s="468"/>
      <c r="J19" s="1709">
        <f>SUM(J17:J18)</f>
        <v>421811</v>
      </c>
      <c r="K19" s="1709">
        <f>SUM(K17:K18)</f>
        <v>24622</v>
      </c>
      <c r="L19" s="347"/>
    </row>
    <row r="20" spans="1:12" ht="16.5" thickTop="1" thickBot="1" x14ac:dyDescent="0.25">
      <c r="A20" s="2146" t="s">
        <v>1754</v>
      </c>
      <c r="B20" s="2147"/>
      <c r="C20" s="1767">
        <f>C8-C17</f>
        <v>1399065</v>
      </c>
      <c r="D20" s="1767">
        <f t="shared" ref="D20:K20" si="5">D8-D17</f>
        <v>4538</v>
      </c>
      <c r="E20" s="1767">
        <f t="shared" si="5"/>
        <v>-832415</v>
      </c>
      <c r="F20" s="1767">
        <f t="shared" si="5"/>
        <v>378547</v>
      </c>
      <c r="G20" s="1767">
        <f t="shared" si="5"/>
        <v>140421</v>
      </c>
      <c r="H20" s="1767">
        <f t="shared" si="5"/>
        <v>-1387821</v>
      </c>
      <c r="I20" s="1767">
        <f t="shared" si="5"/>
        <v>100018</v>
      </c>
      <c r="J20" s="1767">
        <f t="shared" si="5"/>
        <v>25750</v>
      </c>
      <c r="K20" s="1767">
        <f t="shared" si="5"/>
        <v>65728</v>
      </c>
      <c r="L20" s="347"/>
    </row>
    <row r="21" spans="1:12" ht="16.7" customHeight="1" thickTop="1" x14ac:dyDescent="0.2">
      <c r="A21" s="2158" t="s">
        <v>616</v>
      </c>
      <c r="B21" s="2159"/>
      <c r="C21" s="1591"/>
      <c r="D21" s="1592"/>
      <c r="E21" s="1592"/>
      <c r="F21" s="1592"/>
      <c r="G21" s="1592"/>
      <c r="H21" s="1592"/>
      <c r="I21" s="1592"/>
      <c r="J21" s="1592"/>
      <c r="K21" s="1593"/>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v>84215</v>
      </c>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1895</v>
      </c>
      <c r="B30" s="527">
        <v>7160</v>
      </c>
      <c r="C30" s="477"/>
      <c r="D30" s="467"/>
      <c r="E30" s="477"/>
      <c r="F30" s="477"/>
      <c r="G30" s="477"/>
      <c r="H30" s="477"/>
      <c r="I30" s="477"/>
      <c r="J30" s="477"/>
      <c r="K30" s="477"/>
      <c r="L30" s="524"/>
    </row>
    <row r="31" spans="1:12" s="485" customFormat="1" ht="26.25" x14ac:dyDescent="0.2">
      <c r="A31" s="1510" t="s">
        <v>1899</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0" t="s">
        <v>432</v>
      </c>
      <c r="B33" s="525">
        <v>7210</v>
      </c>
      <c r="C33" s="467"/>
      <c r="D33" s="467"/>
      <c r="E33" s="467">
        <v>530000</v>
      </c>
      <c r="F33" s="467"/>
      <c r="G33" s="477"/>
      <c r="H33" s="467">
        <v>5500000</v>
      </c>
      <c r="I33" s="467"/>
      <c r="J33" s="467"/>
      <c r="K33" s="467"/>
      <c r="L33" s="524"/>
    </row>
    <row r="34" spans="1:12" s="485" customFormat="1" x14ac:dyDescent="0.2">
      <c r="A34" s="1510" t="s">
        <v>1058</v>
      </c>
      <c r="B34" s="525">
        <v>7220</v>
      </c>
      <c r="C34" s="467"/>
      <c r="D34" s="467"/>
      <c r="E34" s="467">
        <v>14088</v>
      </c>
      <c r="F34" s="467"/>
      <c r="G34" s="477"/>
      <c r="H34" s="478">
        <v>329553</v>
      </c>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v>193597</v>
      </c>
      <c r="F43" s="467"/>
      <c r="G43" s="467"/>
      <c r="H43" s="467"/>
      <c r="I43" s="467"/>
      <c r="J43" s="467"/>
      <c r="K43" s="467"/>
      <c r="L43" s="524"/>
    </row>
    <row r="44" spans="1:12" s="485" customFormat="1" ht="13.5" customHeight="1" thickBot="1" x14ac:dyDescent="0.25">
      <c r="A44" s="2160" t="s">
        <v>392</v>
      </c>
      <c r="B44" s="2161"/>
      <c r="C44" s="1724">
        <f>SUM(C24:C43)</f>
        <v>0</v>
      </c>
      <c r="D44" s="1724">
        <f t="shared" ref="D44:K44" si="6">SUM(D24:D43)</f>
        <v>0</v>
      </c>
      <c r="E44" s="1724">
        <f t="shared" si="6"/>
        <v>821900</v>
      </c>
      <c r="F44" s="1724">
        <f t="shared" si="6"/>
        <v>0</v>
      </c>
      <c r="G44" s="1724">
        <f t="shared" si="6"/>
        <v>0</v>
      </c>
      <c r="H44" s="1724">
        <f t="shared" si="6"/>
        <v>5829553</v>
      </c>
      <c r="I44" s="1724">
        <f t="shared" si="6"/>
        <v>0</v>
      </c>
      <c r="J44" s="1724">
        <f t="shared" si="6"/>
        <v>0</v>
      </c>
      <c r="K44" s="1724">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84215</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v>0</v>
      </c>
      <c r="D75" s="531"/>
      <c r="E75" s="530">
        <v>13688</v>
      </c>
      <c r="F75" s="532"/>
      <c r="G75" s="532"/>
      <c r="H75" s="532">
        <v>329370</v>
      </c>
      <c r="I75" s="530"/>
      <c r="J75" s="530"/>
      <c r="K75" s="532"/>
      <c r="L75" s="524"/>
    </row>
    <row r="76" spans="1:12" s="485" customFormat="1" ht="14.25" thickTop="1" thickBot="1" x14ac:dyDescent="0.25">
      <c r="A76" s="2136" t="s">
        <v>460</v>
      </c>
      <c r="B76" s="2137"/>
      <c r="C76" s="1724">
        <f t="shared" ref="C76:K76" si="7">SUM(C47:C75)</f>
        <v>0</v>
      </c>
      <c r="D76" s="1724">
        <f t="shared" si="7"/>
        <v>0</v>
      </c>
      <c r="E76" s="1724">
        <f t="shared" si="7"/>
        <v>13688</v>
      </c>
      <c r="F76" s="1724">
        <f t="shared" si="7"/>
        <v>0</v>
      </c>
      <c r="G76" s="1724">
        <f t="shared" si="7"/>
        <v>0</v>
      </c>
      <c r="H76" s="1724">
        <f t="shared" si="7"/>
        <v>329370</v>
      </c>
      <c r="I76" s="1724">
        <f t="shared" si="7"/>
        <v>84215</v>
      </c>
      <c r="J76" s="1724">
        <f t="shared" si="7"/>
        <v>0</v>
      </c>
      <c r="K76" s="1724">
        <f t="shared" si="7"/>
        <v>0</v>
      </c>
      <c r="L76" s="524"/>
    </row>
    <row r="77" spans="1:12" ht="14.25" thickTop="1" thickBot="1" x14ac:dyDescent="0.25">
      <c r="A77" s="2138" t="s">
        <v>1239</v>
      </c>
      <c r="B77" s="2139"/>
      <c r="C77" s="1724">
        <f t="shared" ref="C77:K77" si="8">C44-C76</f>
        <v>0</v>
      </c>
      <c r="D77" s="1724">
        <f t="shared" si="8"/>
        <v>0</v>
      </c>
      <c r="E77" s="1724">
        <f t="shared" si="8"/>
        <v>808212</v>
      </c>
      <c r="F77" s="1724">
        <f t="shared" si="8"/>
        <v>0</v>
      </c>
      <c r="G77" s="1724">
        <f t="shared" si="8"/>
        <v>0</v>
      </c>
      <c r="H77" s="1724">
        <f t="shared" si="8"/>
        <v>5500183</v>
      </c>
      <c r="I77" s="1724">
        <f t="shared" si="8"/>
        <v>-84215</v>
      </c>
      <c r="J77" s="1724">
        <f t="shared" si="8"/>
        <v>0</v>
      </c>
      <c r="K77" s="1724">
        <f t="shared" si="8"/>
        <v>0</v>
      </c>
      <c r="L77" s="347"/>
    </row>
    <row r="78" spans="1:12" ht="21.75" customHeight="1" thickTop="1" thickBot="1" x14ac:dyDescent="0.25">
      <c r="A78" s="2142" t="s">
        <v>618</v>
      </c>
      <c r="B78" s="2143"/>
      <c r="C78" s="1723">
        <f t="shared" ref="C78:K78" si="9">C20+C77</f>
        <v>1399065</v>
      </c>
      <c r="D78" s="1723">
        <f t="shared" si="9"/>
        <v>4538</v>
      </c>
      <c r="E78" s="1723">
        <f t="shared" si="9"/>
        <v>-24203</v>
      </c>
      <c r="F78" s="1723">
        <f t="shared" si="9"/>
        <v>378547</v>
      </c>
      <c r="G78" s="1723">
        <f t="shared" si="9"/>
        <v>140421</v>
      </c>
      <c r="H78" s="1723">
        <f t="shared" si="9"/>
        <v>4112362</v>
      </c>
      <c r="I78" s="1723">
        <f t="shared" si="9"/>
        <v>15803</v>
      </c>
      <c r="J78" s="1723">
        <f t="shared" si="9"/>
        <v>25750</v>
      </c>
      <c r="K78" s="1723">
        <f t="shared" si="9"/>
        <v>65728</v>
      </c>
      <c r="L78" s="533"/>
    </row>
    <row r="79" spans="1:12" ht="13.5" thickTop="1" x14ac:dyDescent="0.2">
      <c r="A79" s="1515" t="s">
        <v>2071</v>
      </c>
      <c r="B79" s="534"/>
      <c r="C79" s="478">
        <v>3391951</v>
      </c>
      <c r="D79" s="535">
        <v>297922</v>
      </c>
      <c r="E79" s="535">
        <v>13894</v>
      </c>
      <c r="F79" s="535">
        <v>-713814</v>
      </c>
      <c r="G79" s="535">
        <v>338352</v>
      </c>
      <c r="H79" s="535">
        <v>0</v>
      </c>
      <c r="I79" s="535">
        <v>1449464</v>
      </c>
      <c r="J79" s="535">
        <v>2344</v>
      </c>
      <c r="K79" s="535">
        <v>32419</v>
      </c>
      <c r="L79" s="347"/>
    </row>
    <row r="80" spans="1:12" x14ac:dyDescent="0.2">
      <c r="A80" s="2148" t="s">
        <v>1896</v>
      </c>
      <c r="B80" s="2149"/>
      <c r="C80" s="467"/>
      <c r="D80" s="467"/>
      <c r="E80" s="467"/>
      <c r="F80" s="467"/>
      <c r="G80" s="467"/>
      <c r="H80" s="467"/>
      <c r="I80" s="467"/>
      <c r="J80" s="467"/>
      <c r="K80" s="467"/>
      <c r="L80" s="347"/>
    </row>
    <row r="81" spans="1:12" ht="13.5" thickBot="1" x14ac:dyDescent="0.25">
      <c r="A81" s="2140" t="s">
        <v>2072</v>
      </c>
      <c r="B81" s="2141"/>
      <c r="C81" s="1709">
        <f>(SUM(C78:C80))</f>
        <v>4791016</v>
      </c>
      <c r="D81" s="1709">
        <f>SUM(D78:D80)</f>
        <v>302460</v>
      </c>
      <c r="E81" s="1709">
        <f t="shared" ref="E81:K81" si="10">SUM(E78:E80)</f>
        <v>-10309</v>
      </c>
      <c r="F81" s="1709">
        <f t="shared" si="10"/>
        <v>-335267</v>
      </c>
      <c r="G81" s="1709">
        <f t="shared" si="10"/>
        <v>478773</v>
      </c>
      <c r="H81" s="1709">
        <f t="shared" si="10"/>
        <v>4112362</v>
      </c>
      <c r="I81" s="1709">
        <f t="shared" si="10"/>
        <v>1465267</v>
      </c>
      <c r="J81" s="1709">
        <f t="shared" si="10"/>
        <v>28094</v>
      </c>
      <c r="K81" s="1709">
        <f t="shared" si="10"/>
        <v>98147</v>
      </c>
      <c r="L81" s="347"/>
    </row>
    <row r="82" spans="1:12" ht="0.75" customHeight="1" thickTop="1" thickBot="1" x14ac:dyDescent="0.25">
      <c r="A82" s="536" t="s">
        <v>361</v>
      </c>
      <c r="B82" s="537"/>
      <c r="C82" s="538">
        <f>(C81-C79)</f>
        <v>1399065</v>
      </c>
      <c r="D82" s="538">
        <f t="shared" ref="D82:K82" si="11">(D81-D79)</f>
        <v>4538</v>
      </c>
      <c r="E82" s="538">
        <f t="shared" si="11"/>
        <v>-24203</v>
      </c>
      <c r="F82" s="538">
        <f t="shared" si="11"/>
        <v>378547</v>
      </c>
      <c r="G82" s="538">
        <f t="shared" si="11"/>
        <v>140421</v>
      </c>
      <c r="H82" s="538">
        <f t="shared" si="11"/>
        <v>4112362</v>
      </c>
      <c r="I82" s="538">
        <f t="shared" si="11"/>
        <v>15803</v>
      </c>
      <c r="J82" s="538">
        <f t="shared" si="11"/>
        <v>25750</v>
      </c>
      <c r="K82" s="538">
        <f t="shared" si="11"/>
        <v>65728</v>
      </c>
    </row>
    <row r="83" spans="1:12" ht="14.25" hidden="1" thickTop="1" thickBot="1" x14ac:dyDescent="0.25">
      <c r="A83" s="539" t="s">
        <v>362</v>
      </c>
      <c r="B83" s="464"/>
      <c r="C83" s="540">
        <f>C82/C81</f>
        <v>0.29201843617303719</v>
      </c>
      <c r="D83" s="540">
        <f t="shared" ref="D83:K83" si="12">D82/D81</f>
        <v>1.5003636844541427E-2</v>
      </c>
      <c r="E83" s="540">
        <f t="shared" si="12"/>
        <v>2.3477543893685131</v>
      </c>
      <c r="F83" s="540">
        <f t="shared" si="12"/>
        <v>-1.1290911422836127</v>
      </c>
      <c r="G83" s="540">
        <f t="shared" si="12"/>
        <v>0.29329348146198719</v>
      </c>
      <c r="H83" s="540">
        <f t="shared" si="12"/>
        <v>1</v>
      </c>
      <c r="I83" s="540">
        <f t="shared" si="12"/>
        <v>1.0785065111000247E-2</v>
      </c>
      <c r="J83" s="540">
        <f t="shared" si="12"/>
        <v>0.91656581476471843</v>
      </c>
      <c r="K83" s="540">
        <f t="shared" si="12"/>
        <v>0.66968934353571685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1903</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2648386</v>
      </c>
      <c r="D5" s="481">
        <v>987793</v>
      </c>
      <c r="E5" s="466">
        <v>462043</v>
      </c>
      <c r="F5" s="548">
        <v>695510</v>
      </c>
      <c r="G5" s="466">
        <v>332848</v>
      </c>
      <c r="H5" s="466"/>
      <c r="I5" s="466">
        <v>89420</v>
      </c>
      <c r="J5" s="467">
        <v>447118</v>
      </c>
      <c r="K5" s="466">
        <v>89420</v>
      </c>
    </row>
    <row r="6" spans="1:12" ht="15" x14ac:dyDescent="0.2">
      <c r="A6" s="463" t="s">
        <v>1761</v>
      </c>
      <c r="B6" s="470">
        <v>1130</v>
      </c>
      <c r="C6" s="466"/>
      <c r="D6" s="466">
        <v>49682</v>
      </c>
      <c r="E6" s="475"/>
      <c r="F6" s="475"/>
      <c r="G6" s="468"/>
      <c r="H6" s="468"/>
      <c r="I6" s="468"/>
      <c r="J6" s="468"/>
      <c r="K6" s="468"/>
    </row>
    <row r="7" spans="1:12" x14ac:dyDescent="0.2">
      <c r="A7" s="463" t="s">
        <v>112</v>
      </c>
      <c r="B7" s="549">
        <v>1140</v>
      </c>
      <c r="C7" s="466">
        <v>24832</v>
      </c>
      <c r="D7" s="466"/>
      <c r="E7" s="468"/>
      <c r="F7" s="467"/>
      <c r="G7" s="467"/>
      <c r="H7" s="467"/>
      <c r="I7" s="468"/>
      <c r="J7" s="468"/>
      <c r="K7" s="468"/>
    </row>
    <row r="8" spans="1:12" x14ac:dyDescent="0.2">
      <c r="A8" s="463" t="s">
        <v>433</v>
      </c>
      <c r="B8" s="470">
        <v>1150</v>
      </c>
      <c r="C8" s="475"/>
      <c r="D8" s="475"/>
      <c r="E8" s="477"/>
      <c r="F8" s="477"/>
      <c r="G8" s="481">
        <v>332848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2673218</v>
      </c>
      <c r="D12" s="1728">
        <f t="shared" si="0"/>
        <v>1037475</v>
      </c>
      <c r="E12" s="1728">
        <f t="shared" si="0"/>
        <v>462043</v>
      </c>
      <c r="F12" s="1728">
        <f t="shared" si="0"/>
        <v>695510</v>
      </c>
      <c r="G12" s="1728">
        <f t="shared" si="0"/>
        <v>665696</v>
      </c>
      <c r="H12" s="1728">
        <f t="shared" si="0"/>
        <v>0</v>
      </c>
      <c r="I12" s="1728">
        <f t="shared" si="0"/>
        <v>89420</v>
      </c>
      <c r="J12" s="1728">
        <f t="shared" si="0"/>
        <v>447118</v>
      </c>
      <c r="K12" s="1709">
        <f t="shared" si="0"/>
        <v>89420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v>254842</v>
      </c>
      <c r="F16" s="466"/>
      <c r="G16" s="466">
        <v>60000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254842</v>
      </c>
      <c r="F18" s="1731">
        <f t="shared" si="1"/>
        <v>0</v>
      </c>
      <c r="G18" s="1731">
        <f t="shared" si="1"/>
        <v>60000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184671</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184671</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60183</v>
      </c>
      <c r="D65" s="466">
        <v>6284</v>
      </c>
      <c r="E65" s="466">
        <v>7754</v>
      </c>
      <c r="F65" s="467">
        <v>198</v>
      </c>
      <c r="G65" s="466">
        <v>6175</v>
      </c>
      <c r="H65" s="466">
        <v>68585</v>
      </c>
      <c r="I65" s="466">
        <v>10598</v>
      </c>
      <c r="J65" s="467">
        <v>443</v>
      </c>
      <c r="K65" s="466">
        <v>930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60183</v>
      </c>
      <c r="D67" s="1709">
        <f t="shared" ref="D67:K67" si="2">SUM(D65:D66)</f>
        <v>6284</v>
      </c>
      <c r="E67" s="1709">
        <f t="shared" si="2"/>
        <v>7754</v>
      </c>
      <c r="F67" s="1709">
        <f t="shared" si="2"/>
        <v>198</v>
      </c>
      <c r="G67" s="1709">
        <f t="shared" si="2"/>
        <v>6175</v>
      </c>
      <c r="H67" s="1709">
        <f t="shared" si="2"/>
        <v>68585</v>
      </c>
      <c r="I67" s="1709">
        <f t="shared" si="2"/>
        <v>10598</v>
      </c>
      <c r="J67" s="1709">
        <f t="shared" si="2"/>
        <v>443</v>
      </c>
      <c r="K67" s="1709">
        <f t="shared" si="2"/>
        <v>930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4726</v>
      </c>
      <c r="D73" s="468"/>
      <c r="E73" s="468"/>
      <c r="F73" s="468"/>
      <c r="G73" s="468"/>
      <c r="H73" s="468"/>
      <c r="I73" s="468"/>
      <c r="J73" s="468"/>
      <c r="K73" s="468"/>
    </row>
    <row r="74" spans="1:11" ht="12.75" customHeight="1" x14ac:dyDescent="0.2">
      <c r="A74" s="463" t="s">
        <v>25</v>
      </c>
      <c r="B74" s="470">
        <v>1690</v>
      </c>
      <c r="C74" s="551">
        <v>103599</v>
      </c>
      <c r="D74" s="468"/>
      <c r="E74" s="468"/>
      <c r="F74" s="468"/>
      <c r="G74" s="468"/>
      <c r="H74" s="468"/>
      <c r="I74" s="468"/>
      <c r="J74" s="468"/>
      <c r="K74" s="468"/>
    </row>
    <row r="75" spans="1:11" ht="12.75" customHeight="1" thickBot="1" x14ac:dyDescent="0.25">
      <c r="A75" s="1729" t="s">
        <v>569</v>
      </c>
      <c r="B75" s="1730"/>
      <c r="C75" s="1709">
        <f>SUM(C69:C74)</f>
        <v>108325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105210</v>
      </c>
      <c r="D81" s="466"/>
      <c r="E81" s="468"/>
      <c r="F81" s="468"/>
      <c r="G81" s="468"/>
      <c r="H81" s="468"/>
      <c r="I81" s="468"/>
      <c r="J81" s="468"/>
      <c r="K81" s="468"/>
    </row>
    <row r="82" spans="1:11" ht="12.75" customHeight="1" thickBot="1" x14ac:dyDescent="0.25">
      <c r="A82" s="1729" t="s">
        <v>259</v>
      </c>
      <c r="B82" s="1730"/>
      <c r="C82" s="1728">
        <f>SUM(C77:C81)</f>
        <v>105210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6130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6130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53995</v>
      </c>
      <c r="E95" s="521"/>
      <c r="F95" s="521"/>
      <c r="G95" s="521"/>
      <c r="H95" s="521"/>
      <c r="I95" s="521"/>
      <c r="J95" s="521"/>
      <c r="K95" s="521"/>
    </row>
    <row r="96" spans="1:11" ht="12.75" customHeight="1" x14ac:dyDescent="0.2">
      <c r="A96" s="463" t="s">
        <v>409</v>
      </c>
      <c r="B96" s="470">
        <v>1920</v>
      </c>
      <c r="C96" s="551">
        <v>910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136074</v>
      </c>
      <c r="D99" s="466"/>
      <c r="E99" s="466"/>
      <c r="F99" s="466"/>
      <c r="G99" s="466"/>
      <c r="H99" s="466"/>
      <c r="I99" s="468"/>
      <c r="J99" s="467"/>
      <c r="K99" s="466"/>
    </row>
    <row r="100" spans="1:12" ht="12.75" customHeight="1" x14ac:dyDescent="0.2">
      <c r="A100" s="463" t="s">
        <v>263</v>
      </c>
      <c r="B100" s="470">
        <v>1960</v>
      </c>
      <c r="C100" s="489">
        <v>10000</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8530</v>
      </c>
      <c r="D107" s="466">
        <v>477</v>
      </c>
      <c r="E107" s="466"/>
      <c r="F107" s="466"/>
      <c r="G107" s="466"/>
      <c r="H107" s="466"/>
      <c r="I107" s="466"/>
      <c r="J107" s="467"/>
      <c r="K107" s="466"/>
    </row>
    <row r="108" spans="1:12" ht="12.75" customHeight="1" thickBot="1" x14ac:dyDescent="0.25">
      <c r="A108" s="1729" t="s">
        <v>508</v>
      </c>
      <c r="B108" s="1733"/>
      <c r="C108" s="1728">
        <f>SUM(C95:C107)</f>
        <v>155514</v>
      </c>
      <c r="D108" s="1728">
        <f t="shared" ref="D108:K108" si="3">SUM(D95:D107)</f>
        <v>54472</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3293251</v>
      </c>
      <c r="D109" s="1736">
        <f t="shared" si="4"/>
        <v>1098231</v>
      </c>
      <c r="E109" s="1736">
        <f t="shared" si="4"/>
        <v>724639</v>
      </c>
      <c r="F109" s="1736">
        <f t="shared" si="4"/>
        <v>695708</v>
      </c>
      <c r="G109" s="1736">
        <f t="shared" si="4"/>
        <v>731871</v>
      </c>
      <c r="H109" s="1736">
        <f t="shared" si="4"/>
        <v>68585</v>
      </c>
      <c r="I109" s="1736">
        <f t="shared" si="4"/>
        <v>100018</v>
      </c>
      <c r="J109" s="1736">
        <f t="shared" si="4"/>
        <v>447561</v>
      </c>
      <c r="K109" s="1723">
        <f t="shared" si="4"/>
        <v>90350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7392818</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7" t="s">
        <v>1902</v>
      </c>
      <c r="B120" s="564">
        <v>3099</v>
      </c>
      <c r="C120" s="551">
        <v>1945</v>
      </c>
      <c r="D120" s="466"/>
      <c r="E120" s="466"/>
      <c r="F120" s="466"/>
      <c r="G120" s="466"/>
      <c r="H120" s="466"/>
      <c r="I120" s="468"/>
      <c r="J120" s="467"/>
      <c r="K120" s="466"/>
    </row>
    <row r="121" spans="1:11" ht="12.6" customHeight="1" thickBot="1" x14ac:dyDescent="0.25">
      <c r="A121" s="1729" t="s">
        <v>509</v>
      </c>
      <c r="B121" s="1740"/>
      <c r="C121" s="1728">
        <f t="shared" ref="C121:H121" si="5">SUM(C117:C120)</f>
        <v>7394763</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6064</v>
      </c>
      <c r="D124" s="561"/>
      <c r="E124" s="468"/>
      <c r="F124" s="548"/>
      <c r="G124" s="468"/>
      <c r="H124" s="468"/>
      <c r="I124" s="468"/>
      <c r="J124" s="468"/>
      <c r="K124" s="468"/>
    </row>
    <row r="125" spans="1:11" ht="12.75" customHeight="1" x14ac:dyDescent="0.2">
      <c r="A125" s="463" t="s">
        <v>1521</v>
      </c>
      <c r="B125" s="562">
        <v>3105</v>
      </c>
      <c r="C125" s="466">
        <v>105808</v>
      </c>
      <c r="D125" s="561"/>
      <c r="E125" s="468"/>
      <c r="F125" s="466"/>
      <c r="G125" s="468"/>
      <c r="H125" s="468"/>
      <c r="I125" s="468"/>
      <c r="J125" s="468"/>
      <c r="K125" s="468"/>
    </row>
    <row r="126" spans="1:11" ht="12.75" customHeight="1" x14ac:dyDescent="0.2">
      <c r="A126" s="463" t="s">
        <v>922</v>
      </c>
      <c r="B126" s="562">
        <v>3110</v>
      </c>
      <c r="C126" s="551">
        <v>170032</v>
      </c>
      <c r="D126" s="466"/>
      <c r="E126" s="468"/>
      <c r="F126" s="466"/>
      <c r="G126" s="468"/>
      <c r="H126" s="468"/>
      <c r="I126" s="468"/>
      <c r="J126" s="468"/>
      <c r="K126" s="468"/>
    </row>
    <row r="127" spans="1:11" ht="12.75" customHeight="1" x14ac:dyDescent="0.2">
      <c r="A127" s="463" t="s">
        <v>107</v>
      </c>
      <c r="B127" s="562">
        <v>3120</v>
      </c>
      <c r="C127" s="466">
        <v>167716</v>
      </c>
      <c r="D127" s="561"/>
      <c r="E127" s="468"/>
      <c r="F127" s="466"/>
      <c r="G127" s="468"/>
      <c r="H127" s="468"/>
      <c r="I127" s="468"/>
      <c r="J127" s="468"/>
      <c r="K127" s="468"/>
    </row>
    <row r="128" spans="1:11" ht="12.75" customHeight="1" x14ac:dyDescent="0.2">
      <c r="A128" s="463" t="s">
        <v>1522</v>
      </c>
      <c r="B128" s="562">
        <v>3130</v>
      </c>
      <c r="C128" s="466">
        <v>8720</v>
      </c>
      <c r="D128" s="561"/>
      <c r="E128" s="468"/>
      <c r="F128" s="466"/>
      <c r="G128" s="468"/>
      <c r="H128" s="468"/>
      <c r="I128" s="468"/>
      <c r="J128" s="468"/>
      <c r="K128" s="468"/>
    </row>
    <row r="129" spans="1:11" ht="12.75" customHeight="1" x14ac:dyDescent="0.2">
      <c r="A129" s="463" t="s">
        <v>139</v>
      </c>
      <c r="B129" s="562">
        <v>3145</v>
      </c>
      <c r="C129" s="466">
        <v>5606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463946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22065</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675266</v>
      </c>
      <c r="G151" s="467"/>
      <c r="H151" s="468"/>
      <c r="I151" s="468"/>
      <c r="J151" s="468"/>
      <c r="K151" s="468"/>
    </row>
    <row r="152" spans="1:11" ht="12.75" customHeight="1" x14ac:dyDescent="0.2">
      <c r="A152" s="463" t="s">
        <v>1117</v>
      </c>
      <c r="B152" s="562">
        <v>3510</v>
      </c>
      <c r="C152" s="551"/>
      <c r="D152" s="466"/>
      <c r="E152" s="561"/>
      <c r="F152" s="466">
        <v>292680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967946</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1494087</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3">
        <f t="shared" ref="C172:K172" si="6">SUM(C131,C140,C144,C145:C149,C154,C155:C170,C171)</f>
        <v>1980098</v>
      </c>
      <c r="D172" s="1743">
        <f t="shared" si="6"/>
        <v>0</v>
      </c>
      <c r="E172" s="1743">
        <f t="shared" si="6"/>
        <v>0</v>
      </c>
      <c r="F172" s="1743">
        <f t="shared" si="6"/>
        <v>967946</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9374861</v>
      </c>
      <c r="D173" s="1736">
        <f>SUM(D121,D172)</f>
        <v>0</v>
      </c>
      <c r="E173" s="1736">
        <f>SUM(E121,E172)</f>
        <v>0</v>
      </c>
      <c r="F173" s="1736">
        <f t="shared" ref="F173:K173" si="7">SUM(F121,F172)</f>
        <v>967946</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v>326</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8">
        <f>SUM(C176:C177)</f>
        <v>326</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v>1578212</v>
      </c>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8">
        <f>SUM(C180:C183)</f>
        <v>1578212</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8" t="s">
        <v>1904</v>
      </c>
      <c r="B185" s="2169"/>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24144</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24144</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853646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325686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v>103847</v>
      </c>
      <c r="D198" s="468"/>
      <c r="E198" s="561"/>
      <c r="F198" s="468"/>
      <c r="G198" s="585"/>
      <c r="H198" s="468"/>
      <c r="I198" s="468"/>
      <c r="J198" s="468"/>
      <c r="K198" s="468"/>
    </row>
    <row r="199" spans="1:11" ht="12.75" customHeight="1" x14ac:dyDescent="0.2">
      <c r="A199" s="463" t="s">
        <v>825</v>
      </c>
      <c r="B199" s="470">
        <v>4240</v>
      </c>
      <c r="C199" s="489">
        <v>94844</v>
      </c>
      <c r="D199" s="468"/>
      <c r="E199" s="561"/>
      <c r="F199" s="468"/>
      <c r="G199" s="586"/>
      <c r="H199" s="468"/>
      <c r="I199" s="468"/>
      <c r="J199" s="468"/>
      <c r="K199" s="468"/>
    </row>
    <row r="200" spans="1:11" ht="12.75" customHeight="1" x14ac:dyDescent="0.2">
      <c r="A200" s="463" t="s">
        <v>73</v>
      </c>
      <c r="B200" s="470">
        <v>4299</v>
      </c>
      <c r="C200" s="551">
        <v>7733</v>
      </c>
      <c r="D200" s="468"/>
      <c r="E200" s="561"/>
      <c r="F200" s="468"/>
      <c r="G200" s="585"/>
      <c r="H200" s="468"/>
      <c r="I200" s="468"/>
      <c r="J200" s="468"/>
      <c r="K200" s="468"/>
    </row>
    <row r="201" spans="1:11" ht="12.75" customHeight="1" thickBot="1" x14ac:dyDescent="0.25">
      <c r="A201" s="1729" t="s">
        <v>569</v>
      </c>
      <c r="B201" s="1730"/>
      <c r="C201" s="1709">
        <f>SUM(C193:C200)</f>
        <v>1385756</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1042423</v>
      </c>
      <c r="D203" s="466"/>
      <c r="E203" s="468"/>
      <c r="F203" s="466"/>
      <c r="G203" s="466"/>
      <c r="H203" s="468"/>
      <c r="I203" s="468"/>
      <c r="J203" s="468"/>
      <c r="K203" s="468"/>
    </row>
    <row r="204" spans="1:11" ht="12.75" customHeight="1" x14ac:dyDescent="0.2">
      <c r="A204" s="463" t="s">
        <v>975</v>
      </c>
      <c r="B204" s="470">
        <v>4305</v>
      </c>
      <c r="C204" s="551">
        <v>4797</v>
      </c>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1047220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18483</v>
      </c>
      <c r="D213" s="466"/>
      <c r="E213" s="468"/>
      <c r="F213" s="466"/>
      <c r="G213" s="466"/>
      <c r="H213" s="468"/>
      <c r="I213" s="468"/>
      <c r="J213" s="468"/>
      <c r="K213" s="468"/>
    </row>
    <row r="214" spans="1:11" ht="12.75" customHeight="1" x14ac:dyDescent="0.2">
      <c r="A214" s="463" t="s">
        <v>1528</v>
      </c>
      <c r="B214" s="470">
        <v>4421</v>
      </c>
      <c r="C214" s="551">
        <v>271866</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290349</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87628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87628</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v>197318</v>
      </c>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143976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44119</v>
      </c>
      <c r="D270" s="576"/>
      <c r="E270" s="468"/>
      <c r="F270" s="576"/>
      <c r="G270" s="576"/>
      <c r="H270" s="468"/>
      <c r="I270" s="468"/>
      <c r="J270" s="468"/>
      <c r="K270" s="468"/>
    </row>
    <row r="271" spans="1:11" ht="12.75" customHeight="1" thickTop="1" thickBot="1" x14ac:dyDescent="0.25">
      <c r="A271" s="463" t="s">
        <v>395</v>
      </c>
      <c r="B271" s="470">
        <v>4992</v>
      </c>
      <c r="C271" s="575">
        <v>465997</v>
      </c>
      <c r="D271" s="576"/>
      <c r="E271" s="468"/>
      <c r="F271" s="576"/>
      <c r="G271" s="576"/>
      <c r="H271" s="468"/>
      <c r="I271" s="468"/>
      <c r="J271" s="468"/>
      <c r="K271" s="468"/>
    </row>
    <row r="272" spans="1:11" s="594" customFormat="1" ht="12.75" customHeight="1" thickTop="1" thickBot="1" x14ac:dyDescent="0.25">
      <c r="A272" s="563" t="s">
        <v>77</v>
      </c>
      <c r="B272" s="557">
        <v>4999</v>
      </c>
      <c r="C272" s="575">
        <v>17672</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3704179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5282717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17950829</v>
      </c>
      <c r="D275" s="1736">
        <f t="shared" si="12"/>
        <v>1098231</v>
      </c>
      <c r="E275" s="1736">
        <f t="shared" si="12"/>
        <v>724639</v>
      </c>
      <c r="F275" s="1736">
        <f t="shared" si="12"/>
        <v>1663654</v>
      </c>
      <c r="G275" s="1736">
        <f t="shared" si="12"/>
        <v>731871</v>
      </c>
      <c r="H275" s="1736">
        <f t="shared" si="12"/>
        <v>68585</v>
      </c>
      <c r="I275" s="1736">
        <f t="shared" si="12"/>
        <v>100018</v>
      </c>
      <c r="J275" s="1736">
        <f t="shared" si="12"/>
        <v>447561</v>
      </c>
      <c r="K275" s="1723">
        <f t="shared" si="12"/>
        <v>90350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13" activePane="bottomLeft" state="frozen"/>
      <selection activeCell="A47" sqref="A47"/>
      <selection pane="bottomLeft" activeCell="D220" sqref="D22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4109717</v>
      </c>
      <c r="D5" s="466">
        <v>757616</v>
      </c>
      <c r="E5" s="466">
        <v>427097</v>
      </c>
      <c r="F5" s="466">
        <v>178914</v>
      </c>
      <c r="G5" s="466">
        <v>26839</v>
      </c>
      <c r="H5" s="466">
        <v>5519</v>
      </c>
      <c r="I5" s="467"/>
      <c r="J5" s="467"/>
      <c r="K5" s="1692">
        <f>SUM(C5:J5)</f>
        <v>5505702</v>
      </c>
      <c r="L5" s="466">
        <v>5611492</v>
      </c>
    </row>
    <row r="6" spans="1:14" x14ac:dyDescent="0.2">
      <c r="A6" s="1525" t="s">
        <v>1508</v>
      </c>
      <c r="B6" s="615" t="s">
        <v>1506</v>
      </c>
      <c r="C6" s="477"/>
      <c r="D6" s="477"/>
      <c r="E6" s="466"/>
      <c r="F6" s="477"/>
      <c r="G6" s="477"/>
      <c r="H6" s="477"/>
      <c r="I6" s="477"/>
      <c r="J6" s="477"/>
      <c r="K6" s="1692">
        <f>SUM(C6,E6)</f>
        <v>0</v>
      </c>
      <c r="L6" s="466">
        <v>0</v>
      </c>
    </row>
    <row r="7" spans="1:14" x14ac:dyDescent="0.2">
      <c r="A7" s="1525" t="s">
        <v>165</v>
      </c>
      <c r="B7" s="615" t="s">
        <v>1024</v>
      </c>
      <c r="C7" s="467">
        <v>979489</v>
      </c>
      <c r="D7" s="467">
        <v>284250</v>
      </c>
      <c r="E7" s="467">
        <v>78891</v>
      </c>
      <c r="F7" s="467">
        <v>75523</v>
      </c>
      <c r="G7" s="467">
        <v>22379</v>
      </c>
      <c r="H7" s="467">
        <v>81078</v>
      </c>
      <c r="I7" s="467"/>
      <c r="J7" s="467"/>
      <c r="K7" s="1692">
        <f t="shared" ref="K7:K32" si="0">SUM(C7:J7)</f>
        <v>1521610</v>
      </c>
      <c r="L7" s="466">
        <v>1649518</v>
      </c>
    </row>
    <row r="8" spans="1:14" x14ac:dyDescent="0.2">
      <c r="A8" s="1525" t="s">
        <v>166</v>
      </c>
      <c r="B8" s="615">
        <v>1200</v>
      </c>
      <c r="C8" s="466">
        <v>1900177</v>
      </c>
      <c r="D8" s="466">
        <v>319671</v>
      </c>
      <c r="E8" s="466">
        <v>1612</v>
      </c>
      <c r="F8" s="466">
        <v>28089</v>
      </c>
      <c r="G8" s="466"/>
      <c r="H8" s="466">
        <v>130</v>
      </c>
      <c r="I8" s="467"/>
      <c r="J8" s="467"/>
      <c r="K8" s="1692">
        <f t="shared" si="0"/>
        <v>2249679</v>
      </c>
      <c r="L8" s="466">
        <v>1216605</v>
      </c>
    </row>
    <row r="9" spans="1:14" x14ac:dyDescent="0.2">
      <c r="A9" s="1525" t="s">
        <v>745</v>
      </c>
      <c r="B9" s="615" t="s">
        <v>1025</v>
      </c>
      <c r="C9" s="467">
        <v>73881</v>
      </c>
      <c r="D9" s="467">
        <v>8281</v>
      </c>
      <c r="E9" s="467">
        <v>436</v>
      </c>
      <c r="F9" s="467">
        <v>1221</v>
      </c>
      <c r="G9" s="467"/>
      <c r="H9" s="467"/>
      <c r="I9" s="467"/>
      <c r="J9" s="467"/>
      <c r="K9" s="1692">
        <f t="shared" si="0"/>
        <v>83819</v>
      </c>
      <c r="L9" s="466">
        <v>107860</v>
      </c>
    </row>
    <row r="10" spans="1:14" x14ac:dyDescent="0.2">
      <c r="A10" s="1525" t="s">
        <v>746</v>
      </c>
      <c r="B10" s="615">
        <v>1250</v>
      </c>
      <c r="C10" s="466">
        <v>419506</v>
      </c>
      <c r="D10" s="466">
        <v>106056</v>
      </c>
      <c r="E10" s="466">
        <v>71717</v>
      </c>
      <c r="F10" s="466">
        <v>140534</v>
      </c>
      <c r="G10" s="466">
        <v>43414</v>
      </c>
      <c r="H10" s="466"/>
      <c r="I10" s="467"/>
      <c r="J10" s="467"/>
      <c r="K10" s="1692">
        <f t="shared" si="0"/>
        <v>781227</v>
      </c>
      <c r="L10" s="466">
        <v>948439</v>
      </c>
    </row>
    <row r="11" spans="1:14" x14ac:dyDescent="0.2">
      <c r="A11" s="1525" t="s">
        <v>1192</v>
      </c>
      <c r="B11" s="615" t="s">
        <v>163</v>
      </c>
      <c r="C11" s="467"/>
      <c r="D11" s="467"/>
      <c r="E11" s="467"/>
      <c r="F11" s="467"/>
      <c r="G11" s="467"/>
      <c r="H11" s="467"/>
      <c r="I11" s="467"/>
      <c r="J11" s="467"/>
      <c r="K11" s="1692">
        <f t="shared" si="0"/>
        <v>0</v>
      </c>
      <c r="L11" s="466">
        <v>1023746</v>
      </c>
    </row>
    <row r="12" spans="1:14" x14ac:dyDescent="0.2">
      <c r="A12" s="1525" t="s">
        <v>1019</v>
      </c>
      <c r="B12" s="615">
        <v>1300</v>
      </c>
      <c r="C12" s="466"/>
      <c r="D12" s="466"/>
      <c r="E12" s="466"/>
      <c r="F12" s="466"/>
      <c r="G12" s="466"/>
      <c r="H12" s="466"/>
      <c r="I12" s="467"/>
      <c r="J12" s="467"/>
      <c r="K12" s="1692">
        <f t="shared" si="0"/>
        <v>0</v>
      </c>
      <c r="L12" s="466">
        <v>0</v>
      </c>
    </row>
    <row r="13" spans="1:14" x14ac:dyDescent="0.2">
      <c r="A13" s="1525" t="s">
        <v>747</v>
      </c>
      <c r="B13" s="615">
        <v>1400</v>
      </c>
      <c r="C13" s="466"/>
      <c r="D13" s="466"/>
      <c r="E13" s="466"/>
      <c r="F13" s="466"/>
      <c r="G13" s="466"/>
      <c r="H13" s="466"/>
      <c r="I13" s="467"/>
      <c r="J13" s="467"/>
      <c r="K13" s="1692">
        <f t="shared" si="0"/>
        <v>0</v>
      </c>
      <c r="L13" s="466">
        <v>0</v>
      </c>
    </row>
    <row r="14" spans="1:14" x14ac:dyDescent="0.2">
      <c r="A14" s="1525" t="s">
        <v>1020</v>
      </c>
      <c r="B14" s="615">
        <v>1500</v>
      </c>
      <c r="C14" s="466">
        <v>36430</v>
      </c>
      <c r="D14" s="466">
        <v>1825</v>
      </c>
      <c r="E14" s="466">
        <v>6070</v>
      </c>
      <c r="F14" s="466">
        <v>9531</v>
      </c>
      <c r="G14" s="466"/>
      <c r="H14" s="466">
        <v>1195</v>
      </c>
      <c r="I14" s="467"/>
      <c r="J14" s="467"/>
      <c r="K14" s="1692">
        <f t="shared" si="0"/>
        <v>55051</v>
      </c>
      <c r="L14" s="466">
        <v>47400</v>
      </c>
    </row>
    <row r="15" spans="1:14" x14ac:dyDescent="0.2">
      <c r="A15" s="1525" t="s">
        <v>1021</v>
      </c>
      <c r="B15" s="615">
        <v>1600</v>
      </c>
      <c r="C15" s="466"/>
      <c r="D15" s="466"/>
      <c r="E15" s="466"/>
      <c r="F15" s="466"/>
      <c r="G15" s="466"/>
      <c r="H15" s="466"/>
      <c r="I15" s="467"/>
      <c r="J15" s="467"/>
      <c r="K15" s="1692">
        <f t="shared" si="0"/>
        <v>0</v>
      </c>
      <c r="L15" s="466">
        <v>0</v>
      </c>
    </row>
    <row r="16" spans="1:14" x14ac:dyDescent="0.2">
      <c r="A16" s="1525" t="s">
        <v>1044</v>
      </c>
      <c r="B16" s="615" t="s">
        <v>444</v>
      </c>
      <c r="C16" s="466">
        <v>64889</v>
      </c>
      <c r="D16" s="466">
        <v>9261</v>
      </c>
      <c r="E16" s="466">
        <v>1810</v>
      </c>
      <c r="F16" s="466"/>
      <c r="G16" s="466"/>
      <c r="H16" s="466"/>
      <c r="I16" s="467"/>
      <c r="J16" s="467"/>
      <c r="K16" s="1692">
        <f t="shared" si="0"/>
        <v>75960</v>
      </c>
      <c r="L16" s="466">
        <v>183130</v>
      </c>
    </row>
    <row r="17" spans="1:12" x14ac:dyDescent="0.2">
      <c r="A17" s="1525" t="s">
        <v>748</v>
      </c>
      <c r="B17" s="615" t="s">
        <v>164</v>
      </c>
      <c r="C17" s="467"/>
      <c r="D17" s="467"/>
      <c r="E17" s="467"/>
      <c r="F17" s="467"/>
      <c r="G17" s="467"/>
      <c r="H17" s="467"/>
      <c r="I17" s="467"/>
      <c r="J17" s="467"/>
      <c r="K17" s="1692">
        <f t="shared" si="0"/>
        <v>0</v>
      </c>
      <c r="L17" s="466">
        <v>0</v>
      </c>
    </row>
    <row r="18" spans="1:12" x14ac:dyDescent="0.2">
      <c r="A18" s="1525" t="s">
        <v>1148</v>
      </c>
      <c r="B18" s="615">
        <v>1800</v>
      </c>
      <c r="C18" s="466"/>
      <c r="D18" s="466"/>
      <c r="E18" s="466"/>
      <c r="F18" s="466"/>
      <c r="G18" s="466"/>
      <c r="H18" s="466"/>
      <c r="I18" s="467"/>
      <c r="J18" s="467"/>
      <c r="K18" s="1692">
        <f t="shared" si="0"/>
        <v>0</v>
      </c>
      <c r="L18" s="466">
        <v>0</v>
      </c>
    </row>
    <row r="19" spans="1:12" x14ac:dyDescent="0.2">
      <c r="A19" s="1525" t="s">
        <v>136</v>
      </c>
      <c r="B19" s="615">
        <v>1900</v>
      </c>
      <c r="C19" s="466"/>
      <c r="D19" s="466"/>
      <c r="E19" s="466"/>
      <c r="F19" s="466"/>
      <c r="G19" s="466"/>
      <c r="H19" s="466"/>
      <c r="I19" s="467"/>
      <c r="J19" s="467"/>
      <c r="K19" s="1692">
        <f t="shared" si="0"/>
        <v>0</v>
      </c>
      <c r="L19" s="466">
        <v>0</v>
      </c>
    </row>
    <row r="20" spans="1:12" x14ac:dyDescent="0.2">
      <c r="A20" s="1526" t="s">
        <v>762</v>
      </c>
      <c r="B20" s="603" t="s">
        <v>749</v>
      </c>
      <c r="C20" s="477"/>
      <c r="D20" s="477"/>
      <c r="E20" s="477"/>
      <c r="F20" s="477"/>
      <c r="G20" s="477"/>
      <c r="H20" s="474"/>
      <c r="I20" s="617"/>
      <c r="J20" s="475"/>
      <c r="K20" s="1692">
        <f t="shared" si="0"/>
        <v>0</v>
      </c>
      <c r="L20" s="471">
        <v>0</v>
      </c>
    </row>
    <row r="21" spans="1:12" x14ac:dyDescent="0.2">
      <c r="A21" s="1526" t="s">
        <v>763</v>
      </c>
      <c r="B21" s="603" t="s">
        <v>750</v>
      </c>
      <c r="C21" s="477"/>
      <c r="D21" s="477"/>
      <c r="E21" s="477"/>
      <c r="F21" s="477"/>
      <c r="G21" s="477"/>
      <c r="H21" s="474"/>
      <c r="I21" s="617"/>
      <c r="J21" s="477"/>
      <c r="K21" s="1692">
        <f t="shared" si="0"/>
        <v>0</v>
      </c>
      <c r="L21" s="471">
        <v>0</v>
      </c>
    </row>
    <row r="22" spans="1:12" x14ac:dyDescent="0.2">
      <c r="A22" s="1526" t="s">
        <v>764</v>
      </c>
      <c r="B22" s="603" t="s">
        <v>751</v>
      </c>
      <c r="C22" s="477"/>
      <c r="D22" s="477"/>
      <c r="E22" s="477"/>
      <c r="F22" s="477"/>
      <c r="G22" s="477"/>
      <c r="H22" s="474"/>
      <c r="I22" s="617"/>
      <c r="J22" s="477"/>
      <c r="K22" s="1692">
        <f t="shared" si="0"/>
        <v>0</v>
      </c>
      <c r="L22" s="471">
        <v>0</v>
      </c>
    </row>
    <row r="23" spans="1:12" x14ac:dyDescent="0.2">
      <c r="A23" s="1526" t="s">
        <v>765</v>
      </c>
      <c r="B23" s="603" t="s">
        <v>752</v>
      </c>
      <c r="C23" s="477"/>
      <c r="D23" s="477"/>
      <c r="E23" s="477"/>
      <c r="F23" s="477"/>
      <c r="G23" s="477"/>
      <c r="H23" s="474"/>
      <c r="I23" s="617"/>
      <c r="J23" s="477"/>
      <c r="K23" s="1692">
        <f t="shared" si="0"/>
        <v>0</v>
      </c>
      <c r="L23" s="471">
        <v>0</v>
      </c>
    </row>
    <row r="24" spans="1:12" ht="12.75" customHeight="1" x14ac:dyDescent="0.2">
      <c r="A24" s="1526" t="s">
        <v>766</v>
      </c>
      <c r="B24" s="603" t="s">
        <v>753</v>
      </c>
      <c r="C24" s="477"/>
      <c r="D24" s="477"/>
      <c r="E24" s="477"/>
      <c r="F24" s="477"/>
      <c r="G24" s="477"/>
      <c r="H24" s="474"/>
      <c r="I24" s="617"/>
      <c r="J24" s="477"/>
      <c r="K24" s="1692">
        <f t="shared" si="0"/>
        <v>0</v>
      </c>
      <c r="L24" s="471">
        <v>0</v>
      </c>
    </row>
    <row r="25" spans="1:12" ht="12.75" customHeight="1" x14ac:dyDescent="0.2">
      <c r="A25" s="1526" t="s">
        <v>835</v>
      </c>
      <c r="B25" s="603" t="s">
        <v>754</v>
      </c>
      <c r="C25" s="477"/>
      <c r="D25" s="477"/>
      <c r="E25" s="477"/>
      <c r="F25" s="477"/>
      <c r="G25" s="477"/>
      <c r="H25" s="474"/>
      <c r="I25" s="617"/>
      <c r="J25" s="477"/>
      <c r="K25" s="1692">
        <f t="shared" si="0"/>
        <v>0</v>
      </c>
      <c r="L25" s="471">
        <v>0</v>
      </c>
    </row>
    <row r="26" spans="1:12" x14ac:dyDescent="0.2">
      <c r="A26" s="1526" t="s">
        <v>643</v>
      </c>
      <c r="B26" s="603" t="s">
        <v>755</v>
      </c>
      <c r="C26" s="477"/>
      <c r="D26" s="477"/>
      <c r="E26" s="477"/>
      <c r="F26" s="477"/>
      <c r="G26" s="477"/>
      <c r="H26" s="474"/>
      <c r="I26" s="617"/>
      <c r="J26" s="477"/>
      <c r="K26" s="1692">
        <f t="shared" si="0"/>
        <v>0</v>
      </c>
      <c r="L26" s="471">
        <v>0</v>
      </c>
    </row>
    <row r="27" spans="1:12" x14ac:dyDescent="0.2">
      <c r="A27" s="1526" t="s">
        <v>644</v>
      </c>
      <c r="B27" s="603" t="s">
        <v>756</v>
      </c>
      <c r="C27" s="477"/>
      <c r="D27" s="477"/>
      <c r="E27" s="477"/>
      <c r="F27" s="477"/>
      <c r="G27" s="477"/>
      <c r="H27" s="474"/>
      <c r="I27" s="617"/>
      <c r="J27" s="477"/>
      <c r="K27" s="1692">
        <f t="shared" si="0"/>
        <v>0</v>
      </c>
      <c r="L27" s="471">
        <v>0</v>
      </c>
    </row>
    <row r="28" spans="1:12" x14ac:dyDescent="0.2">
      <c r="A28" s="1526" t="s">
        <v>152</v>
      </c>
      <c r="B28" s="603" t="s">
        <v>757</v>
      </c>
      <c r="C28" s="477"/>
      <c r="D28" s="477"/>
      <c r="E28" s="477"/>
      <c r="F28" s="477"/>
      <c r="G28" s="477"/>
      <c r="H28" s="474"/>
      <c r="I28" s="617"/>
      <c r="J28" s="477"/>
      <c r="K28" s="1692">
        <f t="shared" si="0"/>
        <v>0</v>
      </c>
      <c r="L28" s="471">
        <v>0</v>
      </c>
    </row>
    <row r="29" spans="1:12" x14ac:dyDescent="0.2">
      <c r="A29" s="1526" t="s">
        <v>153</v>
      </c>
      <c r="B29" s="603" t="s">
        <v>758</v>
      </c>
      <c r="C29" s="477"/>
      <c r="D29" s="477"/>
      <c r="E29" s="477"/>
      <c r="F29" s="477"/>
      <c r="G29" s="477"/>
      <c r="H29" s="474"/>
      <c r="I29" s="617"/>
      <c r="J29" s="477"/>
      <c r="K29" s="1692">
        <f t="shared" si="0"/>
        <v>0</v>
      </c>
      <c r="L29" s="471">
        <v>0</v>
      </c>
    </row>
    <row r="30" spans="1:12" x14ac:dyDescent="0.2">
      <c r="A30" s="1526" t="s">
        <v>154</v>
      </c>
      <c r="B30" s="603" t="s">
        <v>759</v>
      </c>
      <c r="C30" s="477"/>
      <c r="D30" s="477"/>
      <c r="E30" s="477"/>
      <c r="F30" s="477"/>
      <c r="G30" s="477"/>
      <c r="H30" s="474"/>
      <c r="I30" s="617"/>
      <c r="J30" s="477"/>
      <c r="K30" s="1692">
        <f t="shared" si="0"/>
        <v>0</v>
      </c>
      <c r="L30" s="471">
        <v>0</v>
      </c>
    </row>
    <row r="31" spans="1:12" x14ac:dyDescent="0.2">
      <c r="A31" s="1526" t="s">
        <v>155</v>
      </c>
      <c r="B31" s="603" t="s">
        <v>760</v>
      </c>
      <c r="C31" s="477"/>
      <c r="D31" s="477"/>
      <c r="E31" s="477"/>
      <c r="F31" s="477"/>
      <c r="G31" s="477"/>
      <c r="H31" s="474"/>
      <c r="I31" s="617"/>
      <c r="J31" s="477"/>
      <c r="K31" s="1692">
        <f t="shared" si="0"/>
        <v>0</v>
      </c>
      <c r="L31" s="471">
        <v>0</v>
      </c>
    </row>
    <row r="32" spans="1:12" x14ac:dyDescent="0.2">
      <c r="A32" s="1527"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7584089</v>
      </c>
      <c r="D33" s="1691">
        <f t="shared" ref="D33:L33" si="1">SUM(D5:D32)</f>
        <v>1486960</v>
      </c>
      <c r="E33" s="1691">
        <f t="shared" si="1"/>
        <v>587633</v>
      </c>
      <c r="F33" s="1691">
        <f t="shared" si="1"/>
        <v>433812</v>
      </c>
      <c r="G33" s="1691">
        <f t="shared" si="1"/>
        <v>92632</v>
      </c>
      <c r="H33" s="1691">
        <f t="shared" si="1"/>
        <v>87922</v>
      </c>
      <c r="I33" s="1691">
        <f t="shared" si="1"/>
        <v>0</v>
      </c>
      <c r="J33" s="1691">
        <f t="shared" si="1"/>
        <v>0</v>
      </c>
      <c r="K33" s="1691">
        <f t="shared" si="1"/>
        <v>10273048</v>
      </c>
      <c r="L33" s="1691">
        <f t="shared" si="1"/>
        <v>10788190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100331</v>
      </c>
      <c r="D36" s="481">
        <v>27760</v>
      </c>
      <c r="E36" s="481"/>
      <c r="F36" s="481"/>
      <c r="G36" s="481"/>
      <c r="H36" s="481"/>
      <c r="I36" s="467"/>
      <c r="J36" s="467"/>
      <c r="K36" s="1692">
        <f t="shared" ref="K36:K41" si="2">SUM(C36:J36)</f>
        <v>128091</v>
      </c>
      <c r="L36" s="466">
        <v>123165</v>
      </c>
    </row>
    <row r="37" spans="1:14" x14ac:dyDescent="0.2">
      <c r="A37" s="1525" t="s">
        <v>1151</v>
      </c>
      <c r="B37" s="615">
        <v>2120</v>
      </c>
      <c r="C37" s="466">
        <v>163374</v>
      </c>
      <c r="D37" s="466">
        <v>35517</v>
      </c>
      <c r="E37" s="466"/>
      <c r="F37" s="466">
        <v>50</v>
      </c>
      <c r="G37" s="466"/>
      <c r="H37" s="466"/>
      <c r="I37" s="467"/>
      <c r="J37" s="467"/>
      <c r="K37" s="1692">
        <f t="shared" si="2"/>
        <v>198941</v>
      </c>
      <c r="L37" s="466">
        <v>234216</v>
      </c>
    </row>
    <row r="38" spans="1:14" x14ac:dyDescent="0.2">
      <c r="A38" s="1525" t="s">
        <v>207</v>
      </c>
      <c r="B38" s="615">
        <v>2130</v>
      </c>
      <c r="C38" s="466">
        <v>153138</v>
      </c>
      <c r="D38" s="466">
        <v>23810</v>
      </c>
      <c r="E38" s="466">
        <v>2061</v>
      </c>
      <c r="F38" s="466">
        <v>4045</v>
      </c>
      <c r="G38" s="466">
        <v>1490</v>
      </c>
      <c r="H38" s="466">
        <v>161</v>
      </c>
      <c r="I38" s="467"/>
      <c r="J38" s="467"/>
      <c r="K38" s="1692">
        <f t="shared" si="2"/>
        <v>184705</v>
      </c>
      <c r="L38" s="466">
        <v>178860</v>
      </c>
    </row>
    <row r="39" spans="1:14" x14ac:dyDescent="0.2">
      <c r="A39" s="1525" t="s">
        <v>208</v>
      </c>
      <c r="B39" s="615">
        <v>2140</v>
      </c>
      <c r="C39" s="466"/>
      <c r="D39" s="466"/>
      <c r="E39" s="466"/>
      <c r="F39" s="466"/>
      <c r="G39" s="466"/>
      <c r="H39" s="466"/>
      <c r="I39" s="467"/>
      <c r="J39" s="467"/>
      <c r="K39" s="1692">
        <f t="shared" si="2"/>
        <v>0</v>
      </c>
      <c r="L39" s="466">
        <v>0</v>
      </c>
    </row>
    <row r="40" spans="1:14" x14ac:dyDescent="0.2">
      <c r="A40" s="1525" t="s">
        <v>209</v>
      </c>
      <c r="B40" s="615">
        <v>2150</v>
      </c>
      <c r="C40" s="466">
        <v>177880</v>
      </c>
      <c r="D40" s="466">
        <v>40400</v>
      </c>
      <c r="E40" s="466">
        <v>1632</v>
      </c>
      <c r="F40" s="466">
        <v>573</v>
      </c>
      <c r="G40" s="466"/>
      <c r="H40" s="466"/>
      <c r="I40" s="467"/>
      <c r="J40" s="467"/>
      <c r="K40" s="1692">
        <f t="shared" si="2"/>
        <v>220485</v>
      </c>
      <c r="L40" s="466">
        <v>222282</v>
      </c>
    </row>
    <row r="41" spans="1:14" x14ac:dyDescent="0.2">
      <c r="A41" s="1525" t="s">
        <v>1768</v>
      </c>
      <c r="B41" s="615">
        <v>2190</v>
      </c>
      <c r="C41" s="466"/>
      <c r="D41" s="466"/>
      <c r="E41" s="466">
        <v>6336</v>
      </c>
      <c r="F41" s="466">
        <v>83126</v>
      </c>
      <c r="G41" s="466">
        <v>5072</v>
      </c>
      <c r="H41" s="466">
        <v>-60</v>
      </c>
      <c r="I41" s="467"/>
      <c r="J41" s="467"/>
      <c r="K41" s="1692">
        <f t="shared" si="2"/>
        <v>94474</v>
      </c>
      <c r="L41" s="466">
        <v>100550</v>
      </c>
    </row>
    <row r="42" spans="1:14" ht="12.75" customHeight="1" thickBot="1" x14ac:dyDescent="0.25">
      <c r="A42" s="1689" t="s">
        <v>581</v>
      </c>
      <c r="B42" s="1690" t="s">
        <v>740</v>
      </c>
      <c r="C42" s="1691">
        <f>SUM(C36:C41)</f>
        <v>594723</v>
      </c>
      <c r="D42" s="1691">
        <f t="shared" ref="D42:L42" si="3">SUM(D36:D41)</f>
        <v>127487</v>
      </c>
      <c r="E42" s="1691">
        <f t="shared" si="3"/>
        <v>10029</v>
      </c>
      <c r="F42" s="1691">
        <f t="shared" si="3"/>
        <v>87794</v>
      </c>
      <c r="G42" s="1691">
        <f t="shared" si="3"/>
        <v>6562</v>
      </c>
      <c r="H42" s="1691">
        <f t="shared" si="3"/>
        <v>101</v>
      </c>
      <c r="I42" s="1691">
        <f t="shared" si="3"/>
        <v>0</v>
      </c>
      <c r="J42" s="1691">
        <f t="shared" si="3"/>
        <v>0</v>
      </c>
      <c r="K42" s="1691">
        <f t="shared" si="3"/>
        <v>826696</v>
      </c>
      <c r="L42" s="1691">
        <f t="shared" si="3"/>
        <v>859073</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286824</v>
      </c>
      <c r="D44" s="481">
        <v>76881</v>
      </c>
      <c r="E44" s="481">
        <v>91033</v>
      </c>
      <c r="F44" s="481">
        <v>7032</v>
      </c>
      <c r="G44" s="481"/>
      <c r="H44" s="481">
        <v>474</v>
      </c>
      <c r="I44" s="467"/>
      <c r="J44" s="467"/>
      <c r="K44" s="1693">
        <f>SUM(C44:J44)</f>
        <v>462244</v>
      </c>
      <c r="L44" s="481">
        <v>193897</v>
      </c>
    </row>
    <row r="45" spans="1:14" x14ac:dyDescent="0.2">
      <c r="A45" s="1525" t="s">
        <v>869</v>
      </c>
      <c r="B45" s="615">
        <v>2220</v>
      </c>
      <c r="C45" s="466"/>
      <c r="D45" s="466"/>
      <c r="E45" s="466"/>
      <c r="F45" s="466">
        <v>379</v>
      </c>
      <c r="G45" s="466"/>
      <c r="H45" s="466"/>
      <c r="I45" s="467"/>
      <c r="J45" s="467"/>
      <c r="K45" s="1693">
        <f>SUM(C45:J45)</f>
        <v>379</v>
      </c>
      <c r="L45" s="466">
        <v>2000</v>
      </c>
    </row>
    <row r="46" spans="1:14" x14ac:dyDescent="0.2">
      <c r="A46" s="1525"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286824</v>
      </c>
      <c r="D47" s="1691">
        <f t="shared" ref="D47:K47" si="4">SUM(D44:D46)</f>
        <v>76881</v>
      </c>
      <c r="E47" s="1691">
        <f t="shared" si="4"/>
        <v>91033</v>
      </c>
      <c r="F47" s="1691">
        <f t="shared" si="4"/>
        <v>7411</v>
      </c>
      <c r="G47" s="1691">
        <f t="shared" si="4"/>
        <v>0</v>
      </c>
      <c r="H47" s="1691">
        <f t="shared" si="4"/>
        <v>474</v>
      </c>
      <c r="I47" s="1691">
        <f t="shared" si="4"/>
        <v>0</v>
      </c>
      <c r="J47" s="1691">
        <f t="shared" si="4"/>
        <v>0</v>
      </c>
      <c r="K47" s="1691">
        <f t="shared" si="4"/>
        <v>462623</v>
      </c>
      <c r="L47" s="1691">
        <f>SUM(L44:L46)</f>
        <v>195897</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6862</v>
      </c>
      <c r="D49" s="481"/>
      <c r="E49" s="481">
        <v>50399</v>
      </c>
      <c r="F49" s="481">
        <v>3387</v>
      </c>
      <c r="G49" s="481"/>
      <c r="H49" s="481">
        <v>2970</v>
      </c>
      <c r="I49" s="467"/>
      <c r="J49" s="467"/>
      <c r="K49" s="1693">
        <f>SUM(C49:J49)</f>
        <v>63618</v>
      </c>
      <c r="L49" s="481">
        <v>83021</v>
      </c>
    </row>
    <row r="50" spans="1:14" x14ac:dyDescent="0.2">
      <c r="A50" s="1525" t="s">
        <v>872</v>
      </c>
      <c r="B50" s="615">
        <v>2320</v>
      </c>
      <c r="C50" s="466">
        <v>328847</v>
      </c>
      <c r="D50" s="466">
        <v>44244</v>
      </c>
      <c r="E50" s="466">
        <v>13826</v>
      </c>
      <c r="F50" s="466">
        <v>13001</v>
      </c>
      <c r="G50" s="466">
        <v>1401</v>
      </c>
      <c r="H50" s="466">
        <v>2113</v>
      </c>
      <c r="I50" s="467"/>
      <c r="J50" s="467"/>
      <c r="K50" s="1693">
        <f>SUM(C50:J50)</f>
        <v>403432</v>
      </c>
      <c r="L50" s="466">
        <v>420632</v>
      </c>
    </row>
    <row r="51" spans="1:14" x14ac:dyDescent="0.2">
      <c r="A51" s="1525" t="s">
        <v>44</v>
      </c>
      <c r="B51" s="615">
        <v>2330</v>
      </c>
      <c r="C51" s="466">
        <v>83908</v>
      </c>
      <c r="D51" s="466">
        <v>17010</v>
      </c>
      <c r="E51" s="466"/>
      <c r="F51" s="466">
        <v>2431</v>
      </c>
      <c r="G51" s="466"/>
      <c r="H51" s="466"/>
      <c r="I51" s="467"/>
      <c r="J51" s="467"/>
      <c r="K51" s="1693">
        <f>SUM(C51:J51)</f>
        <v>103349</v>
      </c>
      <c r="L51" s="466">
        <v>103338</v>
      </c>
    </row>
    <row r="52" spans="1:14" ht="22.5" x14ac:dyDescent="0.2">
      <c r="A52" s="1526"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419617</v>
      </c>
      <c r="D53" s="1691">
        <f t="shared" ref="D53:L53" si="5">SUM(D49:D52)</f>
        <v>61254</v>
      </c>
      <c r="E53" s="1691">
        <f t="shared" si="5"/>
        <v>64225</v>
      </c>
      <c r="F53" s="1691">
        <f t="shared" si="5"/>
        <v>18819</v>
      </c>
      <c r="G53" s="1691">
        <f t="shared" si="5"/>
        <v>1401</v>
      </c>
      <c r="H53" s="1691">
        <f t="shared" si="5"/>
        <v>5083</v>
      </c>
      <c r="I53" s="1691">
        <f t="shared" si="5"/>
        <v>0</v>
      </c>
      <c r="J53" s="1691">
        <f t="shared" si="5"/>
        <v>0</v>
      </c>
      <c r="K53" s="1691">
        <f t="shared" si="5"/>
        <v>570399</v>
      </c>
      <c r="L53" s="1691">
        <f t="shared" si="5"/>
        <v>606991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783182</v>
      </c>
      <c r="D55" s="481">
        <v>132542</v>
      </c>
      <c r="E55" s="481">
        <v>23925</v>
      </c>
      <c r="F55" s="481">
        <v>36</v>
      </c>
      <c r="G55" s="481"/>
      <c r="H55" s="481">
        <v>1530</v>
      </c>
      <c r="I55" s="467"/>
      <c r="J55" s="467"/>
      <c r="K55" s="1693">
        <f>SUM(C55:J55)</f>
        <v>941215</v>
      </c>
      <c r="L55" s="481">
        <v>1001914</v>
      </c>
    </row>
    <row r="56" spans="1:14" ht="12.75" customHeight="1" x14ac:dyDescent="0.2">
      <c r="A56" s="1529"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783182</v>
      </c>
      <c r="D57" s="1695">
        <f t="shared" ref="D57:K57" si="6">SUM(D55:D56)</f>
        <v>132542</v>
      </c>
      <c r="E57" s="1695">
        <f t="shared" si="6"/>
        <v>23925</v>
      </c>
      <c r="F57" s="1695">
        <f t="shared" si="6"/>
        <v>36</v>
      </c>
      <c r="G57" s="1695">
        <f t="shared" si="6"/>
        <v>0</v>
      </c>
      <c r="H57" s="1695">
        <f t="shared" si="6"/>
        <v>1530</v>
      </c>
      <c r="I57" s="1695">
        <f t="shared" si="6"/>
        <v>0</v>
      </c>
      <c r="J57" s="1695">
        <f t="shared" si="6"/>
        <v>0</v>
      </c>
      <c r="K57" s="1695">
        <f t="shared" si="6"/>
        <v>941215</v>
      </c>
      <c r="L57" s="1691">
        <f>SUM(L55:L56)</f>
        <v>1001914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v>0</v>
      </c>
      <c r="M59" s="610"/>
      <c r="N59" s="610"/>
    </row>
    <row r="60" spans="1:14" s="343" customFormat="1" x14ac:dyDescent="0.2">
      <c r="A60" s="1525" t="s">
        <v>483</v>
      </c>
      <c r="B60" s="615">
        <v>2520</v>
      </c>
      <c r="C60" s="466">
        <v>185579</v>
      </c>
      <c r="D60" s="466">
        <v>17451</v>
      </c>
      <c r="E60" s="466">
        <v>11208</v>
      </c>
      <c r="F60" s="466">
        <v>3533</v>
      </c>
      <c r="G60" s="466">
        <v>1730</v>
      </c>
      <c r="H60" s="466">
        <v>340</v>
      </c>
      <c r="I60" s="467"/>
      <c r="J60" s="467"/>
      <c r="K60" s="1693">
        <f t="shared" si="7"/>
        <v>219841</v>
      </c>
      <c r="L60" s="466">
        <v>211339</v>
      </c>
      <c r="M60" s="610"/>
      <c r="N60" s="610"/>
    </row>
    <row r="61" spans="1:14" s="343" customFormat="1" x14ac:dyDescent="0.2">
      <c r="A61" s="1525" t="s">
        <v>206</v>
      </c>
      <c r="B61" s="615">
        <v>2540</v>
      </c>
      <c r="C61" s="466">
        <v>103024</v>
      </c>
      <c r="D61" s="466">
        <v>23917</v>
      </c>
      <c r="E61" s="466">
        <v>118705</v>
      </c>
      <c r="F61" s="466">
        <v>364649</v>
      </c>
      <c r="G61" s="466">
        <v>22017</v>
      </c>
      <c r="H61" s="466">
        <v>153</v>
      </c>
      <c r="I61" s="467"/>
      <c r="J61" s="467"/>
      <c r="K61" s="1693">
        <f t="shared" si="7"/>
        <v>632465</v>
      </c>
      <c r="L61" s="466">
        <v>588105</v>
      </c>
      <c r="M61" s="610"/>
      <c r="N61" s="610"/>
    </row>
    <row r="62" spans="1:14" s="343" customFormat="1" x14ac:dyDescent="0.2">
      <c r="A62" s="1525" t="s">
        <v>1010</v>
      </c>
      <c r="B62" s="615">
        <v>2550</v>
      </c>
      <c r="C62" s="466"/>
      <c r="D62" s="466"/>
      <c r="E62" s="466">
        <v>78903</v>
      </c>
      <c r="F62" s="466"/>
      <c r="G62" s="466"/>
      <c r="H62" s="466"/>
      <c r="I62" s="467"/>
      <c r="J62" s="467"/>
      <c r="K62" s="1693">
        <f t="shared" si="7"/>
        <v>78903</v>
      </c>
      <c r="L62" s="466">
        <v>59437</v>
      </c>
      <c r="M62" s="610"/>
      <c r="N62" s="610"/>
    </row>
    <row r="63" spans="1:14" s="610" customFormat="1" x14ac:dyDescent="0.2">
      <c r="A63" s="1525" t="s">
        <v>102</v>
      </c>
      <c r="B63" s="615">
        <v>2560</v>
      </c>
      <c r="C63" s="466">
        <v>529185</v>
      </c>
      <c r="D63" s="466">
        <v>34909</v>
      </c>
      <c r="E63" s="466">
        <v>25605</v>
      </c>
      <c r="F63" s="466">
        <v>759062</v>
      </c>
      <c r="G63" s="466">
        <v>13167</v>
      </c>
      <c r="H63" s="466">
        <v>1048</v>
      </c>
      <c r="I63" s="467"/>
      <c r="J63" s="467"/>
      <c r="K63" s="1693">
        <f t="shared" si="7"/>
        <v>1362976</v>
      </c>
      <c r="L63" s="466">
        <v>1408602</v>
      </c>
    </row>
    <row r="64" spans="1:14" s="610" customFormat="1" x14ac:dyDescent="0.2">
      <c r="A64" s="1530"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817788</v>
      </c>
      <c r="D65" s="1691">
        <f t="shared" ref="D65:L65" si="8">SUM(D59:D64)</f>
        <v>76277</v>
      </c>
      <c r="E65" s="1691">
        <f t="shared" si="8"/>
        <v>234421</v>
      </c>
      <c r="F65" s="1691">
        <f t="shared" si="8"/>
        <v>1127244</v>
      </c>
      <c r="G65" s="1691">
        <f t="shared" si="8"/>
        <v>36914</v>
      </c>
      <c r="H65" s="1691">
        <f t="shared" si="8"/>
        <v>1541</v>
      </c>
      <c r="I65" s="1691">
        <f t="shared" si="8"/>
        <v>0</v>
      </c>
      <c r="J65" s="1691">
        <f t="shared" si="8"/>
        <v>0</v>
      </c>
      <c r="K65" s="1691">
        <f t="shared" si="8"/>
        <v>2294185</v>
      </c>
      <c r="L65" s="1691">
        <f t="shared" si="8"/>
        <v>2267483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v>0</v>
      </c>
      <c r="M67" s="610"/>
      <c r="N67" s="610"/>
    </row>
    <row r="68" spans="1:14" s="343" customFormat="1" x14ac:dyDescent="0.2">
      <c r="A68" s="1525" t="s">
        <v>628</v>
      </c>
      <c r="B68" s="615">
        <v>2620</v>
      </c>
      <c r="C68" s="466"/>
      <c r="D68" s="466"/>
      <c r="E68" s="466">
        <v>38025</v>
      </c>
      <c r="F68" s="466"/>
      <c r="G68" s="466"/>
      <c r="H68" s="466"/>
      <c r="I68" s="467"/>
      <c r="J68" s="467"/>
      <c r="K68" s="1693">
        <f>SUM(C68:J68)</f>
        <v>38025</v>
      </c>
      <c r="L68" s="466">
        <v>0</v>
      </c>
      <c r="M68" s="610"/>
      <c r="N68" s="610"/>
    </row>
    <row r="69" spans="1:14" s="343" customFormat="1" x14ac:dyDescent="0.2">
      <c r="A69" s="1525" t="s">
        <v>1121</v>
      </c>
      <c r="B69" s="615">
        <v>2630</v>
      </c>
      <c r="C69" s="466"/>
      <c r="D69" s="466"/>
      <c r="E69" s="466"/>
      <c r="F69" s="466"/>
      <c r="G69" s="466"/>
      <c r="H69" s="466"/>
      <c r="I69" s="467"/>
      <c r="J69" s="467"/>
      <c r="K69" s="1693">
        <f>SUM(C69:J69)</f>
        <v>0</v>
      </c>
      <c r="L69" s="466">
        <v>0</v>
      </c>
      <c r="M69" s="610"/>
      <c r="N69" s="610"/>
    </row>
    <row r="70" spans="1:14" s="343" customFormat="1" x14ac:dyDescent="0.2">
      <c r="A70" s="1525" t="s">
        <v>423</v>
      </c>
      <c r="B70" s="615">
        <v>2640</v>
      </c>
      <c r="C70" s="466"/>
      <c r="D70" s="466"/>
      <c r="E70" s="466"/>
      <c r="F70" s="466"/>
      <c r="G70" s="466"/>
      <c r="H70" s="466"/>
      <c r="I70" s="467"/>
      <c r="J70" s="467"/>
      <c r="K70" s="1693">
        <f>SUM(C70:J70)</f>
        <v>0</v>
      </c>
      <c r="L70" s="466">
        <v>0</v>
      </c>
      <c r="M70" s="610"/>
      <c r="N70" s="610"/>
    </row>
    <row r="71" spans="1:14" s="343" customFormat="1" x14ac:dyDescent="0.2">
      <c r="A71" s="1525"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38025</v>
      </c>
      <c r="F72" s="1691">
        <f t="shared" si="9"/>
        <v>0</v>
      </c>
      <c r="G72" s="1691">
        <f t="shared" si="9"/>
        <v>0</v>
      </c>
      <c r="H72" s="1691">
        <f t="shared" si="9"/>
        <v>0</v>
      </c>
      <c r="I72" s="1691">
        <f t="shared" si="9"/>
        <v>0</v>
      </c>
      <c r="J72" s="1691">
        <f t="shared" si="9"/>
        <v>0</v>
      </c>
      <c r="K72" s="1691">
        <f t="shared" si="9"/>
        <v>38025</v>
      </c>
      <c r="L72" s="1691">
        <f>SUM(L67:L71)</f>
        <v>0</v>
      </c>
      <c r="M72" s="610"/>
      <c r="N72" s="610"/>
    </row>
    <row r="73" spans="1:14" s="343" customFormat="1" ht="14.25" thickTop="1" thickBot="1" x14ac:dyDescent="0.25">
      <c r="A73" s="1531" t="s">
        <v>1037</v>
      </c>
      <c r="B73" s="633" t="s">
        <v>595</v>
      </c>
      <c r="C73" s="573">
        <v>1980</v>
      </c>
      <c r="D73" s="573">
        <v>608</v>
      </c>
      <c r="E73" s="573">
        <v>35341</v>
      </c>
      <c r="F73" s="573"/>
      <c r="G73" s="573"/>
      <c r="H73" s="573"/>
      <c r="I73" s="531"/>
      <c r="J73" s="531"/>
      <c r="K73" s="1691">
        <f>SUM(C73:J73)</f>
        <v>37929</v>
      </c>
      <c r="L73" s="576">
        <v>3044</v>
      </c>
      <c r="M73" s="610"/>
      <c r="N73" s="610"/>
    </row>
    <row r="74" spans="1:14" ht="12.75" customHeight="1" thickTop="1" thickBot="1" x14ac:dyDescent="0.25">
      <c r="A74" s="1689" t="s">
        <v>865</v>
      </c>
      <c r="B74" s="1697">
        <v>2000</v>
      </c>
      <c r="C74" s="1698">
        <f>SUM(C42,C47,C53,C57,C65,C72,C73)</f>
        <v>2904114</v>
      </c>
      <c r="D74" s="1698">
        <f t="shared" ref="D74:K74" si="10">SUM(D42,D47,D53,D57,D65,D72,D73)</f>
        <v>475049</v>
      </c>
      <c r="E74" s="1698">
        <f t="shared" si="10"/>
        <v>496999</v>
      </c>
      <c r="F74" s="1698">
        <f t="shared" si="10"/>
        <v>1241304</v>
      </c>
      <c r="G74" s="1698">
        <f t="shared" si="10"/>
        <v>44877</v>
      </c>
      <c r="H74" s="1698">
        <f t="shared" si="10"/>
        <v>8729</v>
      </c>
      <c r="I74" s="1698">
        <f t="shared" si="10"/>
        <v>0</v>
      </c>
      <c r="J74" s="1698">
        <f t="shared" si="10"/>
        <v>0</v>
      </c>
      <c r="K74" s="1698">
        <f t="shared" si="10"/>
        <v>5171072</v>
      </c>
      <c r="L74" s="1698">
        <f>SUM(L42,L47,L53,L57,L65,L72,L73)</f>
        <v>4934402</v>
      </c>
    </row>
    <row r="75" spans="1:14" s="259" customFormat="1" ht="15.75" customHeight="1" thickTop="1" thickBot="1" x14ac:dyDescent="0.25">
      <c r="A75" s="1631" t="s">
        <v>49</v>
      </c>
      <c r="B75" s="1632" t="s">
        <v>596</v>
      </c>
      <c r="C75" s="573">
        <v>121604</v>
      </c>
      <c r="D75" s="573">
        <v>31819</v>
      </c>
      <c r="E75" s="573">
        <v>126594</v>
      </c>
      <c r="F75" s="573">
        <v>5110</v>
      </c>
      <c r="G75" s="573"/>
      <c r="H75" s="573"/>
      <c r="I75" s="531"/>
      <c r="J75" s="531"/>
      <c r="K75" s="1691">
        <f>SUM(C75:J75)</f>
        <v>285127</v>
      </c>
      <c r="L75" s="576">
        <v>173440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435942</v>
      </c>
      <c r="F78" s="617"/>
      <c r="G78" s="617"/>
      <c r="H78" s="635">
        <v>18812</v>
      </c>
      <c r="I78" s="477"/>
      <c r="J78" s="477"/>
      <c r="K78" s="1692">
        <f t="shared" ref="K78:K83" si="11">SUM(C78:J78)</f>
        <v>454754</v>
      </c>
      <c r="L78" s="481">
        <v>0</v>
      </c>
    </row>
    <row r="79" spans="1:14" x14ac:dyDescent="0.2">
      <c r="A79" s="1525" t="s">
        <v>322</v>
      </c>
      <c r="B79" s="615">
        <v>4120</v>
      </c>
      <c r="C79" s="617"/>
      <c r="D79" s="617"/>
      <c r="E79" s="466"/>
      <c r="F79" s="617"/>
      <c r="G79" s="617"/>
      <c r="H79" s="466">
        <v>222666</v>
      </c>
      <c r="I79" s="477"/>
      <c r="J79" s="477"/>
      <c r="K79" s="1692">
        <f t="shared" si="11"/>
        <v>222666</v>
      </c>
      <c r="L79" s="466">
        <v>620000</v>
      </c>
    </row>
    <row r="80" spans="1:14" x14ac:dyDescent="0.2">
      <c r="A80" s="1525" t="s">
        <v>323</v>
      </c>
      <c r="B80" s="615">
        <v>4130</v>
      </c>
      <c r="C80" s="617"/>
      <c r="D80" s="617"/>
      <c r="E80" s="466"/>
      <c r="F80" s="617"/>
      <c r="G80" s="617"/>
      <c r="H80" s="466"/>
      <c r="I80" s="477"/>
      <c r="J80" s="477"/>
      <c r="K80" s="1692">
        <f t="shared" si="11"/>
        <v>0</v>
      </c>
      <c r="L80" s="466">
        <v>0</v>
      </c>
    </row>
    <row r="81" spans="1:12" x14ac:dyDescent="0.2">
      <c r="A81" s="1525" t="s">
        <v>721</v>
      </c>
      <c r="B81" s="615">
        <v>4140</v>
      </c>
      <c r="C81" s="617"/>
      <c r="D81" s="617"/>
      <c r="E81" s="466"/>
      <c r="F81" s="617"/>
      <c r="G81" s="617"/>
      <c r="H81" s="466"/>
      <c r="I81" s="477"/>
      <c r="J81" s="477"/>
      <c r="K81" s="1692">
        <f t="shared" si="11"/>
        <v>0</v>
      </c>
      <c r="L81" s="466">
        <v>0</v>
      </c>
    </row>
    <row r="82" spans="1:12" x14ac:dyDescent="0.2">
      <c r="A82" s="1525" t="s">
        <v>88</v>
      </c>
      <c r="B82" s="615">
        <v>4170</v>
      </c>
      <c r="C82" s="617"/>
      <c r="D82" s="617"/>
      <c r="E82" s="466"/>
      <c r="F82" s="617"/>
      <c r="G82" s="617"/>
      <c r="H82" s="466"/>
      <c r="I82" s="477"/>
      <c r="J82" s="477"/>
      <c r="K82" s="1692">
        <f t="shared" si="11"/>
        <v>0</v>
      </c>
      <c r="L82" s="466">
        <v>0</v>
      </c>
    </row>
    <row r="83" spans="1:12" x14ac:dyDescent="0.2">
      <c r="A83" s="1529" t="s">
        <v>722</v>
      </c>
      <c r="B83" s="629">
        <v>4190</v>
      </c>
      <c r="C83" s="617"/>
      <c r="D83" s="617"/>
      <c r="E83" s="466">
        <v>1764</v>
      </c>
      <c r="F83" s="617"/>
      <c r="G83" s="617"/>
      <c r="H83" s="466"/>
      <c r="I83" s="477"/>
      <c r="J83" s="477"/>
      <c r="K83" s="1692">
        <f t="shared" si="11"/>
        <v>1764</v>
      </c>
      <c r="L83" s="466">
        <v>0</v>
      </c>
    </row>
    <row r="84" spans="1:12" ht="13.5" thickBot="1" x14ac:dyDescent="0.25">
      <c r="A84" s="1689" t="s">
        <v>1565</v>
      </c>
      <c r="B84" s="1699">
        <v>4100</v>
      </c>
      <c r="C84" s="617"/>
      <c r="D84" s="617"/>
      <c r="E84" s="1691">
        <f>SUM(E78:E83)</f>
        <v>437706</v>
      </c>
      <c r="F84" s="617"/>
      <c r="G84" s="617"/>
      <c r="H84" s="1691">
        <f>SUM(H78:H83)</f>
        <v>241478</v>
      </c>
      <c r="I84" s="477"/>
      <c r="J84" s="477"/>
      <c r="K84" s="1691">
        <f>SUM(K78:K83)</f>
        <v>679184</v>
      </c>
      <c r="L84" s="1691">
        <f>SUM(L78:L83)</f>
        <v>620000</v>
      </c>
    </row>
    <row r="85" spans="1:12" ht="12.75" customHeight="1" thickTop="1" thickBot="1" x14ac:dyDescent="0.25">
      <c r="A85" s="1532" t="s">
        <v>273</v>
      </c>
      <c r="B85" s="636">
        <v>4210</v>
      </c>
      <c r="C85" s="617"/>
      <c r="D85" s="617"/>
      <c r="E85" s="637"/>
      <c r="F85" s="617"/>
      <c r="G85" s="617"/>
      <c r="H85" s="535"/>
      <c r="I85" s="477"/>
      <c r="J85" s="477"/>
      <c r="K85" s="1698">
        <f>H85</f>
        <v>0</v>
      </c>
      <c r="L85" s="530">
        <v>0</v>
      </c>
    </row>
    <row r="86" spans="1:12" ht="12.75" customHeight="1" thickTop="1" thickBot="1" x14ac:dyDescent="0.25">
      <c r="A86" s="1533" t="s">
        <v>723</v>
      </c>
      <c r="B86" s="638">
        <v>4220</v>
      </c>
      <c r="C86" s="617"/>
      <c r="D86" s="617"/>
      <c r="E86" s="639"/>
      <c r="F86" s="617"/>
      <c r="G86" s="617"/>
      <c r="H86" s="467">
        <v>143333</v>
      </c>
      <c r="I86" s="477"/>
      <c r="J86" s="477"/>
      <c r="K86" s="1698">
        <f t="shared" ref="K86:K98" si="12">H86</f>
        <v>143333</v>
      </c>
      <c r="L86" s="530">
        <v>90000</v>
      </c>
    </row>
    <row r="87" spans="1:12" ht="14.25" thickTop="1" thickBot="1" x14ac:dyDescent="0.25">
      <c r="A87" s="1534" t="s">
        <v>724</v>
      </c>
      <c r="B87" s="640">
        <v>4230</v>
      </c>
      <c r="C87" s="617"/>
      <c r="D87" s="617"/>
      <c r="E87" s="639"/>
      <c r="F87" s="617"/>
      <c r="G87" s="617"/>
      <c r="H87" s="467"/>
      <c r="I87" s="477"/>
      <c r="J87" s="477"/>
      <c r="K87" s="1698">
        <f t="shared" si="12"/>
        <v>0</v>
      </c>
      <c r="L87" s="530">
        <v>0</v>
      </c>
    </row>
    <row r="88" spans="1:12" ht="12.75" customHeight="1" thickTop="1" thickBot="1" x14ac:dyDescent="0.25">
      <c r="A88" s="1534" t="s">
        <v>789</v>
      </c>
      <c r="B88" s="640">
        <v>4240</v>
      </c>
      <c r="C88" s="617"/>
      <c r="D88" s="617"/>
      <c r="E88" s="639"/>
      <c r="F88" s="617"/>
      <c r="G88" s="617"/>
      <c r="H88" s="467"/>
      <c r="I88" s="477"/>
      <c r="J88" s="477"/>
      <c r="K88" s="1698">
        <f t="shared" si="12"/>
        <v>0</v>
      </c>
      <c r="L88" s="530">
        <v>0</v>
      </c>
    </row>
    <row r="89" spans="1:12" ht="12.75" customHeight="1" thickTop="1" thickBot="1" x14ac:dyDescent="0.25">
      <c r="A89" s="1534" t="s">
        <v>725</v>
      </c>
      <c r="B89" s="640">
        <v>4270</v>
      </c>
      <c r="C89" s="617"/>
      <c r="D89" s="617"/>
      <c r="E89" s="639"/>
      <c r="F89" s="617"/>
      <c r="G89" s="617"/>
      <c r="H89" s="467"/>
      <c r="I89" s="477"/>
      <c r="J89" s="477"/>
      <c r="K89" s="1698">
        <f t="shared" si="12"/>
        <v>0</v>
      </c>
      <c r="L89" s="530">
        <v>0</v>
      </c>
    </row>
    <row r="90" spans="1:12" ht="12.75" customHeight="1" thickTop="1" thickBot="1" x14ac:dyDescent="0.25">
      <c r="A90" s="1534" t="s">
        <v>710</v>
      </c>
      <c r="B90" s="640">
        <v>4280</v>
      </c>
      <c r="C90" s="617"/>
      <c r="D90" s="617"/>
      <c r="E90" s="639"/>
      <c r="F90" s="617"/>
      <c r="G90" s="617"/>
      <c r="H90" s="467"/>
      <c r="I90" s="477"/>
      <c r="J90" s="477"/>
      <c r="K90" s="1698">
        <f t="shared" si="12"/>
        <v>0</v>
      </c>
      <c r="L90" s="530">
        <v>0</v>
      </c>
    </row>
    <row r="91" spans="1:12" ht="12.75" customHeight="1" thickTop="1" thickBot="1" x14ac:dyDescent="0.25">
      <c r="A91" s="1534"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143333</v>
      </c>
      <c r="I92" s="477"/>
      <c r="J92" s="477"/>
      <c r="K92" s="1698">
        <f t="shared" si="12"/>
        <v>143333</v>
      </c>
      <c r="L92" s="1691">
        <f>SUM(L85:L91)</f>
        <v>90000</v>
      </c>
    </row>
    <row r="93" spans="1:12" ht="14.25" thickTop="1" thickBot="1" x14ac:dyDescent="0.25">
      <c r="A93" s="1533" t="s">
        <v>712</v>
      </c>
      <c r="B93" s="641">
        <v>4310</v>
      </c>
      <c r="C93" s="617"/>
      <c r="D93" s="617"/>
      <c r="E93" s="639"/>
      <c r="F93" s="617"/>
      <c r="G93" s="617"/>
      <c r="H93" s="642"/>
      <c r="I93" s="477"/>
      <c r="J93" s="477"/>
      <c r="K93" s="1698">
        <f t="shared" si="12"/>
        <v>0</v>
      </c>
      <c r="L93" s="532">
        <v>0</v>
      </c>
    </row>
    <row r="94" spans="1:12" ht="12.75" customHeight="1" thickTop="1" thickBot="1" x14ac:dyDescent="0.25">
      <c r="A94" s="1534" t="s">
        <v>713</v>
      </c>
      <c r="B94" s="640">
        <v>4320</v>
      </c>
      <c r="C94" s="617"/>
      <c r="D94" s="617"/>
      <c r="E94" s="639"/>
      <c r="F94" s="617"/>
      <c r="G94" s="617"/>
      <c r="H94" s="467"/>
      <c r="I94" s="477"/>
      <c r="J94" s="477"/>
      <c r="K94" s="1698">
        <f t="shared" si="12"/>
        <v>0</v>
      </c>
      <c r="L94" s="530">
        <v>0</v>
      </c>
    </row>
    <row r="95" spans="1:12" ht="15" customHeight="1" thickTop="1" thickBot="1" x14ac:dyDescent="0.25">
      <c r="A95" s="1534" t="s">
        <v>1568</v>
      </c>
      <c r="B95" s="640">
        <v>4330</v>
      </c>
      <c r="C95" s="617"/>
      <c r="D95" s="617"/>
      <c r="E95" s="639"/>
      <c r="F95" s="617"/>
      <c r="G95" s="617"/>
      <c r="H95" s="467"/>
      <c r="I95" s="477"/>
      <c r="J95" s="477"/>
      <c r="K95" s="1698">
        <f t="shared" si="12"/>
        <v>0</v>
      </c>
      <c r="L95" s="530">
        <v>0</v>
      </c>
    </row>
    <row r="96" spans="1:12" ht="14.25" thickTop="1" thickBot="1" x14ac:dyDescent="0.25">
      <c r="A96" s="1534" t="s">
        <v>714</v>
      </c>
      <c r="B96" s="640">
        <v>4340</v>
      </c>
      <c r="C96" s="617"/>
      <c r="D96" s="617"/>
      <c r="E96" s="639"/>
      <c r="F96" s="617"/>
      <c r="G96" s="617"/>
      <c r="H96" s="467"/>
      <c r="I96" s="477"/>
      <c r="J96" s="477"/>
      <c r="K96" s="1698">
        <f t="shared" si="12"/>
        <v>0</v>
      </c>
      <c r="L96" s="530">
        <v>0</v>
      </c>
    </row>
    <row r="97" spans="1:14" ht="12.75" customHeight="1" thickTop="1" thickBot="1" x14ac:dyDescent="0.25">
      <c r="A97" s="1534" t="s">
        <v>787</v>
      </c>
      <c r="B97" s="640">
        <v>4370</v>
      </c>
      <c r="C97" s="617"/>
      <c r="D97" s="617"/>
      <c r="E97" s="639"/>
      <c r="F97" s="617"/>
      <c r="G97" s="617"/>
      <c r="H97" s="467"/>
      <c r="I97" s="477"/>
      <c r="J97" s="477"/>
      <c r="K97" s="1698">
        <f t="shared" si="12"/>
        <v>0</v>
      </c>
      <c r="L97" s="530">
        <v>0</v>
      </c>
    </row>
    <row r="98" spans="1:14" ht="14.25" thickTop="1" thickBot="1" x14ac:dyDescent="0.25">
      <c r="A98" s="1534" t="s">
        <v>788</v>
      </c>
      <c r="B98" s="640">
        <v>4380</v>
      </c>
      <c r="C98" s="617"/>
      <c r="D98" s="617"/>
      <c r="E98" s="643"/>
      <c r="F98" s="617"/>
      <c r="G98" s="617"/>
      <c r="H98" s="467"/>
      <c r="I98" s="477"/>
      <c r="J98" s="477"/>
      <c r="K98" s="1698">
        <f t="shared" si="12"/>
        <v>0</v>
      </c>
      <c r="L98" s="530">
        <v>0</v>
      </c>
    </row>
    <row r="99" spans="1:14" ht="14.25" thickTop="1" thickBot="1" x14ac:dyDescent="0.25">
      <c r="A99" s="1534"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437706</v>
      </c>
      <c r="F102" s="617"/>
      <c r="G102" s="617"/>
      <c r="H102" s="1698">
        <f>SUM(H84,H92,H100,H101)</f>
        <v>384811</v>
      </c>
      <c r="I102" s="477"/>
      <c r="J102" s="477"/>
      <c r="K102" s="1698">
        <f>SUM(K84,K92,K100,K101)</f>
        <v>822517</v>
      </c>
      <c r="L102" s="1698">
        <f>SUM(L84,L92,L100,L101)</f>
        <v>710000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10609807</v>
      </c>
      <c r="D114" s="1691">
        <f t="shared" ref="D114:K114" si="13">SUM(D33,D74,D75,D102,D112,D113)</f>
        <v>1993828</v>
      </c>
      <c r="E114" s="1691">
        <f t="shared" si="13"/>
        <v>1648932</v>
      </c>
      <c r="F114" s="1691">
        <f t="shared" si="13"/>
        <v>1680226</v>
      </c>
      <c r="G114" s="1691">
        <f t="shared" si="13"/>
        <v>137509</v>
      </c>
      <c r="H114" s="1691">
        <f>SUM(H33,H74,H75,H102,H112,H113)</f>
        <v>481462</v>
      </c>
      <c r="I114" s="1691">
        <f t="shared" si="13"/>
        <v>0</v>
      </c>
      <c r="J114" s="1691">
        <f t="shared" si="13"/>
        <v>0</v>
      </c>
      <c r="K114" s="1691">
        <f t="shared" si="13"/>
        <v>16551764</v>
      </c>
      <c r="L114" s="1691">
        <f>SUM(L33,L74,L75,L102,L112,L113)</f>
        <v>16606032</v>
      </c>
    </row>
    <row r="115" spans="1:14" ht="13.5" thickTop="1" x14ac:dyDescent="0.2">
      <c r="A115" s="2201" t="s">
        <v>1053</v>
      </c>
      <c r="B115" s="2202"/>
      <c r="C115" s="619"/>
      <c r="D115" s="619"/>
      <c r="E115" s="619"/>
      <c r="F115" s="619"/>
      <c r="G115" s="619"/>
      <c r="H115" s="619"/>
      <c r="I115" s="619"/>
      <c r="J115" s="619"/>
      <c r="K115" s="1705">
        <f>'Revenues 9-14'!C275-'Expenditures 15-22'!K114</f>
        <v>1399065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v>0</v>
      </c>
    </row>
    <row r="123" spans="1:14" ht="14.25" thickTop="1" thickBot="1" x14ac:dyDescent="0.25">
      <c r="A123" s="1525" t="s">
        <v>4</v>
      </c>
      <c r="B123" s="615">
        <v>2530</v>
      </c>
      <c r="C123" s="466"/>
      <c r="D123" s="466"/>
      <c r="E123" s="466"/>
      <c r="F123" s="466"/>
      <c r="G123" s="466"/>
      <c r="H123" s="466"/>
      <c r="I123" s="467"/>
      <c r="J123" s="467"/>
      <c r="K123" s="1691">
        <f>SUM(C123:J123)</f>
        <v>0</v>
      </c>
      <c r="L123" s="466">
        <v>40000</v>
      </c>
    </row>
    <row r="124" spans="1:14" ht="14.25" thickTop="1" thickBot="1" x14ac:dyDescent="0.25">
      <c r="A124" s="1525" t="s">
        <v>206</v>
      </c>
      <c r="B124" s="615">
        <v>2540</v>
      </c>
      <c r="C124" s="466">
        <v>686254</v>
      </c>
      <c r="D124" s="466">
        <v>41214</v>
      </c>
      <c r="E124" s="466">
        <v>137083</v>
      </c>
      <c r="F124" s="466">
        <v>53797</v>
      </c>
      <c r="G124" s="466">
        <v>124517</v>
      </c>
      <c r="H124" s="466"/>
      <c r="I124" s="467"/>
      <c r="J124" s="467"/>
      <c r="K124" s="1691">
        <f>SUM(C124:J124)</f>
        <v>1042865</v>
      </c>
      <c r="L124" s="466">
        <v>915212</v>
      </c>
    </row>
    <row r="125" spans="1:14" ht="14.25" thickTop="1" thickBot="1" x14ac:dyDescent="0.25">
      <c r="A125" s="1525" t="s">
        <v>1010</v>
      </c>
      <c r="B125" s="615">
        <v>2550</v>
      </c>
      <c r="C125" s="466"/>
      <c r="D125" s="466"/>
      <c r="E125" s="466"/>
      <c r="F125" s="466"/>
      <c r="G125" s="466"/>
      <c r="H125" s="466"/>
      <c r="I125" s="467"/>
      <c r="J125" s="467"/>
      <c r="K125" s="1691">
        <f>SUM(C125:J125)</f>
        <v>0</v>
      </c>
      <c r="L125" s="466">
        <v>0</v>
      </c>
    </row>
    <row r="126" spans="1:14" ht="14.25" thickTop="1" thickBot="1" x14ac:dyDescent="0.25">
      <c r="A126" s="1525"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686254</v>
      </c>
      <c r="D127" s="1691">
        <f t="shared" ref="D127:L127" si="14">SUM(D122:D126)</f>
        <v>41214</v>
      </c>
      <c r="E127" s="1691">
        <f t="shared" si="14"/>
        <v>137083</v>
      </c>
      <c r="F127" s="1691">
        <f t="shared" si="14"/>
        <v>53797</v>
      </c>
      <c r="G127" s="1691">
        <f t="shared" si="14"/>
        <v>124517</v>
      </c>
      <c r="H127" s="1691">
        <f t="shared" si="14"/>
        <v>0</v>
      </c>
      <c r="I127" s="1691">
        <f t="shared" si="14"/>
        <v>0</v>
      </c>
      <c r="J127" s="1691">
        <f t="shared" si="14"/>
        <v>0</v>
      </c>
      <c r="K127" s="1691">
        <f t="shared" si="14"/>
        <v>1042865</v>
      </c>
      <c r="L127" s="1691">
        <f t="shared" si="14"/>
        <v>955212</v>
      </c>
    </row>
    <row r="128" spans="1:14" ht="12.75" customHeight="1" thickTop="1" x14ac:dyDescent="0.2">
      <c r="A128" s="1532" t="s">
        <v>1037</v>
      </c>
      <c r="B128" s="656" t="s">
        <v>595</v>
      </c>
      <c r="C128" s="657"/>
      <c r="D128" s="657"/>
      <c r="E128" s="657">
        <v>49439</v>
      </c>
      <c r="F128" s="657"/>
      <c r="G128" s="657"/>
      <c r="H128" s="657"/>
      <c r="I128" s="535"/>
      <c r="J128" s="535"/>
      <c r="K128" s="1706">
        <f>SUM(C128:J128)</f>
        <v>49439</v>
      </c>
      <c r="L128" s="657">
        <v>50000</v>
      </c>
    </row>
    <row r="129" spans="1:14" ht="12.75" customHeight="1" thickBot="1" x14ac:dyDescent="0.25">
      <c r="A129" s="1707" t="s">
        <v>865</v>
      </c>
      <c r="B129" s="1708" t="s">
        <v>590</v>
      </c>
      <c r="C129" s="1698">
        <f>SUM(C120,C127,C128)</f>
        <v>686254</v>
      </c>
      <c r="D129" s="1698">
        <f t="shared" ref="D129:L129" si="15">SUM(D120,D127,D128)</f>
        <v>41214</v>
      </c>
      <c r="E129" s="1698">
        <f t="shared" si="15"/>
        <v>186522</v>
      </c>
      <c r="F129" s="1698">
        <f t="shared" si="15"/>
        <v>53797</v>
      </c>
      <c r="G129" s="1698">
        <f t="shared" si="15"/>
        <v>124517</v>
      </c>
      <c r="H129" s="1698">
        <f t="shared" si="15"/>
        <v>0</v>
      </c>
      <c r="I129" s="1698">
        <f t="shared" si="15"/>
        <v>0</v>
      </c>
      <c r="J129" s="1698">
        <f t="shared" si="15"/>
        <v>0</v>
      </c>
      <c r="K129" s="1698">
        <f t="shared" si="15"/>
        <v>1092304</v>
      </c>
      <c r="L129" s="1698">
        <f t="shared" si="15"/>
        <v>1005212</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1955</v>
      </c>
      <c r="C133" s="468"/>
      <c r="D133" s="468"/>
      <c r="E133" s="642"/>
      <c r="F133" s="468"/>
      <c r="G133" s="468"/>
      <c r="H133" s="642"/>
      <c r="I133" s="468"/>
      <c r="J133" s="468"/>
      <c r="K133" s="1843">
        <f>SUM(E133,H133)</f>
        <v>0</v>
      </c>
      <c r="L133" s="642">
        <v>1400</v>
      </c>
      <c r="M133" s="206"/>
      <c r="N133" s="206"/>
    </row>
    <row r="134" spans="1:14" x14ac:dyDescent="0.2">
      <c r="A134" s="1525" t="s">
        <v>322</v>
      </c>
      <c r="B134" s="615">
        <v>4120</v>
      </c>
      <c r="C134" s="617"/>
      <c r="D134" s="617"/>
      <c r="E134" s="478"/>
      <c r="F134" s="617"/>
      <c r="G134" s="617"/>
      <c r="H134" s="481">
        <v>1389</v>
      </c>
      <c r="I134" s="477"/>
      <c r="J134" s="617"/>
      <c r="K134" s="1693">
        <f>SUM(E134,H134)</f>
        <v>1389</v>
      </c>
      <c r="L134" s="481">
        <v>0</v>
      </c>
    </row>
    <row r="135" spans="1:14" x14ac:dyDescent="0.2">
      <c r="A135" s="1525" t="s">
        <v>721</v>
      </c>
      <c r="B135" s="615">
        <v>4140</v>
      </c>
      <c r="C135" s="617"/>
      <c r="D135" s="617"/>
      <c r="E135" s="467"/>
      <c r="F135" s="617"/>
      <c r="G135" s="617"/>
      <c r="H135" s="466"/>
      <c r="I135" s="477"/>
      <c r="J135" s="617"/>
      <c r="K135" s="1693">
        <f>SUM(E135,H135)</f>
        <v>0</v>
      </c>
      <c r="L135" s="466">
        <v>0</v>
      </c>
    </row>
    <row r="136" spans="1:14" x14ac:dyDescent="0.2">
      <c r="A136" s="1529"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1389</v>
      </c>
      <c r="I137" s="477"/>
      <c r="J137" s="617"/>
      <c r="K137" s="1691">
        <f>SUM(K133:K136)</f>
        <v>1389</v>
      </c>
      <c r="L137" s="1691">
        <f>SUM(L133:L136)</f>
        <v>1400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1389</v>
      </c>
      <c r="I139" s="477"/>
      <c r="J139" s="617"/>
      <c r="K139" s="1693">
        <f>SUM(K137,K138)</f>
        <v>1389</v>
      </c>
      <c r="L139" s="1700">
        <f>SUM(L137,L138)</f>
        <v>1400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v>0</v>
      </c>
    </row>
    <row r="143" spans="1:14" x14ac:dyDescent="0.2">
      <c r="A143" s="1525" t="s">
        <v>90</v>
      </c>
      <c r="B143" s="615">
        <v>5120</v>
      </c>
      <c r="C143" s="617"/>
      <c r="D143" s="617"/>
      <c r="E143" s="617"/>
      <c r="F143" s="617"/>
      <c r="G143" s="617"/>
      <c r="H143" s="466"/>
      <c r="I143" s="468"/>
      <c r="J143" s="617"/>
      <c r="K143" s="1693">
        <f>SUM(H143)</f>
        <v>0</v>
      </c>
      <c r="L143" s="466">
        <v>0</v>
      </c>
    </row>
    <row r="144" spans="1:14" ht="12.75" customHeight="1" x14ac:dyDescent="0.2">
      <c r="A144" s="1525" t="s">
        <v>1232</v>
      </c>
      <c r="B144" s="629" t="s">
        <v>638</v>
      </c>
      <c r="C144" s="617"/>
      <c r="D144" s="617"/>
      <c r="E144" s="617"/>
      <c r="F144" s="617"/>
      <c r="G144" s="617"/>
      <c r="H144" s="466"/>
      <c r="I144" s="468"/>
      <c r="J144" s="617"/>
      <c r="K144" s="1693">
        <f>SUM(H144)</f>
        <v>0</v>
      </c>
      <c r="L144" s="466">
        <v>0</v>
      </c>
    </row>
    <row r="145" spans="1:14" x14ac:dyDescent="0.2">
      <c r="A145" s="1525" t="s">
        <v>91</v>
      </c>
      <c r="B145" s="615" t="s">
        <v>610</v>
      </c>
      <c r="C145" s="617"/>
      <c r="D145" s="617"/>
      <c r="E145" s="617"/>
      <c r="F145" s="617"/>
      <c r="G145" s="617"/>
      <c r="H145" s="466"/>
      <c r="I145" s="468"/>
      <c r="J145" s="617"/>
      <c r="K145" s="1693">
        <f>SUM(H145)</f>
        <v>0</v>
      </c>
      <c r="L145" s="466">
        <v>0</v>
      </c>
    </row>
    <row r="146" spans="1:14" ht="12.75" customHeight="1" x14ac:dyDescent="0.2">
      <c r="A146" s="1525" t="s">
        <v>640</v>
      </c>
      <c r="B146" s="615" t="s">
        <v>639</v>
      </c>
      <c r="C146" s="617"/>
      <c r="D146" s="617"/>
      <c r="E146" s="617"/>
      <c r="F146" s="617"/>
      <c r="G146" s="617"/>
      <c r="H146" s="466"/>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91" t="s">
        <v>641</v>
      </c>
      <c r="B151" s="2173"/>
      <c r="C151" s="1691">
        <f>SUM(C129,C130,C139,C149,C150)</f>
        <v>686254</v>
      </c>
      <c r="D151" s="1691">
        <f t="shared" ref="D151:K151" si="16">SUM(D129,D130,D139,D149,D150)</f>
        <v>41214</v>
      </c>
      <c r="E151" s="1691">
        <f t="shared" si="16"/>
        <v>186522</v>
      </c>
      <c r="F151" s="1691">
        <f t="shared" si="16"/>
        <v>53797</v>
      </c>
      <c r="G151" s="1691">
        <f t="shared" si="16"/>
        <v>124517</v>
      </c>
      <c r="H151" s="1691">
        <f t="shared" si="16"/>
        <v>1389</v>
      </c>
      <c r="I151" s="1691">
        <f t="shared" si="16"/>
        <v>0</v>
      </c>
      <c r="J151" s="1691">
        <f t="shared" si="16"/>
        <v>0</v>
      </c>
      <c r="K151" s="1691">
        <f t="shared" si="16"/>
        <v>1093693</v>
      </c>
      <c r="L151" s="1691">
        <f>SUM(L129,L130,L139,L149,L150)</f>
        <v>1006612</v>
      </c>
    </row>
    <row r="152" spans="1:14" ht="12.75" customHeight="1" thickTop="1" x14ac:dyDescent="0.2">
      <c r="A152" s="2194" t="s">
        <v>1240</v>
      </c>
      <c r="B152" s="2195"/>
      <c r="C152" s="619"/>
      <c r="D152" s="619"/>
      <c r="E152" s="619"/>
      <c r="F152" s="619"/>
      <c r="G152" s="619"/>
      <c r="H152" s="619"/>
      <c r="I152" s="619"/>
      <c r="J152" s="617"/>
      <c r="K152" s="1705">
        <f>'Revenues 9-14'!D275-'Expenditures 15-22'!K151</f>
        <v>4538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1955</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1957</v>
      </c>
      <c r="C158" s="617"/>
      <c r="D158" s="617"/>
      <c r="E158" s="617"/>
      <c r="F158" s="617"/>
      <c r="G158" s="617"/>
      <c r="H158" s="467"/>
      <c r="I158" s="617"/>
      <c r="J158" s="617"/>
      <c r="K158" s="1692">
        <f>H158</f>
        <v>0</v>
      </c>
      <c r="L158" s="467">
        <v>0</v>
      </c>
      <c r="M158" s="620"/>
      <c r="N158" s="620"/>
    </row>
    <row r="159" spans="1:14" s="621" customFormat="1" ht="12" x14ac:dyDescent="0.2">
      <c r="A159" s="1848" t="s">
        <v>1958</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1959</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v>0</v>
      </c>
    </row>
    <row r="164" spans="1:14" x14ac:dyDescent="0.2">
      <c r="A164" s="1525" t="s">
        <v>90</v>
      </c>
      <c r="B164" s="615">
        <v>5120</v>
      </c>
      <c r="C164" s="617"/>
      <c r="D164" s="617"/>
      <c r="E164" s="617"/>
      <c r="F164" s="617"/>
      <c r="G164" s="617"/>
      <c r="H164" s="466"/>
      <c r="I164" s="617"/>
      <c r="J164" s="617"/>
      <c r="K164" s="1692">
        <f>SUM(C164:J164)</f>
        <v>0</v>
      </c>
      <c r="L164" s="466">
        <v>0</v>
      </c>
    </row>
    <row r="165" spans="1:14" ht="12.75" customHeight="1" x14ac:dyDescent="0.2">
      <c r="A165" s="1525" t="s">
        <v>1232</v>
      </c>
      <c r="B165" s="615" t="s">
        <v>638</v>
      </c>
      <c r="C165" s="617"/>
      <c r="D165" s="617"/>
      <c r="E165" s="617"/>
      <c r="F165" s="617"/>
      <c r="G165" s="617"/>
      <c r="H165" s="466"/>
      <c r="I165" s="617"/>
      <c r="J165" s="617"/>
      <c r="K165" s="1692">
        <f>SUM(C165:J165)</f>
        <v>0</v>
      </c>
      <c r="L165" s="466">
        <v>0</v>
      </c>
    </row>
    <row r="166" spans="1:14" x14ac:dyDescent="0.2">
      <c r="A166" s="1525" t="s">
        <v>91</v>
      </c>
      <c r="B166" s="629" t="s">
        <v>610</v>
      </c>
      <c r="C166" s="617"/>
      <c r="D166" s="617"/>
      <c r="E166" s="617"/>
      <c r="F166" s="617"/>
      <c r="G166" s="617"/>
      <c r="H166" s="466"/>
      <c r="I166" s="617"/>
      <c r="J166" s="617"/>
      <c r="K166" s="1692">
        <f>SUM(C166:J166)</f>
        <v>0</v>
      </c>
      <c r="L166" s="466">
        <v>0</v>
      </c>
    </row>
    <row r="167" spans="1:14" ht="12.75" customHeight="1" x14ac:dyDescent="0.2">
      <c r="A167" s="1525"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339529</v>
      </c>
      <c r="I169" s="617"/>
      <c r="J169" s="617"/>
      <c r="K169" s="1692">
        <f>SUM(C169:H169)</f>
        <v>339529</v>
      </c>
      <c r="L169" s="657">
        <v>572840</v>
      </c>
    </row>
    <row r="170" spans="1:14" ht="33.75" customHeight="1" x14ac:dyDescent="0.2">
      <c r="A170" s="670" t="s">
        <v>1769</v>
      </c>
      <c r="B170" s="672" t="s">
        <v>31</v>
      </c>
      <c r="C170" s="617"/>
      <c r="D170" s="617"/>
      <c r="E170" s="617"/>
      <c r="F170" s="617"/>
      <c r="G170" s="617"/>
      <c r="H170" s="569">
        <v>1215000</v>
      </c>
      <c r="I170" s="617"/>
      <c r="J170" s="617"/>
      <c r="K170" s="1692">
        <f>SUM(C170:J170)</f>
        <v>1215000</v>
      </c>
      <c r="L170" s="569">
        <v>1000000</v>
      </c>
    </row>
    <row r="171" spans="1:14" ht="15.75" customHeight="1" x14ac:dyDescent="0.2">
      <c r="A171" s="622" t="s">
        <v>790</v>
      </c>
      <c r="B171" s="673" t="s">
        <v>86</v>
      </c>
      <c r="C171" s="617"/>
      <c r="D171" s="617"/>
      <c r="E171" s="466"/>
      <c r="F171" s="617"/>
      <c r="G171" s="617"/>
      <c r="H171" s="569">
        <v>2525</v>
      </c>
      <c r="I171" s="477"/>
      <c r="J171" s="617"/>
      <c r="K171" s="1692">
        <f>SUM(C171:J171)</f>
        <v>2525</v>
      </c>
      <c r="L171" s="569">
        <v>1500</v>
      </c>
    </row>
    <row r="172" spans="1:14" ht="12.75" customHeight="1" thickBot="1" x14ac:dyDescent="0.25">
      <c r="A172" s="1689" t="s">
        <v>659</v>
      </c>
      <c r="B172" s="1690" t="s">
        <v>513</v>
      </c>
      <c r="C172" s="617"/>
      <c r="D172" s="617"/>
      <c r="E172" s="1698">
        <f>SUM(E168,E169,E170,E171)</f>
        <v>0</v>
      </c>
      <c r="F172" s="617"/>
      <c r="G172" s="617"/>
      <c r="H172" s="1698">
        <f>SUM(H168,H169,H170,H171)</f>
        <v>1557054</v>
      </c>
      <c r="I172" s="639"/>
      <c r="J172" s="617"/>
      <c r="K172" s="1698">
        <f>SUM(K168,K169,K170,K171)</f>
        <v>1557054</v>
      </c>
      <c r="L172" s="1698">
        <f>SUM(L168,L169,L170,L171)</f>
        <v>1574340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1557054</v>
      </c>
      <c r="I174" s="639"/>
      <c r="J174" s="617"/>
      <c r="K174" s="1698">
        <f>SUM(K160,K172,K173)</f>
        <v>1557054</v>
      </c>
      <c r="L174" s="1698">
        <f>SUM(L160,L172,L173)</f>
        <v>1574340</v>
      </c>
    </row>
    <row r="175" spans="1:14" ht="13.5" thickTop="1" x14ac:dyDescent="0.2">
      <c r="A175" s="2201" t="s">
        <v>1053</v>
      </c>
      <c r="B175" s="2202"/>
      <c r="C175" s="617"/>
      <c r="D175" s="617"/>
      <c r="E175" s="617"/>
      <c r="F175" s="617"/>
      <c r="G175" s="617"/>
      <c r="H175" s="619"/>
      <c r="I175" s="617"/>
      <c r="J175" s="617"/>
      <c r="K175" s="1705">
        <f>'Revenues 9-14'!E275-'Expenditures 15-22'!K174</f>
        <v>-832415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6846</v>
      </c>
      <c r="D182" s="466">
        <v>677</v>
      </c>
      <c r="E182" s="466">
        <v>1277584</v>
      </c>
      <c r="F182" s="466"/>
      <c r="G182" s="466"/>
      <c r="H182" s="466"/>
      <c r="I182" s="467"/>
      <c r="J182" s="467"/>
      <c r="K182" s="1692">
        <f>SUM(C182:J182)</f>
        <v>1285107</v>
      </c>
      <c r="L182" s="466">
        <v>1348626</v>
      </c>
    </row>
    <row r="183" spans="1:14" ht="12.75" customHeight="1" thickBot="1" x14ac:dyDescent="0.25">
      <c r="A183" s="1530"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6846</v>
      </c>
      <c r="D184" s="1698">
        <f t="shared" ref="D184:J184" si="17">SUM(D180,D182,D183)</f>
        <v>677</v>
      </c>
      <c r="E184" s="1698">
        <f t="shared" si="17"/>
        <v>1277584</v>
      </c>
      <c r="F184" s="1698">
        <f t="shared" si="17"/>
        <v>0</v>
      </c>
      <c r="G184" s="1698">
        <f t="shared" si="17"/>
        <v>0</v>
      </c>
      <c r="H184" s="1698">
        <f t="shared" si="17"/>
        <v>0</v>
      </c>
      <c r="I184" s="1698">
        <f t="shared" si="17"/>
        <v>0</v>
      </c>
      <c r="J184" s="1698">
        <f t="shared" si="17"/>
        <v>0</v>
      </c>
      <c r="K184" s="1698">
        <f>SUM(K180,K182,K183)</f>
        <v>1285107</v>
      </c>
      <c r="L184" s="1698">
        <f>SUM(L180, L182:L183)</f>
        <v>1348626</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v>0</v>
      </c>
    </row>
    <row r="189" spans="1:14" x14ac:dyDescent="0.2">
      <c r="A189" s="1525" t="s">
        <v>322</v>
      </c>
      <c r="B189" s="615">
        <v>4120</v>
      </c>
      <c r="C189" s="617"/>
      <c r="D189" s="617"/>
      <c r="E189" s="466"/>
      <c r="F189" s="617"/>
      <c r="G189" s="617"/>
      <c r="H189" s="466"/>
      <c r="I189" s="477"/>
      <c r="J189" s="617"/>
      <c r="K189" s="1692">
        <f t="shared" si="18"/>
        <v>0</v>
      </c>
      <c r="L189" s="466">
        <v>0</v>
      </c>
    </row>
    <row r="190" spans="1:14" x14ac:dyDescent="0.2">
      <c r="A190" s="1525" t="s">
        <v>323</v>
      </c>
      <c r="B190" s="629">
        <v>4130</v>
      </c>
      <c r="C190" s="617"/>
      <c r="D190" s="617"/>
      <c r="E190" s="466"/>
      <c r="F190" s="617"/>
      <c r="G190" s="617"/>
      <c r="H190" s="466"/>
      <c r="I190" s="477"/>
      <c r="J190" s="617"/>
      <c r="K190" s="1692">
        <f t="shared" si="18"/>
        <v>0</v>
      </c>
      <c r="L190" s="466">
        <v>0</v>
      </c>
    </row>
    <row r="191" spans="1:14" x14ac:dyDescent="0.2">
      <c r="A191" s="1525" t="s">
        <v>721</v>
      </c>
      <c r="B191" s="615">
        <v>4140</v>
      </c>
      <c r="C191" s="617"/>
      <c r="D191" s="617"/>
      <c r="E191" s="466"/>
      <c r="F191" s="617"/>
      <c r="G191" s="617"/>
      <c r="H191" s="466"/>
      <c r="I191" s="477"/>
      <c r="J191" s="617"/>
      <c r="K191" s="1692">
        <f t="shared" si="18"/>
        <v>0</v>
      </c>
      <c r="L191" s="466">
        <v>0</v>
      </c>
    </row>
    <row r="192" spans="1:14" x14ac:dyDescent="0.2">
      <c r="A192" s="1525" t="s">
        <v>88</v>
      </c>
      <c r="B192" s="615">
        <v>4170</v>
      </c>
      <c r="C192" s="617"/>
      <c r="D192" s="617"/>
      <c r="E192" s="466"/>
      <c r="F192" s="617"/>
      <c r="G192" s="617"/>
      <c r="H192" s="466"/>
      <c r="I192" s="477"/>
      <c r="J192" s="617"/>
      <c r="K192" s="1692">
        <f t="shared" si="18"/>
        <v>0</v>
      </c>
      <c r="L192" s="466">
        <v>0</v>
      </c>
    </row>
    <row r="193" spans="1:14" x14ac:dyDescent="0.2">
      <c r="A193" s="1529"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v>0</v>
      </c>
    </row>
    <row r="200" spans="1:14" x14ac:dyDescent="0.2">
      <c r="A200" s="1525" t="s">
        <v>90</v>
      </c>
      <c r="B200" s="615">
        <v>5120</v>
      </c>
      <c r="C200" s="617"/>
      <c r="D200" s="617"/>
      <c r="E200" s="617"/>
      <c r="F200" s="617"/>
      <c r="G200" s="617"/>
      <c r="H200" s="466"/>
      <c r="I200" s="617"/>
      <c r="J200" s="617"/>
      <c r="K200" s="1692">
        <f>SUM(H200)</f>
        <v>0</v>
      </c>
      <c r="L200" s="466">
        <v>0</v>
      </c>
    </row>
    <row r="201" spans="1:14" ht="12.75" customHeight="1" x14ac:dyDescent="0.2">
      <c r="A201" s="1525" t="s">
        <v>1232</v>
      </c>
      <c r="B201" s="629" t="s">
        <v>638</v>
      </c>
      <c r="C201" s="617"/>
      <c r="D201" s="617"/>
      <c r="E201" s="617"/>
      <c r="F201" s="617"/>
      <c r="G201" s="617"/>
      <c r="H201" s="466"/>
      <c r="I201" s="617"/>
      <c r="J201" s="617"/>
      <c r="K201" s="1692">
        <f>SUM(H201)</f>
        <v>0</v>
      </c>
      <c r="L201" s="466">
        <v>0</v>
      </c>
    </row>
    <row r="202" spans="1:14" x14ac:dyDescent="0.2">
      <c r="A202" s="1525" t="s">
        <v>91</v>
      </c>
      <c r="B202" s="615" t="s">
        <v>610</v>
      </c>
      <c r="C202" s="617"/>
      <c r="D202" s="617"/>
      <c r="E202" s="617"/>
      <c r="F202" s="617"/>
      <c r="G202" s="617"/>
      <c r="H202" s="466"/>
      <c r="I202" s="617"/>
      <c r="J202" s="617"/>
      <c r="K202" s="1692">
        <f>SUM(H202)</f>
        <v>0</v>
      </c>
      <c r="L202" s="466">
        <v>0</v>
      </c>
    </row>
    <row r="203" spans="1:14" x14ac:dyDescent="0.2">
      <c r="A203" s="1537"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6846</v>
      </c>
      <c r="D210" s="1691">
        <f>SUM(D184,D185)</f>
        <v>677</v>
      </c>
      <c r="E210" s="1691">
        <f>SUM(E184,E185,E196)</f>
        <v>1277584</v>
      </c>
      <c r="F210" s="1691">
        <f>SUM(F184,F185)</f>
        <v>0</v>
      </c>
      <c r="G210" s="1691">
        <f>SUM(G184,G185)</f>
        <v>0</v>
      </c>
      <c r="H210" s="1691">
        <f>SUM(H184,H185,H196,H208,H209)</f>
        <v>0</v>
      </c>
      <c r="I210" s="1691">
        <f>SUM(I184,I185)</f>
        <v>0</v>
      </c>
      <c r="J210" s="1691">
        <f>SUM(J184,J185)</f>
        <v>0</v>
      </c>
      <c r="K210" s="1692">
        <f>SUM(K184,K185,K196,K208,K209)</f>
        <v>1285107</v>
      </c>
      <c r="L210" s="1691">
        <f>SUM(L184,L185,L196,L208,L209)</f>
        <v>1348626</v>
      </c>
    </row>
    <row r="211" spans="1:14" ht="13.5" thickTop="1" x14ac:dyDescent="0.2">
      <c r="A211" s="2201" t="s">
        <v>1053</v>
      </c>
      <c r="B211" s="2202"/>
      <c r="C211" s="619"/>
      <c r="D211" s="619"/>
      <c r="E211" s="619"/>
      <c r="F211" s="619"/>
      <c r="G211" s="619"/>
      <c r="H211" s="619"/>
      <c r="I211" s="617"/>
      <c r="J211" s="617"/>
      <c r="K211" s="1705">
        <f>'Revenues 9-14'!F275-'Expenditures 15-22'!K210</f>
        <v>378547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99217</v>
      </c>
      <c r="E215" s="617"/>
      <c r="F215" s="617"/>
      <c r="G215" s="617"/>
      <c r="H215" s="617"/>
      <c r="I215" s="617"/>
      <c r="J215" s="617"/>
      <c r="K215" s="1692">
        <f>D215</f>
        <v>99217</v>
      </c>
      <c r="L215" s="466">
        <v>116454</v>
      </c>
    </row>
    <row r="216" spans="1:14" x14ac:dyDescent="0.2">
      <c r="A216" s="1525" t="s">
        <v>165</v>
      </c>
      <c r="B216" s="615" t="s">
        <v>1024</v>
      </c>
      <c r="C216" s="617"/>
      <c r="D216" s="467">
        <v>-22</v>
      </c>
      <c r="E216" s="617"/>
      <c r="F216" s="617"/>
      <c r="G216" s="617"/>
      <c r="H216" s="617"/>
      <c r="I216" s="617"/>
      <c r="J216" s="617"/>
      <c r="K216" s="1692">
        <f t="shared" ref="K216:K228" si="19">D216</f>
        <v>-22</v>
      </c>
      <c r="L216" s="466">
        <v>0</v>
      </c>
    </row>
    <row r="217" spans="1:14" x14ac:dyDescent="0.2">
      <c r="A217" s="1525" t="s">
        <v>166</v>
      </c>
      <c r="B217" s="615">
        <v>1200</v>
      </c>
      <c r="C217" s="617"/>
      <c r="D217" s="466">
        <v>149793</v>
      </c>
      <c r="E217" s="617"/>
      <c r="F217" s="617"/>
      <c r="G217" s="617"/>
      <c r="H217" s="617"/>
      <c r="I217" s="617"/>
      <c r="J217" s="617"/>
      <c r="K217" s="1692">
        <f t="shared" si="19"/>
        <v>149793</v>
      </c>
      <c r="L217" s="466">
        <v>73943</v>
      </c>
    </row>
    <row r="218" spans="1:14" x14ac:dyDescent="0.2">
      <c r="A218" s="1525" t="s">
        <v>296</v>
      </c>
      <c r="B218" s="615" t="s">
        <v>1025</v>
      </c>
      <c r="C218" s="617"/>
      <c r="D218" s="467">
        <v>2492</v>
      </c>
      <c r="E218" s="617"/>
      <c r="F218" s="617"/>
      <c r="G218" s="617"/>
      <c r="H218" s="617"/>
      <c r="I218" s="617"/>
      <c r="J218" s="617"/>
      <c r="K218" s="1692">
        <f t="shared" si="19"/>
        <v>2492</v>
      </c>
      <c r="L218" s="466">
        <v>5807</v>
      </c>
    </row>
    <row r="219" spans="1:14" x14ac:dyDescent="0.2">
      <c r="A219" s="1525" t="s">
        <v>297</v>
      </c>
      <c r="B219" s="615">
        <v>1250</v>
      </c>
      <c r="C219" s="617"/>
      <c r="D219" s="466">
        <v>20596</v>
      </c>
      <c r="E219" s="617"/>
      <c r="F219" s="617"/>
      <c r="G219" s="617"/>
      <c r="H219" s="617"/>
      <c r="I219" s="617"/>
      <c r="J219" s="617"/>
      <c r="K219" s="1692">
        <f t="shared" si="19"/>
        <v>20596</v>
      </c>
      <c r="L219" s="466">
        <v>47388</v>
      </c>
    </row>
    <row r="220" spans="1:14" x14ac:dyDescent="0.2">
      <c r="A220" s="1525" t="s">
        <v>298</v>
      </c>
      <c r="B220" s="615" t="s">
        <v>163</v>
      </c>
      <c r="C220" s="617"/>
      <c r="D220" s="467"/>
      <c r="E220" s="617"/>
      <c r="F220" s="617"/>
      <c r="G220" s="617"/>
      <c r="H220" s="617"/>
      <c r="I220" s="617"/>
      <c r="J220" s="617"/>
      <c r="K220" s="1692">
        <f t="shared" si="19"/>
        <v>0</v>
      </c>
      <c r="L220" s="466">
        <v>113558</v>
      </c>
    </row>
    <row r="221" spans="1:14" x14ac:dyDescent="0.2">
      <c r="A221" s="1525" t="s">
        <v>1019</v>
      </c>
      <c r="B221" s="615">
        <v>1300</v>
      </c>
      <c r="C221" s="617"/>
      <c r="D221" s="466"/>
      <c r="E221" s="617"/>
      <c r="F221" s="617"/>
      <c r="G221" s="617"/>
      <c r="H221" s="617"/>
      <c r="I221" s="617"/>
      <c r="J221" s="617"/>
      <c r="K221" s="1692">
        <f t="shared" si="19"/>
        <v>0</v>
      </c>
      <c r="L221" s="466">
        <v>0</v>
      </c>
    </row>
    <row r="222" spans="1:14" x14ac:dyDescent="0.2">
      <c r="A222" s="1525" t="s">
        <v>747</v>
      </c>
      <c r="B222" s="615">
        <v>1400</v>
      </c>
      <c r="C222" s="617"/>
      <c r="D222" s="466"/>
      <c r="E222" s="617"/>
      <c r="F222" s="617"/>
      <c r="G222" s="617"/>
      <c r="H222" s="617"/>
      <c r="I222" s="617"/>
      <c r="J222" s="617"/>
      <c r="K222" s="1692">
        <f t="shared" si="19"/>
        <v>0</v>
      </c>
      <c r="L222" s="466">
        <v>0</v>
      </c>
    </row>
    <row r="223" spans="1:14" x14ac:dyDescent="0.2">
      <c r="A223" s="1525" t="s">
        <v>1020</v>
      </c>
      <c r="B223" s="615">
        <v>1500</v>
      </c>
      <c r="C223" s="617"/>
      <c r="D223" s="466">
        <v>3464</v>
      </c>
      <c r="E223" s="617"/>
      <c r="F223" s="617"/>
      <c r="G223" s="617"/>
      <c r="H223" s="617"/>
      <c r="I223" s="617"/>
      <c r="J223" s="617"/>
      <c r="K223" s="1692">
        <f t="shared" si="19"/>
        <v>3464</v>
      </c>
      <c r="L223" s="466">
        <v>3300</v>
      </c>
    </row>
    <row r="224" spans="1:14" x14ac:dyDescent="0.2">
      <c r="A224" s="1525" t="s">
        <v>1021</v>
      </c>
      <c r="B224" s="615">
        <v>1600</v>
      </c>
      <c r="C224" s="617"/>
      <c r="D224" s="466"/>
      <c r="E224" s="617"/>
      <c r="F224" s="617"/>
      <c r="G224" s="617"/>
      <c r="H224" s="617"/>
      <c r="I224" s="617"/>
      <c r="J224" s="617"/>
      <c r="K224" s="1692">
        <f t="shared" si="19"/>
        <v>0</v>
      </c>
      <c r="L224" s="466">
        <v>0</v>
      </c>
    </row>
    <row r="225" spans="1:12" x14ac:dyDescent="0.2">
      <c r="A225" s="1525" t="s">
        <v>1044</v>
      </c>
      <c r="B225" s="615">
        <v>1650</v>
      </c>
      <c r="C225" s="617"/>
      <c r="D225" s="466">
        <v>876</v>
      </c>
      <c r="E225" s="617"/>
      <c r="F225" s="617"/>
      <c r="G225" s="617"/>
      <c r="H225" s="617"/>
      <c r="I225" s="617"/>
      <c r="J225" s="617"/>
      <c r="K225" s="1692">
        <f t="shared" si="19"/>
        <v>876</v>
      </c>
      <c r="L225" s="466">
        <v>2189</v>
      </c>
    </row>
    <row r="226" spans="1:12" x14ac:dyDescent="0.2">
      <c r="A226" s="1525" t="s">
        <v>748</v>
      </c>
      <c r="B226" s="615" t="s">
        <v>164</v>
      </c>
      <c r="C226" s="617"/>
      <c r="D226" s="467"/>
      <c r="E226" s="617"/>
      <c r="F226" s="617"/>
      <c r="G226" s="617"/>
      <c r="H226" s="617"/>
      <c r="I226" s="617"/>
      <c r="J226" s="617"/>
      <c r="K226" s="1692">
        <f t="shared" si="19"/>
        <v>0</v>
      </c>
      <c r="L226" s="466">
        <v>0</v>
      </c>
    </row>
    <row r="227" spans="1:12" x14ac:dyDescent="0.2">
      <c r="A227" s="1525" t="s">
        <v>1148</v>
      </c>
      <c r="B227" s="615">
        <v>1800</v>
      </c>
      <c r="C227" s="617"/>
      <c r="D227" s="466"/>
      <c r="E227" s="617"/>
      <c r="F227" s="617"/>
      <c r="G227" s="617"/>
      <c r="H227" s="617"/>
      <c r="I227" s="617"/>
      <c r="J227" s="617"/>
      <c r="K227" s="1692">
        <f t="shared" si="19"/>
        <v>0</v>
      </c>
      <c r="L227" s="466">
        <v>0</v>
      </c>
    </row>
    <row r="228" spans="1:12" x14ac:dyDescent="0.2">
      <c r="A228" s="1525"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276416</v>
      </c>
      <c r="E229" s="617"/>
      <c r="F229" s="617"/>
      <c r="G229" s="617"/>
      <c r="H229" s="617"/>
      <c r="I229" s="617"/>
      <c r="J229" s="617"/>
      <c r="K229" s="1691">
        <f>SUM(K215:K228)</f>
        <v>276416</v>
      </c>
      <c r="L229" s="1691">
        <f>SUM(L215:L228)</f>
        <v>362639</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v>0</v>
      </c>
    </row>
    <row r="233" spans="1:12" x14ac:dyDescent="0.2">
      <c r="A233" s="1525" t="s">
        <v>1151</v>
      </c>
      <c r="B233" s="615">
        <v>2120</v>
      </c>
      <c r="C233" s="617"/>
      <c r="D233" s="466">
        <v>1297</v>
      </c>
      <c r="E233" s="617"/>
      <c r="F233" s="617"/>
      <c r="G233" s="617"/>
      <c r="H233" s="617"/>
      <c r="I233" s="617"/>
      <c r="J233" s="617"/>
      <c r="K233" s="1692">
        <f t="shared" si="20"/>
        <v>1297</v>
      </c>
      <c r="L233" s="466">
        <v>2135</v>
      </c>
    </row>
    <row r="234" spans="1:12" x14ac:dyDescent="0.2">
      <c r="A234" s="1525" t="s">
        <v>207</v>
      </c>
      <c r="B234" s="615">
        <v>2130</v>
      </c>
      <c r="C234" s="617"/>
      <c r="D234" s="466">
        <v>13726</v>
      </c>
      <c r="E234" s="617"/>
      <c r="F234" s="617"/>
      <c r="G234" s="617"/>
      <c r="H234" s="617"/>
      <c r="I234" s="617"/>
      <c r="J234" s="617"/>
      <c r="K234" s="1692">
        <f t="shared" si="20"/>
        <v>13726</v>
      </c>
      <c r="L234" s="466">
        <v>16078</v>
      </c>
    </row>
    <row r="235" spans="1:12" x14ac:dyDescent="0.2">
      <c r="A235" s="1525" t="s">
        <v>208</v>
      </c>
      <c r="B235" s="615">
        <v>2140</v>
      </c>
      <c r="C235" s="617"/>
      <c r="D235" s="466"/>
      <c r="E235" s="617"/>
      <c r="F235" s="617"/>
      <c r="G235" s="617"/>
      <c r="H235" s="617"/>
      <c r="I235" s="617"/>
      <c r="J235" s="617"/>
      <c r="K235" s="1692">
        <f t="shared" si="20"/>
        <v>0</v>
      </c>
      <c r="L235" s="466">
        <v>0</v>
      </c>
    </row>
    <row r="236" spans="1:12" x14ac:dyDescent="0.2">
      <c r="A236" s="1525" t="s">
        <v>209</v>
      </c>
      <c r="B236" s="615">
        <v>2150</v>
      </c>
      <c r="C236" s="617"/>
      <c r="D236" s="466">
        <v>2045</v>
      </c>
      <c r="E236" s="617"/>
      <c r="F236" s="617"/>
      <c r="G236" s="617"/>
      <c r="H236" s="617"/>
      <c r="I236" s="617"/>
      <c r="J236" s="617"/>
      <c r="K236" s="1692">
        <f t="shared" si="20"/>
        <v>2045</v>
      </c>
      <c r="L236" s="466">
        <v>2377</v>
      </c>
    </row>
    <row r="237" spans="1:12" x14ac:dyDescent="0.2">
      <c r="A237" s="1525"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17068</v>
      </c>
      <c r="E238" s="617"/>
      <c r="F238" s="617"/>
      <c r="G238" s="617"/>
      <c r="H238" s="617"/>
      <c r="I238" s="617"/>
      <c r="J238" s="617"/>
      <c r="K238" s="1691">
        <f>SUM(K232:K237)</f>
        <v>17068</v>
      </c>
      <c r="L238" s="1691">
        <f>SUM(L232:L237)</f>
        <v>20590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612</v>
      </c>
      <c r="E240" s="617"/>
      <c r="F240" s="617"/>
      <c r="G240" s="617"/>
      <c r="H240" s="617"/>
      <c r="I240" s="617"/>
      <c r="J240" s="617"/>
      <c r="K240" s="1693">
        <f>D240</f>
        <v>612</v>
      </c>
      <c r="L240" s="481">
        <v>465</v>
      </c>
    </row>
    <row r="241" spans="1:12" x14ac:dyDescent="0.2">
      <c r="A241" s="1525" t="s">
        <v>869</v>
      </c>
      <c r="B241" s="615">
        <v>2220</v>
      </c>
      <c r="C241" s="617"/>
      <c r="D241" s="466"/>
      <c r="E241" s="617"/>
      <c r="F241" s="617"/>
      <c r="G241" s="617"/>
      <c r="H241" s="617"/>
      <c r="I241" s="617"/>
      <c r="J241" s="617"/>
      <c r="K241" s="1693">
        <f>D241</f>
        <v>0</v>
      </c>
      <c r="L241" s="466">
        <v>0</v>
      </c>
    </row>
    <row r="242" spans="1:12" x14ac:dyDescent="0.2">
      <c r="A242" s="1525"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612</v>
      </c>
      <c r="E243" s="617"/>
      <c r="F243" s="617"/>
      <c r="G243" s="617"/>
      <c r="H243" s="617"/>
      <c r="I243" s="617"/>
      <c r="J243" s="617"/>
      <c r="K243" s="1691">
        <f>SUM(K240:K242)</f>
        <v>612</v>
      </c>
      <c r="L243" s="1691">
        <f>SUM(L240:L242)</f>
        <v>465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18</v>
      </c>
      <c r="E245" s="617"/>
      <c r="F245" s="617"/>
      <c r="G245" s="617"/>
      <c r="H245" s="617"/>
      <c r="I245" s="617"/>
      <c r="J245" s="617"/>
      <c r="K245" s="1693">
        <f>D245</f>
        <v>18</v>
      </c>
      <c r="L245" s="481">
        <v>479</v>
      </c>
    </row>
    <row r="246" spans="1:12" x14ac:dyDescent="0.2">
      <c r="A246" s="1525" t="s">
        <v>872</v>
      </c>
      <c r="B246" s="615">
        <v>2320</v>
      </c>
      <c r="C246" s="617"/>
      <c r="D246" s="466">
        <v>18015</v>
      </c>
      <c r="E246" s="617"/>
      <c r="F246" s="617"/>
      <c r="G246" s="617"/>
      <c r="H246" s="617"/>
      <c r="I246" s="617"/>
      <c r="J246" s="617"/>
      <c r="K246" s="1693">
        <f t="shared" ref="K246:K256" si="21">D246</f>
        <v>18015</v>
      </c>
      <c r="L246" s="466">
        <v>19673</v>
      </c>
    </row>
    <row r="247" spans="1:12" x14ac:dyDescent="0.2">
      <c r="A247" s="1525" t="s">
        <v>873</v>
      </c>
      <c r="B247" s="615">
        <v>2330</v>
      </c>
      <c r="C247" s="617"/>
      <c r="D247" s="466"/>
      <c r="E247" s="617"/>
      <c r="F247" s="617"/>
      <c r="G247" s="617"/>
      <c r="H247" s="617"/>
      <c r="I247" s="617"/>
      <c r="J247" s="617"/>
      <c r="K247" s="1693">
        <f t="shared" si="21"/>
        <v>0</v>
      </c>
      <c r="L247" s="466">
        <v>0</v>
      </c>
    </row>
    <row r="248" spans="1:12" x14ac:dyDescent="0.2">
      <c r="A248" s="1526" t="s">
        <v>317</v>
      </c>
      <c r="B248" s="603" t="s">
        <v>299</v>
      </c>
      <c r="C248" s="617"/>
      <c r="D248" s="474"/>
      <c r="E248" s="617"/>
      <c r="F248" s="617"/>
      <c r="G248" s="617"/>
      <c r="H248" s="617"/>
      <c r="I248" s="617"/>
      <c r="J248" s="617"/>
      <c r="K248" s="1693">
        <f t="shared" si="21"/>
        <v>0</v>
      </c>
      <c r="L248" s="466">
        <v>0</v>
      </c>
    </row>
    <row r="249" spans="1:12" x14ac:dyDescent="0.2">
      <c r="A249" s="1527" t="s">
        <v>1906</v>
      </c>
      <c r="B249" s="684" t="s">
        <v>300</v>
      </c>
      <c r="C249" s="617"/>
      <c r="D249" s="474"/>
      <c r="E249" s="617"/>
      <c r="F249" s="617"/>
      <c r="G249" s="617"/>
      <c r="H249" s="617"/>
      <c r="I249" s="617"/>
      <c r="J249" s="617"/>
      <c r="K249" s="1693">
        <f t="shared" si="21"/>
        <v>0</v>
      </c>
      <c r="L249" s="466">
        <v>0</v>
      </c>
    </row>
    <row r="250" spans="1:12" x14ac:dyDescent="0.2">
      <c r="A250" s="1526" t="s">
        <v>1907</v>
      </c>
      <c r="B250" s="603" t="s">
        <v>301</v>
      </c>
      <c r="C250" s="617"/>
      <c r="D250" s="474"/>
      <c r="E250" s="617"/>
      <c r="F250" s="617"/>
      <c r="G250" s="617"/>
      <c r="H250" s="617"/>
      <c r="I250" s="617"/>
      <c r="J250" s="617"/>
      <c r="K250" s="1693">
        <f t="shared" si="21"/>
        <v>0</v>
      </c>
      <c r="L250" s="466">
        <v>0</v>
      </c>
    </row>
    <row r="251" spans="1:12" x14ac:dyDescent="0.2">
      <c r="A251" s="1526" t="s">
        <v>256</v>
      </c>
      <c r="B251" s="603" t="s">
        <v>302</v>
      </c>
      <c r="C251" s="617"/>
      <c r="D251" s="474"/>
      <c r="E251" s="617"/>
      <c r="F251" s="617"/>
      <c r="G251" s="617"/>
      <c r="H251" s="617"/>
      <c r="I251" s="617"/>
      <c r="J251" s="617"/>
      <c r="K251" s="1693">
        <f t="shared" si="21"/>
        <v>0</v>
      </c>
      <c r="L251" s="466">
        <v>0</v>
      </c>
    </row>
    <row r="252" spans="1:12" x14ac:dyDescent="0.2">
      <c r="A252" s="1526" t="s">
        <v>726</v>
      </c>
      <c r="B252" s="603" t="s">
        <v>303</v>
      </c>
      <c r="C252" s="617"/>
      <c r="D252" s="474"/>
      <c r="E252" s="617"/>
      <c r="F252" s="617"/>
      <c r="G252" s="617"/>
      <c r="H252" s="617"/>
      <c r="I252" s="617"/>
      <c r="J252" s="617"/>
      <c r="K252" s="1693">
        <f t="shared" si="21"/>
        <v>0</v>
      </c>
      <c r="L252" s="466">
        <v>0</v>
      </c>
    </row>
    <row r="253" spans="1:12" x14ac:dyDescent="0.2">
      <c r="A253" s="1526" t="s">
        <v>257</v>
      </c>
      <c r="B253" s="603" t="s">
        <v>304</v>
      </c>
      <c r="C253" s="617"/>
      <c r="D253" s="474"/>
      <c r="E253" s="617"/>
      <c r="F253" s="617"/>
      <c r="G253" s="617"/>
      <c r="H253" s="617"/>
      <c r="I253" s="617"/>
      <c r="J253" s="617"/>
      <c r="K253" s="1693">
        <f t="shared" si="21"/>
        <v>0</v>
      </c>
      <c r="L253" s="466">
        <v>0</v>
      </c>
    </row>
    <row r="254" spans="1:12" ht="22.5" x14ac:dyDescent="0.2">
      <c r="A254" s="1526" t="s">
        <v>1087</v>
      </c>
      <c r="B254" s="684" t="s">
        <v>305</v>
      </c>
      <c r="C254" s="617"/>
      <c r="D254" s="474"/>
      <c r="E254" s="617"/>
      <c r="F254" s="617"/>
      <c r="G254" s="617"/>
      <c r="H254" s="617"/>
      <c r="I254" s="617"/>
      <c r="J254" s="617"/>
      <c r="K254" s="1693">
        <f t="shared" si="21"/>
        <v>0</v>
      </c>
      <c r="L254" s="466">
        <v>0</v>
      </c>
    </row>
    <row r="255" spans="1:12" x14ac:dyDescent="0.2">
      <c r="A255" s="1526" t="s">
        <v>1088</v>
      </c>
      <c r="B255" s="603" t="s">
        <v>306</v>
      </c>
      <c r="C255" s="617"/>
      <c r="D255" s="474"/>
      <c r="E255" s="617"/>
      <c r="F255" s="617"/>
      <c r="G255" s="617"/>
      <c r="H255" s="617"/>
      <c r="I255" s="617"/>
      <c r="J255" s="617"/>
      <c r="K255" s="1693">
        <f t="shared" si="21"/>
        <v>0</v>
      </c>
      <c r="L255" s="466">
        <v>0</v>
      </c>
    </row>
    <row r="256" spans="1:12" x14ac:dyDescent="0.2">
      <c r="A256" s="1526"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18033</v>
      </c>
      <c r="E257" s="617"/>
      <c r="F257" s="617"/>
      <c r="G257" s="617"/>
      <c r="H257" s="617"/>
      <c r="I257" s="617"/>
      <c r="J257" s="617"/>
      <c r="K257" s="1691">
        <f>SUM(K245:K256)</f>
        <v>18033</v>
      </c>
      <c r="L257" s="1691">
        <f>SUM(L245:L256)</f>
        <v>20152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40702</v>
      </c>
      <c r="E259" s="617"/>
      <c r="F259" s="617"/>
      <c r="G259" s="617"/>
      <c r="H259" s="617"/>
      <c r="I259" s="617"/>
      <c r="J259" s="617"/>
      <c r="K259" s="1693">
        <f>D259</f>
        <v>40702</v>
      </c>
      <c r="L259" s="481">
        <v>44702</v>
      </c>
    </row>
    <row r="260" spans="1:14" s="598" customFormat="1" x14ac:dyDescent="0.2">
      <c r="A260" s="1543" t="s">
        <v>1905</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40702</v>
      </c>
      <c r="E261" s="617"/>
      <c r="F261" s="617"/>
      <c r="G261" s="617"/>
      <c r="H261" s="617"/>
      <c r="I261" s="617"/>
      <c r="J261" s="617"/>
      <c r="K261" s="1691">
        <f>SUM(K259:K260)</f>
        <v>40702</v>
      </c>
      <c r="L261" s="1691">
        <f>SUM(L259:L260)</f>
        <v>44702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v>0</v>
      </c>
    </row>
    <row r="264" spans="1:14" x14ac:dyDescent="0.2">
      <c r="A264" s="1525" t="s">
        <v>483</v>
      </c>
      <c r="B264" s="686">
        <v>2520</v>
      </c>
      <c r="C264" s="617"/>
      <c r="D264" s="466">
        <v>28336</v>
      </c>
      <c r="E264" s="617"/>
      <c r="F264" s="617"/>
      <c r="G264" s="617"/>
      <c r="H264" s="617"/>
      <c r="I264" s="617"/>
      <c r="J264" s="617"/>
      <c r="K264" s="1693">
        <f t="shared" ref="K264:K269" si="22">D264</f>
        <v>28336</v>
      </c>
      <c r="L264" s="466">
        <v>27920</v>
      </c>
    </row>
    <row r="265" spans="1:14" x14ac:dyDescent="0.2">
      <c r="A265" s="1525" t="s">
        <v>4</v>
      </c>
      <c r="B265" s="615">
        <v>2530</v>
      </c>
      <c r="C265" s="617"/>
      <c r="D265" s="466"/>
      <c r="E265" s="617"/>
      <c r="F265" s="617"/>
      <c r="G265" s="617"/>
      <c r="H265" s="617"/>
      <c r="I265" s="617"/>
      <c r="J265" s="617"/>
      <c r="K265" s="1693">
        <f t="shared" si="22"/>
        <v>0</v>
      </c>
      <c r="L265" s="466">
        <v>0</v>
      </c>
    </row>
    <row r="266" spans="1:14" x14ac:dyDescent="0.2">
      <c r="A266" s="1525" t="s">
        <v>206</v>
      </c>
      <c r="B266" s="615">
        <v>2540</v>
      </c>
      <c r="C266" s="617"/>
      <c r="D266" s="466">
        <v>127110</v>
      </c>
      <c r="E266" s="617"/>
      <c r="F266" s="617"/>
      <c r="G266" s="617"/>
      <c r="H266" s="617"/>
      <c r="I266" s="617"/>
      <c r="J266" s="617"/>
      <c r="K266" s="1693">
        <f t="shared" si="22"/>
        <v>127110</v>
      </c>
      <c r="L266" s="466">
        <v>78418</v>
      </c>
    </row>
    <row r="267" spans="1:14" x14ac:dyDescent="0.2">
      <c r="A267" s="1525" t="s">
        <v>1010</v>
      </c>
      <c r="B267" s="615">
        <v>2550</v>
      </c>
      <c r="C267" s="617"/>
      <c r="D267" s="466"/>
      <c r="E267" s="617"/>
      <c r="F267" s="617"/>
      <c r="G267" s="617"/>
      <c r="H267" s="617"/>
      <c r="I267" s="617"/>
      <c r="J267" s="617"/>
      <c r="K267" s="1693">
        <f t="shared" si="22"/>
        <v>0</v>
      </c>
      <c r="L267" s="466">
        <v>0</v>
      </c>
    </row>
    <row r="268" spans="1:14" x14ac:dyDescent="0.2">
      <c r="A268" s="1525" t="s">
        <v>102</v>
      </c>
      <c r="B268" s="615">
        <v>2560</v>
      </c>
      <c r="C268" s="617"/>
      <c r="D268" s="466">
        <v>83172</v>
      </c>
      <c r="E268" s="617"/>
      <c r="F268" s="617"/>
      <c r="G268" s="617"/>
      <c r="H268" s="617"/>
      <c r="I268" s="617"/>
      <c r="J268" s="617"/>
      <c r="K268" s="1693">
        <f t="shared" si="22"/>
        <v>83172</v>
      </c>
      <c r="L268" s="466">
        <v>77957</v>
      </c>
    </row>
    <row r="269" spans="1:14" x14ac:dyDescent="0.2">
      <c r="A269" s="1525"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238618</v>
      </c>
      <c r="E270" s="617"/>
      <c r="F270" s="617"/>
      <c r="G270" s="617"/>
      <c r="H270" s="617"/>
      <c r="I270" s="617"/>
      <c r="J270" s="617"/>
      <c r="K270" s="1691">
        <f>SUM(K263:K269)</f>
        <v>238618</v>
      </c>
      <c r="L270" s="1691">
        <f>SUM(L263:L269)</f>
        <v>184295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v>0</v>
      </c>
    </row>
    <row r="273" spans="1:12" x14ac:dyDescent="0.2">
      <c r="A273" s="1525" t="s">
        <v>628</v>
      </c>
      <c r="B273" s="629">
        <v>2620</v>
      </c>
      <c r="C273" s="617"/>
      <c r="D273" s="466"/>
      <c r="E273" s="617"/>
      <c r="F273" s="617"/>
      <c r="G273" s="617"/>
      <c r="H273" s="617"/>
      <c r="I273" s="617"/>
      <c r="J273" s="617"/>
      <c r="K273" s="1693">
        <f>D273</f>
        <v>0</v>
      </c>
      <c r="L273" s="466">
        <v>0</v>
      </c>
    </row>
    <row r="274" spans="1:12" ht="12" customHeight="1" x14ac:dyDescent="0.2">
      <c r="A274" s="1525" t="s">
        <v>1121</v>
      </c>
      <c r="B274" s="615">
        <v>2630</v>
      </c>
      <c r="C274" s="617"/>
      <c r="D274" s="466"/>
      <c r="E274" s="617"/>
      <c r="F274" s="617"/>
      <c r="G274" s="617"/>
      <c r="H274" s="617"/>
      <c r="I274" s="617"/>
      <c r="J274" s="617"/>
      <c r="K274" s="1693">
        <f>D274</f>
        <v>0</v>
      </c>
      <c r="L274" s="466">
        <v>0</v>
      </c>
    </row>
    <row r="275" spans="1:12" x14ac:dyDescent="0.2">
      <c r="A275" s="1525" t="s">
        <v>423</v>
      </c>
      <c r="B275" s="615">
        <v>2640</v>
      </c>
      <c r="C275" s="617"/>
      <c r="D275" s="466"/>
      <c r="E275" s="617"/>
      <c r="F275" s="617"/>
      <c r="G275" s="617"/>
      <c r="H275" s="617"/>
      <c r="I275" s="617"/>
      <c r="J275" s="617"/>
      <c r="K275" s="1693">
        <f>D275</f>
        <v>0</v>
      </c>
      <c r="L275" s="466">
        <v>0</v>
      </c>
    </row>
    <row r="276" spans="1:12" x14ac:dyDescent="0.2">
      <c r="A276" s="1525"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v>1</v>
      </c>
      <c r="E278" s="617"/>
      <c r="F278" s="617"/>
      <c r="G278" s="617"/>
      <c r="H278" s="617"/>
      <c r="I278" s="617"/>
      <c r="J278" s="617"/>
      <c r="K278" s="1706">
        <f>D278</f>
        <v>1</v>
      </c>
      <c r="L278" s="657">
        <v>0</v>
      </c>
    </row>
    <row r="279" spans="1:12" ht="12.75" customHeight="1" thickBot="1" x14ac:dyDescent="0.25">
      <c r="A279" s="1719" t="s">
        <v>865</v>
      </c>
      <c r="B279" s="1702">
        <v>2000</v>
      </c>
      <c r="C279" s="617"/>
      <c r="D279" s="1698">
        <f>SUM(D238,D243,D257,D261,D270,D277,D278)</f>
        <v>315034</v>
      </c>
      <c r="E279" s="617"/>
      <c r="F279" s="617"/>
      <c r="G279" s="617"/>
      <c r="H279" s="617"/>
      <c r="I279" s="617"/>
      <c r="J279" s="617"/>
      <c r="K279" s="1698">
        <f>SUM(K238,K243,K257,K261,K270,K277,K278)</f>
        <v>315034</v>
      </c>
      <c r="L279" s="1698">
        <f>SUM(L238,L243,L257,L261,L270,L277,L278)</f>
        <v>270204</v>
      </c>
    </row>
    <row r="280" spans="1:12" ht="15.75" customHeight="1" thickTop="1" thickBot="1" x14ac:dyDescent="0.25">
      <c r="A280" s="1645" t="s">
        <v>930</v>
      </c>
      <c r="B280" s="1634">
        <v>3000</v>
      </c>
      <c r="C280" s="617"/>
      <c r="D280" s="576"/>
      <c r="E280" s="617"/>
      <c r="F280" s="617"/>
      <c r="G280" s="617"/>
      <c r="H280" s="617"/>
      <c r="I280" s="617"/>
      <c r="J280" s="617"/>
      <c r="K280" s="1700">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1955</v>
      </c>
      <c r="C282" s="617"/>
      <c r="D282" s="467"/>
      <c r="E282" s="617"/>
      <c r="F282" s="617"/>
      <c r="G282" s="617"/>
      <c r="H282" s="617"/>
      <c r="I282" s="617"/>
      <c r="J282" s="617"/>
      <c r="K282" s="1692">
        <f>D282</f>
        <v>0</v>
      </c>
      <c r="L282" s="467">
        <v>0</v>
      </c>
    </row>
    <row r="283" spans="1:12" x14ac:dyDescent="0.2">
      <c r="A283" s="1525" t="s">
        <v>322</v>
      </c>
      <c r="B283" s="615">
        <v>4120</v>
      </c>
      <c r="C283" s="617"/>
      <c r="D283" s="466"/>
      <c r="E283" s="617"/>
      <c r="F283" s="617"/>
      <c r="G283" s="617"/>
      <c r="H283" s="617"/>
      <c r="I283" s="617"/>
      <c r="J283" s="617"/>
      <c r="K283" s="1692">
        <f>D283</f>
        <v>0</v>
      </c>
      <c r="L283" s="466">
        <v>0</v>
      </c>
    </row>
    <row r="284" spans="1:12" x14ac:dyDescent="0.2">
      <c r="A284" s="1525"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v>0</v>
      </c>
    </row>
    <row r="289" spans="1:14" x14ac:dyDescent="0.2">
      <c r="A289" s="1525" t="s">
        <v>90</v>
      </c>
      <c r="B289" s="615">
        <v>5120</v>
      </c>
      <c r="C289" s="617"/>
      <c r="D289" s="617"/>
      <c r="E289" s="617"/>
      <c r="F289" s="617"/>
      <c r="G289" s="617"/>
      <c r="H289" s="466"/>
      <c r="I289" s="617"/>
      <c r="J289" s="617"/>
      <c r="K289" s="1692">
        <f>H289</f>
        <v>0</v>
      </c>
      <c r="L289" s="466">
        <v>0</v>
      </c>
    </row>
    <row r="290" spans="1:14" ht="12.75" customHeight="1" x14ac:dyDescent="0.2">
      <c r="A290" s="1525" t="s">
        <v>1232</v>
      </c>
      <c r="B290" s="629" t="s">
        <v>638</v>
      </c>
      <c r="C290" s="617"/>
      <c r="D290" s="617"/>
      <c r="E290" s="617"/>
      <c r="F290" s="617"/>
      <c r="G290" s="617"/>
      <c r="H290" s="466"/>
      <c r="I290" s="617"/>
      <c r="J290" s="617"/>
      <c r="K290" s="1692">
        <f>H290</f>
        <v>0</v>
      </c>
      <c r="L290" s="466">
        <v>0</v>
      </c>
    </row>
    <row r="291" spans="1:14" x14ac:dyDescent="0.2">
      <c r="A291" s="1525" t="s">
        <v>91</v>
      </c>
      <c r="B291" s="615" t="s">
        <v>610</v>
      </c>
      <c r="C291" s="617"/>
      <c r="D291" s="617"/>
      <c r="E291" s="617"/>
      <c r="F291" s="617"/>
      <c r="G291" s="617"/>
      <c r="H291" s="466"/>
      <c r="I291" s="617"/>
      <c r="J291" s="617"/>
      <c r="K291" s="1692">
        <f>H291</f>
        <v>0</v>
      </c>
      <c r="L291" s="466">
        <v>0</v>
      </c>
    </row>
    <row r="292" spans="1:14" x14ac:dyDescent="0.2">
      <c r="A292" s="1525"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1">
        <f>SUM(D229,D279,D280,D285)</f>
        <v>591450</v>
      </c>
      <c r="E295" s="617"/>
      <c r="F295" s="617"/>
      <c r="G295" s="617"/>
      <c r="H295" s="1691">
        <f>H293</f>
        <v>0</v>
      </c>
      <c r="I295" s="617"/>
      <c r="J295" s="617"/>
      <c r="K295" s="1691">
        <f>SUM(K229,K279,K280,K285,K293,K294)</f>
        <v>591450</v>
      </c>
      <c r="L295" s="1691">
        <f>SUM(L229,L279,L280,L285,L293,L294)</f>
        <v>632843</v>
      </c>
    </row>
    <row r="296" spans="1:14" ht="13.5" thickTop="1" x14ac:dyDescent="0.2">
      <c r="A296" s="2201" t="s">
        <v>1053</v>
      </c>
      <c r="B296" s="2202"/>
      <c r="C296" s="617"/>
      <c r="D296" s="619"/>
      <c r="E296" s="617"/>
      <c r="F296" s="617"/>
      <c r="G296" s="617"/>
      <c r="H296" s="688"/>
      <c r="I296" s="617"/>
      <c r="J296" s="617"/>
      <c r="K296" s="1705">
        <f>'Revenues 9-14'!G275-'Expenditures 15-22'!K295</f>
        <v>140421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1456386</v>
      </c>
      <c r="H301" s="466"/>
      <c r="I301" s="467"/>
      <c r="J301" s="467"/>
      <c r="K301" s="1692">
        <f>SUM(C301:J301)</f>
        <v>1456386</v>
      </c>
      <c r="L301" s="467">
        <v>5500000</v>
      </c>
    </row>
    <row r="302" spans="1:14" ht="13.5" customHeight="1" x14ac:dyDescent="0.2">
      <c r="A302" s="1538" t="s">
        <v>1037</v>
      </c>
      <c r="B302" s="615" t="s">
        <v>595</v>
      </c>
      <c r="C302" s="466"/>
      <c r="D302" s="466"/>
      <c r="E302" s="466">
        <v>20</v>
      </c>
      <c r="F302" s="466"/>
      <c r="G302" s="466"/>
      <c r="H302" s="466"/>
      <c r="I302" s="467"/>
      <c r="J302" s="467"/>
      <c r="K302" s="1692">
        <f>SUM(C302:J302)</f>
        <v>20</v>
      </c>
      <c r="L302" s="466">
        <v>0</v>
      </c>
    </row>
    <row r="303" spans="1:14" ht="12.75" customHeight="1" thickBot="1" x14ac:dyDescent="0.25">
      <c r="A303" s="1689" t="s">
        <v>865</v>
      </c>
      <c r="B303" s="1690" t="s">
        <v>590</v>
      </c>
      <c r="C303" s="1698">
        <f>SUM(C301:C302)</f>
        <v>0</v>
      </c>
      <c r="D303" s="1698">
        <f t="shared" ref="D303:L303" si="23">SUM(D301:D302)</f>
        <v>0</v>
      </c>
      <c r="E303" s="1698">
        <f t="shared" si="23"/>
        <v>20</v>
      </c>
      <c r="F303" s="1698">
        <f t="shared" si="23"/>
        <v>0</v>
      </c>
      <c r="G303" s="1698">
        <f t="shared" si="23"/>
        <v>1456386</v>
      </c>
      <c r="H303" s="1698">
        <f t="shared" si="23"/>
        <v>0</v>
      </c>
      <c r="I303" s="1698">
        <f t="shared" si="23"/>
        <v>0</v>
      </c>
      <c r="J303" s="1698">
        <f t="shared" si="23"/>
        <v>0</v>
      </c>
      <c r="K303" s="1698">
        <f t="shared" si="23"/>
        <v>1456406</v>
      </c>
      <c r="L303" s="1698">
        <f t="shared" si="23"/>
        <v>5500000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92">
        <f>SUM(E306,H306)</f>
        <v>0</v>
      </c>
      <c r="L306" s="467">
        <v>0</v>
      </c>
    </row>
    <row r="307" spans="1:14" x14ac:dyDescent="0.2">
      <c r="A307" s="1525" t="s">
        <v>322</v>
      </c>
      <c r="B307" s="615">
        <v>4120</v>
      </c>
      <c r="C307" s="617"/>
      <c r="D307" s="617"/>
      <c r="E307" s="467"/>
      <c r="F307" s="617"/>
      <c r="G307" s="617"/>
      <c r="H307" s="467"/>
      <c r="I307" s="477"/>
      <c r="J307" s="617"/>
      <c r="K307" s="1692">
        <f>SUM(E307,H307)</f>
        <v>0</v>
      </c>
      <c r="L307" s="466">
        <v>0</v>
      </c>
    </row>
    <row r="308" spans="1:14" x14ac:dyDescent="0.2">
      <c r="A308" s="1525" t="s">
        <v>721</v>
      </c>
      <c r="B308" s="615">
        <v>4140</v>
      </c>
      <c r="C308" s="617"/>
      <c r="D308" s="617"/>
      <c r="E308" s="467"/>
      <c r="F308" s="617"/>
      <c r="G308" s="617"/>
      <c r="H308" s="467"/>
      <c r="I308" s="477"/>
      <c r="J308" s="617"/>
      <c r="K308" s="1692">
        <f>SUM(E308,H308)</f>
        <v>0</v>
      </c>
      <c r="L308" s="466">
        <v>0</v>
      </c>
    </row>
    <row r="309" spans="1:14" ht="12.75" customHeight="1" x14ac:dyDescent="0.2">
      <c r="A309" s="1529"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1">
        <f>SUM(C303)</f>
        <v>0</v>
      </c>
      <c r="D312" s="1691">
        <f>SUM(D303)</f>
        <v>0</v>
      </c>
      <c r="E312" s="1691">
        <f>SUM(E303,E310)</f>
        <v>20</v>
      </c>
      <c r="F312" s="1691">
        <f>SUM(F303)</f>
        <v>0</v>
      </c>
      <c r="G312" s="1691">
        <f>SUM(G303)</f>
        <v>1456386</v>
      </c>
      <c r="H312" s="1691">
        <f>SUM(H303,H310)</f>
        <v>0</v>
      </c>
      <c r="I312" s="1691">
        <f>SUM(I303)</f>
        <v>0</v>
      </c>
      <c r="J312" s="1691">
        <f>SUM(J303)</f>
        <v>0</v>
      </c>
      <c r="K312" s="1691">
        <f>SUM(K303,K310,K311)</f>
        <v>1456406</v>
      </c>
      <c r="L312" s="1691">
        <f>SUM(L303,L310,L311)</f>
        <v>5500000</v>
      </c>
      <c r="M312" s="666"/>
      <c r="N312" s="666"/>
    </row>
    <row r="313" spans="1:14" ht="13.5" thickTop="1" x14ac:dyDescent="0.2">
      <c r="A313" s="2185" t="s">
        <v>1053</v>
      </c>
      <c r="B313" s="2186"/>
      <c r="C313" s="627"/>
      <c r="D313" s="627"/>
      <c r="E313" s="627"/>
      <c r="F313" s="627"/>
      <c r="G313" s="627"/>
      <c r="H313" s="627"/>
      <c r="I313" s="627"/>
      <c r="J313" s="627"/>
      <c r="K313" s="1706">
        <f>'Revenues 9-14'!H275-'Expenditures 15-22'!K312</f>
        <v>-1387821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4" t="s">
        <v>1906</v>
      </c>
      <c r="B320" s="699" t="s">
        <v>300</v>
      </c>
      <c r="C320" s="467"/>
      <c r="D320" s="467"/>
      <c r="E320" s="467">
        <v>253579</v>
      </c>
      <c r="F320" s="467"/>
      <c r="G320" s="467"/>
      <c r="H320" s="467"/>
      <c r="I320" s="467"/>
      <c r="J320" s="467"/>
      <c r="K320" s="1692">
        <f t="shared" ref="K320:K327" si="24">SUM(C320:J320)</f>
        <v>253579</v>
      </c>
      <c r="L320" s="467">
        <v>250658</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15000</v>
      </c>
      <c r="M321" s="666"/>
      <c r="N321" s="666"/>
    </row>
    <row r="322" spans="1:14" s="675" customFormat="1" x14ac:dyDescent="0.2">
      <c r="A322" s="1540" t="s">
        <v>256</v>
      </c>
      <c r="B322" s="698" t="s">
        <v>302</v>
      </c>
      <c r="C322" s="467"/>
      <c r="D322" s="467"/>
      <c r="E322" s="467">
        <v>10061</v>
      </c>
      <c r="F322" s="467"/>
      <c r="G322" s="467"/>
      <c r="H322" s="467"/>
      <c r="I322" s="467"/>
      <c r="J322" s="467"/>
      <c r="K322" s="1692">
        <f t="shared" si="24"/>
        <v>10061</v>
      </c>
      <c r="L322" s="467">
        <v>4561</v>
      </c>
      <c r="M322" s="666"/>
      <c r="N322" s="666"/>
    </row>
    <row r="323" spans="1:14" s="675" customFormat="1" x14ac:dyDescent="0.2">
      <c r="A323" s="1540" t="s">
        <v>726</v>
      </c>
      <c r="B323" s="698" t="s">
        <v>303</v>
      </c>
      <c r="C323" s="467"/>
      <c r="D323" s="467"/>
      <c r="E323" s="467">
        <v>9189</v>
      </c>
      <c r="F323" s="467"/>
      <c r="G323" s="467"/>
      <c r="H323" s="467"/>
      <c r="I323" s="467"/>
      <c r="J323" s="467"/>
      <c r="K323" s="1692">
        <f t="shared" si="24"/>
        <v>9189</v>
      </c>
      <c r="L323" s="467">
        <v>10000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0" t="s">
        <v>1087</v>
      </c>
      <c r="B325" s="699" t="s">
        <v>305</v>
      </c>
      <c r="C325" s="467">
        <v>40223</v>
      </c>
      <c r="D325" s="467">
        <v>3942</v>
      </c>
      <c r="E325" s="467"/>
      <c r="F325" s="467"/>
      <c r="G325" s="467"/>
      <c r="H325" s="467"/>
      <c r="I325" s="467"/>
      <c r="J325" s="467"/>
      <c r="K325" s="1692">
        <f t="shared" si="24"/>
        <v>44165</v>
      </c>
      <c r="L325" s="467">
        <v>76000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0" t="s">
        <v>1028</v>
      </c>
      <c r="B327" s="698" t="s">
        <v>307</v>
      </c>
      <c r="C327" s="467"/>
      <c r="D327" s="467"/>
      <c r="E327" s="467">
        <v>21349</v>
      </c>
      <c r="F327" s="467"/>
      <c r="G327" s="467"/>
      <c r="H327" s="467"/>
      <c r="I327" s="467"/>
      <c r="J327" s="467"/>
      <c r="K327" s="1692">
        <f t="shared" si="24"/>
        <v>21349</v>
      </c>
      <c r="L327" s="467">
        <v>10000</v>
      </c>
      <c r="M327" s="666"/>
      <c r="N327" s="666"/>
    </row>
    <row r="328" spans="1:14" s="675" customFormat="1" x14ac:dyDescent="0.2">
      <c r="A328" s="1541" t="s">
        <v>492</v>
      </c>
      <c r="B328" s="691" t="s">
        <v>1194</v>
      </c>
      <c r="C328" s="474"/>
      <c r="D328" s="474"/>
      <c r="E328" s="474">
        <v>83468</v>
      </c>
      <c r="F328" s="474"/>
      <c r="G328" s="474"/>
      <c r="H328" s="474"/>
      <c r="I328" s="474"/>
      <c r="J328" s="474"/>
      <c r="K328" s="1720">
        <f>SUM(C328:J328)</f>
        <v>83468</v>
      </c>
      <c r="L328" s="474">
        <v>85000</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40223</v>
      </c>
      <c r="D330" s="1691">
        <f t="shared" ref="D330:J330" si="25">SUM(D319:D329)</f>
        <v>3942</v>
      </c>
      <c r="E330" s="1691">
        <f t="shared" si="25"/>
        <v>377646</v>
      </c>
      <c r="F330" s="1691">
        <f t="shared" si="25"/>
        <v>0</v>
      </c>
      <c r="G330" s="1691">
        <f t="shared" si="25"/>
        <v>0</v>
      </c>
      <c r="H330" s="1691">
        <f t="shared" si="25"/>
        <v>0</v>
      </c>
      <c r="I330" s="1691">
        <f t="shared" si="25"/>
        <v>0</v>
      </c>
      <c r="J330" s="1691">
        <f t="shared" si="25"/>
        <v>0</v>
      </c>
      <c r="K330" s="1691">
        <f>SUM(K319:K329)</f>
        <v>421811</v>
      </c>
      <c r="L330" s="1691">
        <f>SUM(L319:L329)</f>
        <v>451219</v>
      </c>
      <c r="M330" s="666"/>
      <c r="N330" s="666"/>
    </row>
    <row r="331" spans="1:14" s="675" customFormat="1" ht="12.75" customHeight="1" thickTop="1" x14ac:dyDescent="0.2">
      <c r="A331" s="1853" t="s">
        <v>1961</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1955</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1957</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1962</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v>0</v>
      </c>
    </row>
    <row r="338" spans="1:14" ht="12.75" customHeight="1" x14ac:dyDescent="0.2">
      <c r="A338" s="1539" t="s">
        <v>1232</v>
      </c>
      <c r="B338" s="691" t="s">
        <v>638</v>
      </c>
      <c r="C338" s="639"/>
      <c r="D338" s="639"/>
      <c r="E338" s="639"/>
      <c r="F338" s="639"/>
      <c r="G338" s="639"/>
      <c r="H338" s="478"/>
      <c r="I338" s="639"/>
      <c r="J338" s="639"/>
      <c r="K338" s="1692">
        <f>H338</f>
        <v>0</v>
      </c>
      <c r="L338" s="478">
        <v>0</v>
      </c>
    </row>
    <row r="339" spans="1:14" x14ac:dyDescent="0.2">
      <c r="A339" s="1525"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40223</v>
      </c>
      <c r="D342" s="1691">
        <f>SUM(D330)</f>
        <v>3942</v>
      </c>
      <c r="E342" s="1691">
        <f>SUM(E330)</f>
        <v>377646</v>
      </c>
      <c r="F342" s="1691">
        <f>SUM(F330)</f>
        <v>0</v>
      </c>
      <c r="G342" s="1691">
        <f>SUM(G330)</f>
        <v>0</v>
      </c>
      <c r="H342" s="1691">
        <f>SUM(H330,H334,H340)</f>
        <v>0</v>
      </c>
      <c r="I342" s="1691">
        <f>SUM(I330)</f>
        <v>0</v>
      </c>
      <c r="J342" s="1691">
        <f>SUM(J330)</f>
        <v>0</v>
      </c>
      <c r="K342" s="1691">
        <f>SUM(K330,K334,K340)</f>
        <v>421811</v>
      </c>
      <c r="L342" s="1698">
        <f>SUM(L330,L340,L341)</f>
        <v>451219</v>
      </c>
    </row>
    <row r="343" spans="1:14" ht="12.75" customHeight="1" thickTop="1" x14ac:dyDescent="0.2">
      <c r="A343" s="2187" t="s">
        <v>1053</v>
      </c>
      <c r="B343" s="2188"/>
      <c r="C343" s="617"/>
      <c r="D343" s="617"/>
      <c r="E343" s="617"/>
      <c r="F343" s="617"/>
      <c r="G343" s="617"/>
      <c r="H343" s="617"/>
      <c r="I343" s="617"/>
      <c r="J343" s="617"/>
      <c r="K343" s="1705">
        <f>'Revenues 9-14'!J275-'Expenditures 15-22'!K342</f>
        <v>25750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v>24622</v>
      </c>
      <c r="F348" s="466"/>
      <c r="G348" s="466"/>
      <c r="H348" s="466"/>
      <c r="I348" s="467"/>
      <c r="J348" s="467"/>
      <c r="K348" s="1692">
        <f>SUM(C348:J348)</f>
        <v>24622</v>
      </c>
      <c r="L348" s="466">
        <v>24700</v>
      </c>
    </row>
    <row r="349" spans="1:14" x14ac:dyDescent="0.2">
      <c r="A349" s="1525"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24622</v>
      </c>
      <c r="F350" s="1691">
        <f t="shared" si="26"/>
        <v>0</v>
      </c>
      <c r="G350" s="1691">
        <f t="shared" si="26"/>
        <v>0</v>
      </c>
      <c r="H350" s="1691">
        <f t="shared" si="26"/>
        <v>0</v>
      </c>
      <c r="I350" s="1691">
        <f t="shared" si="26"/>
        <v>0</v>
      </c>
      <c r="J350" s="1691">
        <f t="shared" si="26"/>
        <v>0</v>
      </c>
      <c r="K350" s="1691">
        <f t="shared" si="26"/>
        <v>24622</v>
      </c>
      <c r="L350" s="1691">
        <f t="shared" si="26"/>
        <v>24700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24622</v>
      </c>
      <c r="F352" s="1691">
        <f t="shared" si="27"/>
        <v>0</v>
      </c>
      <c r="G352" s="1691">
        <f t="shared" si="27"/>
        <v>0</v>
      </c>
      <c r="H352" s="1691">
        <f t="shared" si="27"/>
        <v>0</v>
      </c>
      <c r="I352" s="1691">
        <f t="shared" si="27"/>
        <v>0</v>
      </c>
      <c r="J352" s="1691">
        <f t="shared" si="27"/>
        <v>0</v>
      </c>
      <c r="K352" s="1691">
        <f t="shared" si="27"/>
        <v>24622</v>
      </c>
      <c r="L352" s="1691">
        <f t="shared" si="27"/>
        <v>24700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v>0</v>
      </c>
    </row>
    <row r="355" spans="1:14" ht="12.75" customHeight="1" x14ac:dyDescent="0.2">
      <c r="A355" s="1534" t="s">
        <v>1964</v>
      </c>
      <c r="B355" s="691" t="s">
        <v>1957</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v>0</v>
      </c>
    </row>
    <row r="361" spans="1:14" ht="12.75" customHeight="1" x14ac:dyDescent="0.2">
      <c r="A361" s="1526"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24622</v>
      </c>
      <c r="F367" s="1691">
        <f t="shared" si="28"/>
        <v>0</v>
      </c>
      <c r="G367" s="1691">
        <f t="shared" si="28"/>
        <v>0</v>
      </c>
      <c r="H367" s="1691">
        <f t="shared" si="28"/>
        <v>0</v>
      </c>
      <c r="I367" s="1691">
        <f t="shared" si="28"/>
        <v>0</v>
      </c>
      <c r="J367" s="1691">
        <f t="shared" si="28"/>
        <v>0</v>
      </c>
      <c r="K367" s="1691">
        <f t="shared" si="28"/>
        <v>24622</v>
      </c>
      <c r="L367" s="1691">
        <f t="shared" si="28"/>
        <v>24700</v>
      </c>
    </row>
    <row r="368" spans="1:14" ht="13.5" thickTop="1" x14ac:dyDescent="0.2">
      <c r="A368" s="2201" t="s">
        <v>1053</v>
      </c>
      <c r="B368" s="2202"/>
      <c r="C368" s="655"/>
      <c r="D368" s="655"/>
      <c r="E368" s="627"/>
      <c r="F368" s="627"/>
      <c r="G368" s="627"/>
      <c r="H368" s="627"/>
      <c r="I368" s="627"/>
      <c r="J368" s="624"/>
      <c r="K368" s="1692">
        <f>'Revenues 9-14'!K275-'Expenditures 15-22'!K367</f>
        <v>65728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6ce3111e-7420-4802-b50a-75d4e9a0b980"/>
    <ds:schemaRef ds:uri="http://www.w3.org/XML/1998/namespace"/>
    <ds:schemaRef ds:uri="http://schemas.microsoft.com/office/2006/documentManagement/types"/>
    <ds:schemaRef ds:uri="http://purl.org/dc/dcmitype/"/>
    <ds:schemaRef ds:uri="4d435f69-8686-490b-bd6d-b153bf22ab50"/>
    <ds:schemaRef ds:uri="http://purl.org/dc/elements/1.1/"/>
    <ds:schemaRef ds:uri="http://purl.org/dc/terms/"/>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2018-10-09T14:04:49Z</cp:lastPrinted>
  <dcterms:created xsi:type="dcterms:W3CDTF">2003-10-29T19:06:34Z</dcterms:created>
  <dcterms:modified xsi:type="dcterms:W3CDTF">2018-10-30T15:30:29Z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Mt.Vernon City Schools District 80</vt:lpwstr>
  </property>
  <property fmtid="{D5CDD505-2E9C-101B-9397-08002B2CF9AE}" pid="6" name="PPC_Template_Engagement_Date">
    <vt:lpwstr>6/30/2018</vt:lpwstr>
  </property>
</Properties>
</file>