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SF&amp;QC Sec-1 37" sheetId="174" r:id="rId24"/>
    <sheet name="SF&amp;QC Sec-2 38" sheetId="175" r:id="rId25"/>
    <sheet name="SF&amp;QC Sec-2 (2) 39" sheetId="183" r:id="rId26"/>
    <sheet name="SSPAF 40" sheetId="177" r:id="rId27"/>
    <sheet name="AUDITCHECK" sheetId="36" r:id="rId28"/>
    <sheet name="Single Audit Cover" sheetId="169" r:id="rId29"/>
    <sheet name="Single Audit Checklist" sheetId="170" r:id="rId30"/>
    <sheet name="SEFA Reconcile" sheetId="171" r:id="rId31"/>
    <sheet name="SEFA NOTES" sheetId="173" r:id="rId32"/>
    <sheet name=" SEFA" sheetId="179" r:id="rId33"/>
    <sheet name="SF&amp;QC Sec-3" sheetId="176" r:id="rId34"/>
  </sheets>
  <definedNames>
    <definedName name="_xlnm.Print_Area" localSheetId="32">' SEFA'!$B$1:$M$46</definedName>
    <definedName name="_xlnm.Print_Area" localSheetId="31">'SEFA NOTES'!$A$1:$F$52</definedName>
    <definedName name="_xlnm.Print_Area" localSheetId="30">'SEFA Reconcile'!$A$1:$E$49</definedName>
    <definedName name="_xlnm.Print_Area" localSheetId="23">'SF&amp;QC Sec-1 37'!$A$1:$J$63</definedName>
    <definedName name="_xlnm.Print_Area" localSheetId="33">'SF&amp;QC Sec-3'!$A$1:$K$52</definedName>
    <definedName name="_xlnm.Print_Area" localSheetId="29">'Single Audit Checklist'!$A$1:$D$124</definedName>
    <definedName name="_xlnm.Print_Area" localSheetId="28">'Single Audit Cover'!$A$1:$L$52</definedName>
    <definedName name="_xlnm.Print_Titles" localSheetId="6">'Acct Summary 7-8'!$A:$B,'Acct Summary 7-8'!$1:$2</definedName>
    <definedName name="_xlnm.Print_Titles" localSheetId="5">'Assets-Liab 5-6'!$A:$B,'Assets-Liab 5-6'!$1:$2</definedName>
    <definedName name="_xlnm.Print_Titles" localSheetId="27">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9">'Single Audit Checklist'!$1:$4</definedName>
    <definedName name="SCHADDRS" localSheetId="32">#REF!</definedName>
    <definedName name="SCHADDRS" localSheetId="17">#REF!</definedName>
    <definedName name="SCHADDRS" localSheetId="21">#REF!</definedName>
    <definedName name="SCHADDRS" localSheetId="4">#REF!</definedName>
    <definedName name="SCHADDRS" localSheetId="31">#REF!</definedName>
    <definedName name="SCHADDRS" localSheetId="30">#REF!</definedName>
    <definedName name="SCHADDRS" localSheetId="23">#REF!</definedName>
    <definedName name="SCHADDRS" localSheetId="25">#REF!</definedName>
    <definedName name="SCHADDRS" localSheetId="24">#REF!</definedName>
    <definedName name="SCHADDRS" localSheetId="33">#REF!</definedName>
    <definedName name="SCHADDRS" localSheetId="29">#REF!</definedName>
    <definedName name="SCHADDRS" localSheetId="28">#REF!</definedName>
    <definedName name="SCHADDRS" localSheetId="26">#REF!</definedName>
    <definedName name="SCHADDRS">#REF!</definedName>
    <definedName name="SCHCTY" localSheetId="32">#REF!</definedName>
    <definedName name="SCHCTY" localSheetId="17">#REF!</definedName>
    <definedName name="SCHCTY" localSheetId="21">#REF!</definedName>
    <definedName name="SCHCTY" localSheetId="4">#REF!</definedName>
    <definedName name="SCHCTY" localSheetId="31">#REF!</definedName>
    <definedName name="SCHCTY" localSheetId="30">#REF!</definedName>
    <definedName name="SCHCTY" localSheetId="23">#REF!</definedName>
    <definedName name="SCHCTY" localSheetId="25">#REF!</definedName>
    <definedName name="SCHCTY" localSheetId="24">#REF!</definedName>
    <definedName name="SCHCTY" localSheetId="33">#REF!</definedName>
    <definedName name="SCHCTY" localSheetId="29">#REF!</definedName>
    <definedName name="SCHCTY" localSheetId="28">#REF!</definedName>
    <definedName name="SCHCTY" localSheetId="26">#REF!</definedName>
    <definedName name="SCHCTY">#REF!</definedName>
    <definedName name="SCHNMBR" localSheetId="32">#REF!</definedName>
    <definedName name="SCHNMBR" localSheetId="17">#REF!</definedName>
    <definedName name="SCHNMBR" localSheetId="21">#REF!</definedName>
    <definedName name="SCHNMBR" localSheetId="4">#REF!</definedName>
    <definedName name="SCHNMBR" localSheetId="31">#REF!</definedName>
    <definedName name="SCHNMBR" localSheetId="30">#REF!</definedName>
    <definedName name="SCHNMBR" localSheetId="23">#REF!</definedName>
    <definedName name="SCHNMBR" localSheetId="25">#REF!</definedName>
    <definedName name="SCHNMBR" localSheetId="24">#REF!</definedName>
    <definedName name="SCHNMBR" localSheetId="33">#REF!</definedName>
    <definedName name="SCHNMBR" localSheetId="29">#REF!</definedName>
    <definedName name="SCHNMBR" localSheetId="28">#REF!</definedName>
    <definedName name="SCHNMBR" localSheetId="26">#REF!</definedName>
    <definedName name="SCHNMBR">#REF!</definedName>
    <definedName name="SCHNME" localSheetId="32">#REF!</definedName>
    <definedName name="SCHNME" localSheetId="17">#REF!</definedName>
    <definedName name="SCHNME" localSheetId="21">#REF!</definedName>
    <definedName name="SCHNME" localSheetId="4">#REF!</definedName>
    <definedName name="SCHNME" localSheetId="31">#REF!</definedName>
    <definedName name="SCHNME" localSheetId="30">#REF!</definedName>
    <definedName name="SCHNME" localSheetId="23">#REF!</definedName>
    <definedName name="SCHNME" localSheetId="25">#REF!</definedName>
    <definedName name="SCHNME" localSheetId="24">#REF!</definedName>
    <definedName name="SCHNME" localSheetId="33">#REF!</definedName>
    <definedName name="SCHNME" localSheetId="29">#REF!</definedName>
    <definedName name="SCHNME" localSheetId="28">#REF!</definedName>
    <definedName name="SCHNME" localSheetId="26">#REF!</definedName>
    <definedName name="SCHNME">#REF!</definedName>
    <definedName name="SUPT" localSheetId="32">#REF!</definedName>
    <definedName name="SUPT" localSheetId="17">#REF!</definedName>
    <definedName name="SUPT" localSheetId="21">#REF!</definedName>
    <definedName name="SUPT" localSheetId="4">#REF!</definedName>
    <definedName name="SUPT" localSheetId="31">#REF!</definedName>
    <definedName name="SUPT" localSheetId="30">#REF!</definedName>
    <definedName name="SUPT" localSheetId="23">#REF!</definedName>
    <definedName name="SUPT" localSheetId="25">#REF!</definedName>
    <definedName name="SUPT" localSheetId="24">#REF!</definedName>
    <definedName name="SUPT" localSheetId="33">#REF!</definedName>
    <definedName name="SUPT" localSheetId="29">#REF!</definedName>
    <definedName name="SUPT" localSheetId="28">#REF!</definedName>
    <definedName name="SUPT" localSheetId="26">#REF!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4" i="181"/>
  <c r="G24" i="181" s="1"/>
  <c r="E24" i="181"/>
  <c r="F23" i="181"/>
  <c r="G23" i="181" s="1"/>
  <c r="E23" i="181"/>
  <c r="G22" i="181"/>
  <c r="E22" i="181"/>
  <c r="G21" i="181"/>
  <c r="E21" i="181"/>
  <c r="G20" i="181"/>
  <c r="E20" i="181"/>
  <c r="G19" i="181"/>
  <c r="E19" i="181"/>
  <c r="G18" i="181"/>
  <c r="E18" i="181"/>
  <c r="F25" i="181"/>
  <c r="G25" i="181" s="1"/>
  <c r="E25" i="181"/>
  <c r="G17" i="181"/>
  <c r="E17" i="181"/>
  <c r="D26" i="181" l="1"/>
  <c r="D80" i="36" l="1"/>
  <c r="B7797" i="106"/>
  <c r="E26" i="181"/>
  <c r="E16" i="181"/>
  <c r="F16" i="181" s="1"/>
  <c r="G16" i="181" s="1"/>
  <c r="G26" i="181" l="1"/>
  <c r="G40" i="108" l="1"/>
  <c r="B7799" i="106"/>
  <c r="F2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1"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B7734" i="106"/>
  <c r="B7726" i="106"/>
  <c r="D7726" i="106" s="1"/>
  <c r="D76" i="36"/>
  <c r="F162" i="34"/>
  <c r="B30" i="36"/>
  <c r="B33" i="36" s="1"/>
  <c r="B43" i="36" s="1"/>
  <c r="B56" i="36" s="1"/>
  <c r="B66" i="36" s="1"/>
  <c r="B70" i="36" s="1"/>
  <c r="B74" i="36" s="1"/>
  <c r="D73" i="36"/>
  <c r="C191" i="5"/>
  <c r="B4395" i="106" s="1"/>
  <c r="D4395" i="106" s="1"/>
  <c r="C201" i="5"/>
  <c r="C211" i="5"/>
  <c r="C216" i="5"/>
  <c r="C224" i="5"/>
  <c r="C228" i="5"/>
  <c r="C259" i="5"/>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G33" i="108" s="1"/>
  <c r="K64" i="29"/>
  <c r="D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c r="B6349" i="106"/>
  <c r="D6349" i="106" s="1"/>
  <c r="B6350" i="106"/>
  <c r="D6350" i="106" s="1"/>
  <c r="B6353" i="106"/>
  <c r="D6353" i="106" s="1"/>
  <c r="B6354" i="106"/>
  <c r="D6354" i="106" s="1"/>
  <c r="B6355" i="106"/>
  <c r="D6355" i="106"/>
  <c r="B6356" i="106"/>
  <c r="D6356" i="106" s="1"/>
  <c r="B6358" i="106"/>
  <c r="D6358" i="106" s="1"/>
  <c r="B6359" i="106"/>
  <c r="D6359" i="106"/>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c r="B6623" i="106"/>
  <c r="D6623" i="106" s="1"/>
  <c r="B6624" i="106"/>
  <c r="D6624" i="106"/>
  <c r="B6625" i="106"/>
  <c r="D6625" i="106" s="1"/>
  <c r="B6626" i="106"/>
  <c r="D6626" i="106" s="1"/>
  <c r="B6627" i="106"/>
  <c r="D6627" i="106"/>
  <c r="B6628" i="106"/>
  <c r="D6628" i="106" s="1"/>
  <c r="B6629" i="106"/>
  <c r="D6629" i="106" s="1"/>
  <c r="B6630" i="106"/>
  <c r="D6630" i="106" s="1"/>
  <c r="B6631" i="106"/>
  <c r="D6631" i="106" s="1"/>
  <c r="B6632" i="106"/>
  <c r="D6632" i="106" s="1"/>
  <c r="B6633" i="106"/>
  <c r="D6633" i="106" s="1"/>
  <c r="B6634" i="106"/>
  <c r="D6634" i="106"/>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c r="B6671" i="106"/>
  <c r="D6671" i="106" s="1"/>
  <c r="B6672" i="106"/>
  <c r="D6672" i="106"/>
  <c r="B6673" i="106"/>
  <c r="D6673" i="106" s="1"/>
  <c r="B6674" i="106"/>
  <c r="D6674" i="106" s="1"/>
  <c r="B6675" i="106"/>
  <c r="D6675" i="106"/>
  <c r="B6676" i="106"/>
  <c r="D6676" i="106" s="1"/>
  <c r="B6677" i="106"/>
  <c r="D6677" i="106" s="1"/>
  <c r="B6678" i="106"/>
  <c r="D6678" i="106" s="1"/>
  <c r="B6679" i="106"/>
  <c r="D6679" i="106" s="1"/>
  <c r="B6680" i="106"/>
  <c r="D6680" i="106" s="1"/>
  <c r="B6681" i="106"/>
  <c r="D6681" i="106"/>
  <c r="B6682" i="106"/>
  <c r="D6682" i="106" s="1"/>
  <c r="B6683" i="106"/>
  <c r="D6683" i="106" s="1"/>
  <c r="B6684" i="106"/>
  <c r="D6684" i="106"/>
  <c r="B6685" i="106"/>
  <c r="D6685" i="106" s="1"/>
  <c r="B6686" i="106"/>
  <c r="D6686" i="106" s="1"/>
  <c r="B6687" i="106"/>
  <c r="D6687" i="106"/>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c r="B6700" i="106"/>
  <c r="D6700" i="106" s="1"/>
  <c r="B6701" i="106"/>
  <c r="D6701" i="106" s="1"/>
  <c r="B6702" i="106"/>
  <c r="D6702" i="106" s="1"/>
  <c r="B6703" i="106"/>
  <c r="D6703" i="106" s="1"/>
  <c r="B6704" i="106"/>
  <c r="D6704" i="106" s="1"/>
  <c r="B6705" i="106"/>
  <c r="D6705" i="106" s="1"/>
  <c r="B6706" i="106"/>
  <c r="D6706" i="106" s="1"/>
  <c r="B6707" i="106"/>
  <c r="D6707" i="106" s="1"/>
  <c r="B6708" i="106"/>
  <c r="D6708" i="106"/>
  <c r="B6709" i="106"/>
  <c r="D6709" i="106" s="1"/>
  <c r="B6710" i="106"/>
  <c r="D6710" i="106" s="1"/>
  <c r="B6711" i="106"/>
  <c r="D6711" i="106" s="1"/>
  <c r="B6712" i="106"/>
  <c r="D6712" i="106" s="1"/>
  <c r="B6713" i="106"/>
  <c r="D6713" i="106" s="1"/>
  <c r="B6714" i="106"/>
  <c r="D6714" i="106"/>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c r="B6756" i="106"/>
  <c r="D6756" i="106" s="1"/>
  <c r="B6757" i="106"/>
  <c r="D6757" i="106" s="1"/>
  <c r="B6758" i="106"/>
  <c r="D6758" i="106" s="1"/>
  <c r="B6759" i="106"/>
  <c r="D6759" i="106" s="1"/>
  <c r="B6760" i="106"/>
  <c r="D6760" i="106" s="1"/>
  <c r="B6761" i="106"/>
  <c r="D6761" i="106"/>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6" i="108"/>
  <c r="G28" i="108"/>
  <c r="E30" i="108"/>
  <c r="D36"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F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C57" i="34"/>
  <c r="D57" i="34"/>
  <c r="C61" i="34"/>
  <c r="C62" i="34"/>
  <c r="C63" i="34"/>
  <c r="D63" i="34"/>
  <c r="C64" i="34"/>
  <c r="C67" i="34"/>
  <c r="D67" i="34"/>
  <c r="F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5" i="4"/>
  <c r="B3409" i="106" s="1"/>
  <c r="D3409" i="106" s="1"/>
  <c r="B2633" i="106"/>
  <c r="D2633" i="106" s="1"/>
  <c r="N22" i="3"/>
  <c r="B283" i="106" s="1"/>
  <c r="D283" i="106" s="1"/>
  <c r="D7" i="118"/>
  <c r="D8" i="118"/>
  <c r="D9" i="118"/>
  <c r="H14" i="118"/>
  <c r="H19" i="118"/>
  <c r="H24" i="118"/>
  <c r="J22" i="37"/>
  <c r="L22" i="37"/>
  <c r="D24" i="37"/>
  <c r="B4270" i="106" s="1"/>
  <c r="D4270" i="106" s="1"/>
  <c r="D4" i="7"/>
  <c r="B1760" i="106" s="1"/>
  <c r="D1760" i="106" s="1"/>
  <c r="D13" i="7"/>
  <c r="B3726" i="106" s="1"/>
  <c r="D3726" i="106" s="1"/>
  <c r="B5752" i="106"/>
  <c r="D5752" i="106" s="1"/>
  <c r="D17" i="7"/>
  <c r="B4104" i="106" s="1"/>
  <c r="D4104" i="106" s="1"/>
  <c r="D12" i="7"/>
  <c r="B1769" i="106" s="1"/>
  <c r="D1769" i="106" s="1"/>
  <c r="D11" i="7"/>
  <c r="B1768" i="106" s="1"/>
  <c r="D1768" i="106" s="1"/>
  <c r="D15" i="7"/>
  <c r="B1772" i="106" s="1"/>
  <c r="D1772" i="106" s="1"/>
  <c r="D6103" i="106" l="1"/>
  <c r="G352" i="29"/>
  <c r="K285" i="29"/>
  <c r="F73" i="34" s="1"/>
  <c r="D11" i="37"/>
  <c r="G34" i="108"/>
  <c r="H33" i="118"/>
  <c r="F42" i="34"/>
  <c r="B4211" i="106"/>
  <c r="D4211" i="106" s="1"/>
  <c r="F77" i="4"/>
  <c r="B3255" i="106" s="1"/>
  <c r="D3255" i="106" s="1"/>
  <c r="B1124" i="106"/>
  <c r="D1124" i="106" s="1"/>
  <c r="D9" i="7"/>
  <c r="B1767" i="106" s="1"/>
  <c r="D1767" i="106" s="1"/>
  <c r="H29" i="118"/>
  <c r="D37" i="108"/>
  <c r="F37" i="108"/>
  <c r="D31" i="36"/>
  <c r="E174" i="29"/>
  <c r="B1309" i="106" s="1"/>
  <c r="D1309" i="106" s="1"/>
  <c r="L367" i="29"/>
  <c r="L342" i="29"/>
  <c r="L312" i="29"/>
  <c r="F14" i="4"/>
  <c r="B2597" i="106" s="1"/>
  <c r="D2597" i="106" s="1"/>
  <c r="F62" i="34"/>
  <c r="D14" i="4"/>
  <c r="B2570" i="106" s="1"/>
  <c r="D2570" i="106" s="1"/>
  <c r="G39" i="108"/>
  <c r="F56" i="34"/>
  <c r="H365" i="29"/>
  <c r="B7242" i="106" s="1"/>
  <c r="D7242" i="106" s="1"/>
  <c r="J352" i="29"/>
  <c r="J367" i="29" s="1"/>
  <c r="B7245" i="106" s="1"/>
  <c r="D7245" i="106" s="1"/>
  <c r="B3649" i="106"/>
  <c r="D3649" i="106" s="1"/>
  <c r="G367" i="29"/>
  <c r="B3650" i="106" s="1"/>
  <c r="D3650" i="106" s="1"/>
  <c r="C352" i="29"/>
  <c r="B3621" i="106" s="1"/>
  <c r="D3621" i="106" s="1"/>
  <c r="C367" i="29"/>
  <c r="B3622" i="106" s="1"/>
  <c r="D3622" i="106" s="1"/>
  <c r="K350" i="29"/>
  <c r="H342" i="29"/>
  <c r="B7221" i="106" s="1"/>
  <c r="D7221" i="106" s="1"/>
  <c r="I342" i="29"/>
  <c r="B7222" i="106" s="1"/>
  <c r="D7222" i="106" s="1"/>
  <c r="B3723" i="106"/>
  <c r="D3723" i="106" s="1"/>
  <c r="G15" i="4"/>
  <c r="B6032" i="106" s="1"/>
  <c r="D6032" i="106" s="1"/>
  <c r="G14" i="4"/>
  <c r="B2609" i="106" s="1"/>
  <c r="D2609" i="106" s="1"/>
  <c r="F72" i="34"/>
  <c r="G210" i="29"/>
  <c r="B1365" i="106" s="1"/>
  <c r="D1365" i="106" s="1"/>
  <c r="I210" i="29"/>
  <c r="B7071" i="106" s="1"/>
  <c r="D7071" i="106" s="1"/>
  <c r="J210" i="29"/>
  <c r="B7072" i="106" s="1"/>
  <c r="D7072" i="106" s="1"/>
  <c r="B7047" i="106"/>
  <c r="D7047" i="106" s="1"/>
  <c r="E38" i="108"/>
  <c r="B1223" i="106"/>
  <c r="D1223" i="106" s="1"/>
  <c r="G26" i="108"/>
  <c r="B1274" i="106"/>
  <c r="D1274" i="106" s="1"/>
  <c r="E26" i="108"/>
  <c r="H112" i="29"/>
  <c r="B7018" i="106" s="1"/>
  <c r="D7018" i="106" s="1"/>
  <c r="E35" i="108"/>
  <c r="G35" i="108"/>
  <c r="F31" i="108"/>
  <c r="F26" i="108"/>
  <c r="E15" i="145"/>
  <c r="G15" i="145" s="1"/>
  <c r="D26" i="108"/>
  <c r="B2724" i="106"/>
  <c r="D2724" i="106" s="1"/>
  <c r="F50" i="34"/>
  <c r="F44" i="34"/>
  <c r="F37" i="34"/>
  <c r="F136" i="34"/>
  <c r="F131" i="34"/>
  <c r="B4411" i="106"/>
  <c r="D4411" i="106" s="1"/>
  <c r="F130" i="34"/>
  <c r="B5260" i="106"/>
  <c r="D5260" i="106" s="1"/>
  <c r="F128" i="34"/>
  <c r="F127" i="34"/>
  <c r="K274" i="5"/>
  <c r="K7" i="4" s="1"/>
  <c r="B3718" i="106" s="1"/>
  <c r="D3718" i="106" s="1"/>
  <c r="J274" i="5"/>
  <c r="B7054" i="106" s="1"/>
  <c r="D7054" i="106" s="1"/>
  <c r="I173" i="5"/>
  <c r="B4216" i="106" s="1"/>
  <c r="D4216" i="106" s="1"/>
  <c r="G172" i="5"/>
  <c r="B5770" i="106" s="1"/>
  <c r="D5770" i="106" s="1"/>
  <c r="C172" i="5"/>
  <c r="B5214" i="106" s="1"/>
  <c r="D5214" i="106" s="1"/>
  <c r="F106" i="34"/>
  <c r="F172" i="5"/>
  <c r="B5644" i="106" s="1"/>
  <c r="D5644" i="106" s="1"/>
  <c r="H173" i="5"/>
  <c r="K173" i="5"/>
  <c r="K6" i="4" s="1"/>
  <c r="B3570" i="106" s="1"/>
  <c r="D3570" i="106" s="1"/>
  <c r="D5" i="4"/>
  <c r="B3406" i="106" s="1"/>
  <c r="D3406" i="106" s="1"/>
  <c r="D109" i="5"/>
  <c r="D4" i="4" s="1"/>
  <c r="B2564" i="106" s="1"/>
  <c r="D2564" i="106" s="1"/>
  <c r="E109" i="5"/>
  <c r="E4" i="4" s="1"/>
  <c r="B2630" i="106" s="1"/>
  <c r="D2630" i="106" s="1"/>
  <c r="K76" i="4"/>
  <c r="B3586" i="106" s="1"/>
  <c r="D3586" i="106" s="1"/>
  <c r="B3254" i="106"/>
  <c r="D3254" i="106" s="1"/>
  <c r="L13" i="11"/>
  <c r="B2060" i="106" s="1"/>
  <c r="D2060" i="106" s="1"/>
  <c r="L15" i="11"/>
  <c r="B3459" i="106" s="1"/>
  <c r="D3459" i="106" s="1"/>
  <c r="L5" i="11"/>
  <c r="B2056" i="106" s="1"/>
  <c r="D2056" i="106" s="1"/>
  <c r="B7727" i="106"/>
  <c r="D7727" i="106" s="1"/>
  <c r="I24" i="12"/>
  <c r="B1996" i="106" s="1"/>
  <c r="D1996" i="106" s="1"/>
  <c r="K24" i="12"/>
  <c r="D69" i="36"/>
  <c r="H28" i="118"/>
  <c r="K28" i="118" s="1"/>
  <c r="O27" i="118" s="1"/>
  <c r="O29" i="118" s="1"/>
  <c r="F21" i="8"/>
  <c r="D22" i="37"/>
  <c r="F19" i="7"/>
  <c r="B1807" i="106" s="1"/>
  <c r="D1807" i="106" s="1"/>
  <c r="C342" i="29"/>
  <c r="B7216" i="106" s="1"/>
  <c r="D7216" i="106" s="1"/>
  <c r="H109" i="5"/>
  <c r="B1410" i="106"/>
  <c r="D1410" i="106" s="1"/>
  <c r="G109" i="5"/>
  <c r="G29" i="108"/>
  <c r="E29" i="108"/>
  <c r="K184" i="29"/>
  <c r="F13" i="4" s="1"/>
  <c r="B2596" i="106" s="1"/>
  <c r="D2596" i="106" s="1"/>
  <c r="F111" i="34"/>
  <c r="B1329" i="106"/>
  <c r="D1329" i="106" s="1"/>
  <c r="F61" i="34"/>
  <c r="B1746" i="106"/>
  <c r="D1746" i="106" s="1"/>
  <c r="E28" i="108"/>
  <c r="F28" i="108"/>
  <c r="B5334" i="106"/>
  <c r="D5334" i="106" s="1"/>
  <c r="F52" i="34"/>
  <c r="G38" i="108"/>
  <c r="G30" i="108"/>
  <c r="F27" i="108"/>
  <c r="F94" i="34"/>
  <c r="C109" i="5"/>
  <c r="B5121" i="106" s="1"/>
  <c r="D5121" i="106" s="1"/>
  <c r="J41" i="3"/>
  <c r="D51" i="36" s="1"/>
  <c r="D54" i="36"/>
  <c r="D52" i="36"/>
  <c r="D7" i="7"/>
  <c r="B1763" i="106" s="1"/>
  <c r="D1763" i="106" s="1"/>
  <c r="D5" i="7"/>
  <c r="B1761" i="106" s="1"/>
  <c r="D176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6" i="106" l="1"/>
  <c r="D7253" i="106"/>
  <c r="D7252" i="106"/>
  <c r="L16" i="11"/>
  <c r="B2061" i="106" s="1"/>
  <c r="D2061" i="106" s="1"/>
  <c r="D7254" i="106"/>
  <c r="L114" i="29"/>
  <c r="K365" i="29"/>
  <c r="B7243" i="106" s="1"/>
  <c r="D7243" i="106" s="1"/>
  <c r="B3628" i="106"/>
  <c r="D3628" i="106" s="1"/>
  <c r="B7235" i="106"/>
  <c r="D7235" i="106" s="1"/>
  <c r="H367" i="29"/>
  <c r="B3660" i="106" s="1"/>
  <c r="D3660" i="106" s="1"/>
  <c r="B3670" i="106"/>
  <c r="D3670" i="106" s="1"/>
  <c r="K352" i="29"/>
  <c r="J16" i="4"/>
  <c r="B6226" i="106" s="1"/>
  <c r="D6226" i="106" s="1"/>
  <c r="F65" i="34"/>
  <c r="F66" i="34"/>
  <c r="B1317" i="106"/>
  <c r="D1317" i="106" s="1"/>
  <c r="H151" i="29"/>
  <c r="B1273" i="106" s="1"/>
  <c r="D1273" i="106" s="1"/>
  <c r="D274" i="5"/>
  <c r="B5507" i="106" s="1"/>
  <c r="D5507" i="106" s="1"/>
  <c r="F274" i="5"/>
  <c r="B5719" i="106" s="1"/>
  <c r="D5719" i="106" s="1"/>
  <c r="J7" i="4"/>
  <c r="B6222" i="106" s="1"/>
  <c r="D6222" i="106" s="1"/>
  <c r="B6022" i="106"/>
  <c r="D6022" i="106" s="1"/>
  <c r="B5914" i="106"/>
  <c r="D5914" i="106" s="1"/>
  <c r="I6" i="4"/>
  <c r="B5011" i="106" s="1"/>
  <c r="D5011" i="106" s="1"/>
  <c r="G173" i="5"/>
  <c r="B5778" i="106" s="1"/>
  <c r="D5778" i="106" s="1"/>
  <c r="C173" i="5"/>
  <c r="B5223" i="106" s="1"/>
  <c r="D5223" i="106" s="1"/>
  <c r="F173" i="5"/>
  <c r="F6" i="4" s="1"/>
  <c r="B2593" i="106" s="1"/>
  <c r="D2593" i="106" s="1"/>
  <c r="H275" i="5"/>
  <c r="B5915" i="106" s="1"/>
  <c r="D5915" i="106" s="1"/>
  <c r="B5906" i="106"/>
  <c r="D5906" i="106" s="1"/>
  <c r="H6" i="4"/>
  <c r="B2656" i="106" s="1"/>
  <c r="D2656" i="106" s="1"/>
  <c r="B6014" i="106"/>
  <c r="D6014" i="106" s="1"/>
  <c r="B5356" i="106"/>
  <c r="D5356" i="106" s="1"/>
  <c r="B5527" i="106"/>
  <c r="D5527" i="106" s="1"/>
  <c r="B2031" i="106"/>
  <c r="D2031" i="106" s="1"/>
  <c r="I26" i="12"/>
  <c r="B7741" i="106" s="1"/>
  <c r="D7741" i="106" s="1"/>
  <c r="B7733" i="106"/>
  <c r="D7733" i="106" s="1"/>
  <c r="K26" i="12"/>
  <c r="B7743" i="106" s="1"/>
  <c r="D7743" i="106" s="1"/>
  <c r="B1879" i="106"/>
  <c r="D1879" i="106" s="1"/>
  <c r="H22" i="37"/>
  <c r="K342" i="29"/>
  <c r="F13" i="34" s="1"/>
  <c r="B6025" i="106"/>
  <c r="D6025" i="106" s="1"/>
  <c r="H4" i="4"/>
  <c r="B6024" i="106"/>
  <c r="D6024" i="106" s="1"/>
  <c r="G4" i="4"/>
  <c r="B2603" i="106" s="1"/>
  <c r="D2603" i="106" s="1"/>
  <c r="B1381" i="106"/>
  <c r="D1381" i="106" s="1"/>
  <c r="F41" i="108"/>
  <c r="G43" i="108" s="1"/>
  <c r="C114" i="29"/>
  <c r="B757" i="106" s="1"/>
  <c r="D757" i="106" s="1"/>
  <c r="C4" i="4"/>
  <c r="B2551" i="106" s="1"/>
  <c r="D2551" i="106" s="1"/>
  <c r="D44" i="36"/>
  <c r="B6216" i="106"/>
  <c r="D6216"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K13" i="4"/>
  <c r="B3572" i="106" s="1"/>
  <c r="D3572" i="106" s="1"/>
  <c r="B3672" i="106"/>
  <c r="D3672" i="106" s="1"/>
  <c r="B1145" i="106"/>
  <c r="D1145" i="106" s="1"/>
  <c r="D7" i="4"/>
  <c r="B2567" i="106" s="1"/>
  <c r="D2567" i="106" s="1"/>
  <c r="D275" i="5"/>
  <c r="B5508" i="106" s="1"/>
  <c r="D5508" i="106" s="1"/>
  <c r="F7" i="4"/>
  <c r="B2594" i="106" s="1"/>
  <c r="D2594" i="106" s="1"/>
  <c r="G6" i="4"/>
  <c r="B2604" i="106" s="1"/>
  <c r="D2604" i="106" s="1"/>
  <c r="C6" i="4"/>
  <c r="B2553" i="106" s="1"/>
  <c r="D2553" i="106" s="1"/>
  <c r="F275" i="5"/>
  <c r="B5720" i="106" s="1"/>
  <c r="D5720" i="106" s="1"/>
  <c r="B5653" i="106"/>
  <c r="D5653" i="106" s="1"/>
  <c r="B7224" i="106"/>
  <c r="D7224" i="106" s="1"/>
  <c r="J17" i="4"/>
  <c r="B6227" i="106" s="1"/>
  <c r="D6227" i="106" s="1"/>
  <c r="B2655" i="106"/>
  <c r="D2655" i="106" s="1"/>
  <c r="H8" i="4"/>
  <c r="G41" i="108"/>
  <c r="G44" i="108" s="1"/>
  <c r="G45" i="108" s="1"/>
  <c r="J8" i="4"/>
  <c r="B6223" i="106" s="1"/>
  <c r="D6223"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3678" i="106" l="1"/>
  <c r="D3678" i="106" s="1"/>
  <c r="K17" i="4"/>
  <c r="K19" i="4" s="1"/>
  <c r="B4144" i="106" s="1"/>
  <c r="D4144" i="106" s="1"/>
  <c r="D8" i="4"/>
  <c r="C8" i="146" s="1"/>
  <c r="J20" i="4"/>
  <c r="J78" i="4" s="1"/>
  <c r="J19" i="4"/>
  <c r="B6229" i="106" s="1"/>
  <c r="D6229" i="106" s="1"/>
  <c r="B2658" i="106"/>
  <c r="D2658" i="106" s="1"/>
  <c r="H10" i="4"/>
  <c r="B4127" i="106" s="1"/>
  <c r="D4127" i="106" s="1"/>
  <c r="D8" i="146"/>
  <c r="B2595" i="106"/>
  <c r="D2595" i="106" s="1"/>
  <c r="D10" i="171"/>
  <c r="D19" i="171" s="1"/>
  <c r="D32" i="171" s="1"/>
  <c r="D49" i="171" s="1"/>
  <c r="J10" i="4"/>
  <c r="B6225" i="106" s="1"/>
  <c r="D6225"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D20" i="4"/>
  <c r="B2574" i="106" s="1"/>
  <c r="D2574" i="106" s="1"/>
  <c r="B2568" i="106"/>
  <c r="D2568" i="106" s="1"/>
  <c r="D10" i="4"/>
  <c r="B4123" i="106" s="1"/>
  <c r="D4123" i="106" s="1"/>
  <c r="H13" i="118"/>
  <c r="B6230" i="106"/>
  <c r="D6230"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<sst xmlns="http://schemas.openxmlformats.org/spreadsheetml/2006/main" count="5108" uniqueCount="2140">
  <si>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</si>
  <si>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</si>
  <si>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</si>
  <si>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</si>
  <si>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</si>
  <si>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</si>
  <si>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</si>
  <si>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</si>
  <si>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</si>
  <si>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</si>
  <si>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</si>
  <si>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</si>
  <si>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</si>
  <si>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</si>
  <si>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</si>
  <si>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</si>
  <si>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</si>
  <si>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</si>
  <si>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</si>
  <si>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</si>
  <si>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</si>
  <si>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</si>
  <si>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</si>
  <si>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</si>
  <si>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</si>
  <si>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</si>
  <si>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</si>
  <si>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</si>
  <si>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</si>
  <si>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</si>
  <si>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</si>
  <si>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</si>
  <si>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</si>
  <si>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</si>
  <si>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</si>
  <si>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</si>
  <si>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</si>
  <si>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</si>
  <si>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</si>
  <si>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</si>
  <si>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</si>
  <si>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</si>
  <si>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</si>
  <si>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</si>
  <si>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</si>
  <si>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</si>
  <si>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</si>
  <si>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</si>
  <si>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</si>
  <si>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</si>
  <si>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</si>
  <si>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</si>
  <si>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</si>
  <si>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</si>
  <si>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</si>
  <si>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</si>
  <si>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</si>
  <si>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</si>
  <si>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</si>
  <si>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</si>
  <si>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</si>
  <si>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</si>
  <si>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</si>
  <si>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</si>
  <si>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</si>
  <si>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</si>
  <si>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</si>
  <si>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</si>
  <si>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</si>
  <si>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</si>
  <si>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</si>
  <si>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</si>
  <si>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</si>
  <si>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</si>
  <si>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</si>
  <si>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</si>
  <si>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</si>
  <si>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</si>
  <si>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</si>
  <si>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</si>
  <si>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</si>
  <si>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</si>
  <si>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</si>
  <si>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</si>
  <si>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</si>
  <si>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</si>
  <si>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</si>
  <si>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</si>
  <si>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</si>
  <si>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</si>
  <si>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</si>
  <si>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</si>
  <si>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</si>
  <si>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</si>
  <si>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</si>
  <si>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</si>
  <si>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</si>
  <si>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</si>
  <si>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</si>
  <si>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</si>
  <si>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</si>
  <si>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</si>
  <si>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</si>
  <si>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</si>
  <si>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</si>
  <si>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</si>
  <si>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</si>
  <si>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</si>
  <si>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</si>
  <si>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</si>
  <si>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</si>
  <si>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</si>
  <si>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</si>
  <si>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</si>
  <si>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</si>
  <si>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</si>
  <si>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</si>
  <si>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</si>
  <si>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</si>
  <si>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</si>
  <si>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</si>
  <si>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</si>
  <si>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</si>
  <si>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</si>
  <si>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</si>
  <si>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</si>
  <si>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</si>
  <si>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</si>
  <si>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</si>
  <si>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</si>
  <si>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</si>
  <si>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</si>
  <si>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</si>
  <si>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</si>
  <si>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</si>
  <si>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</si>
  <si>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</si>
  <si>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</si>
  <si>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</si>
  <si>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</si>
  <si>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</si>
  <si>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</si>
  <si>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</si>
  <si>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</si>
  <si>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</si>
  <si>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</si>
  <si>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</si>
  <si>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</si>
  <si>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</si>
  <si>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</si>
  <si>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</si>
  <si>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</si>
  <si>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</si>
  <si>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</si>
  <si>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</si>
  <si>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</si>
  <si>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</si>
  <si>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</si>
  <si>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</si>
  <si>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</si>
  <si>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</si>
  <si>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</si>
  <si>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</si>
  <si>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</si>
  <si>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</si>
  <si>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</si>
  <si>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</si>
  <si>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</si>
  <si>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</si>
  <si>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</si>
  <si>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</si>
  <si>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</si>
  <si>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</si>
  <si>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</si>
  <si>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</si>
  <si>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</si>
  <si>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</si>
  <si>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</si>
  <si>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</si>
  <si>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</si>
  <si>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</si>
  <si>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</si>
  <si>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</si>
  <si>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</si>
  <si>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</si>
  <si>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</si>
  <si>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</si>
  <si>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</si>
  <si>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</si>
  <si>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</si>
  <si>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</si>
  <si>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</si>
  <si>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</si>
  <si>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</si>
  <si>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</si>
  <si>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</si>
  <si>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</si>
  <si>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</si>
  <si>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</si>
  <si>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</si>
  <si>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</si>
  <si>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</si>
  <si>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</si>
  <si>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</si>
  <si>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</si>
  <si>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</si>
  <si>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</si>
  <si>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</si>
  <si>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</si>
  <si>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</si>
  <si>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</si>
  <si>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</si>
  <si>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</si>
  <si>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</si>
  <si>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</si>
  <si>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</si>
  <si>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</si>
  <si>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</si>
  <si>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</si>
  <si>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</si>
  <si>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</si>
  <si>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</si>
  <si>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</si>
  <si>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</si>
  <si>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</si>
  <si>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</si>
  <si>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</si>
  <si>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</si>
  <si>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</si>
  <si>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</si>
  <si>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</si>
  <si>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</si>
  <si>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</si>
  <si>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</si>
  <si>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</si>
  <si>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</si>
  <si>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</si>
  <si>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</si>
  <si>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</si>
  <si>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</si>
  <si>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</si>
  <si>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</si>
  <si>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</si>
  <si>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</si>
  <si>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</si>
  <si>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</si>
  <si>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</si>
  <si>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</si>
  <si>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</si>
  <si>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</si>
  <si>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</si>
  <si>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</si>
  <si>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</si>
  <si>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</si>
  <si>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</si>
  <si>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</si>
  <si>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</si>
  <si>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</si>
  <si>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</si>
  <si>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</si>
  <si>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</si>
  <si>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</si>
  <si>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</si>
  <si>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</si>
  <si>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</si>
  <si>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</si>
  <si>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</si>
  <si>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</si>
  <si>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</si>
  <si>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</si>
  <si>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</si>
  <si>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</si>
  <si>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</si>
  <si>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</si>
  <si>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</si>
  <si>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</si>
  <si>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</si>
  <si>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</si>
  <si>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</si>
  <si>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</si>
  <si>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</si>
  <si>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</si>
  <si>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</si>
  <si>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</si>
  <si>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</si>
  <si>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</si>
  <si>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</si>
  <si>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</si>
  <si>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</si>
  <si>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</si>
  <si>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</si>
  <si>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</si>
  <si>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</si>
  <si>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</si>
  <si>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</si>
  <si>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</si>
  <si>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</si>
  <si>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</si>
  <si>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</si>
  <si>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</si>
  <si>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</si>
  <si>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</si>
  <si>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</si>
  <si>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</si>
  <si>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</si>
  <si>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</si>
  <si>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</si>
  <si>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</si>
  <si>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</si>
  <si>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</si>
  <si>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</si>
  <si>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</si>
  <si>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</si>
  <si>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</si>
  <si>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</si>
  <si>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</si>
  <si>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</si>
  <si>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</si>
  <si>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</si>
  <si>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</si>
  <si>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</si>
  <si>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</si>
  <si>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</si>
  <si>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</si>
  <si>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</si>
  <si>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</si>
  <si>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</si>
  <si>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</si>
  <si>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</si>
  <si>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</si>
  <si>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</si>
  <si>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</si>
  <si>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</si>
  <si>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</si>
  <si>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</si>
  <si>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</si>
  <si>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</si>
  <si>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</si>
  <si>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</si>
  <si>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</si>
  <si>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</si>
  <si>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</si>
  <si>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</si>
  <si>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</si>
  <si>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</si>
  <si>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</si>
  <si>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</si>
  <si>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</si>
  <si>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</si>
  <si>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</si>
  <si>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</si>
  <si>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</si>
  <si>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</si>
  <si>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</si>
  <si>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</si>
  <si>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</si>
  <si>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</si>
  <si>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</si>
  <si>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</si>
  <si>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</si>
  <si>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</si>
  <si>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</si>
  <si>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</si>
  <si>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</si>
  <si>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</si>
  <si>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</si>
  <si>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</si>
  <si>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</si>
  <si>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</si>
  <si>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</si>
  <si>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</si>
  <si>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</si>
  <si>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</si>
  <si>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</si>
  <si>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</si>
  <si>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</si>
  <si>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</si>
  <si>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</si>
  <si>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</si>
  <si>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</si>
  <si>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</si>
  <si>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</si>
  <si>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</si>
  <si>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</si>
  <si>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</si>
  <si>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</si>
  <si>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</si>
  <si>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</si>
  <si>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</si>
  <si>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</si>
  <si>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</si>
  <si>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</si>
  <si>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</si>
  <si>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</si>
  <si>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</si>
  <si>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</si>
  <si>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</si>
  <si>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</si>
  <si>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</si>
  <si>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</si>
  <si>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</si>
  <si>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</si>
  <si>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</si>
  <si>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</si>
  <si>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</si>
  <si>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</si>
  <si>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</si>
  <si>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</si>
  <si>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</si>
  <si>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</si>
  <si>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</si>
  <si>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</si>
  <si>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</si>
  <si>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</si>
  <si>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</si>
  <si>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</si>
  <si>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</si>
  <si>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</si>
  <si>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</si>
  <si>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</si>
  <si>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</si>
  <si>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</si>
  <si>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</si>
  <si>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</si>
  <si>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</si>
  <si>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</si>
  <si>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</si>
  <si>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</si>
  <si>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</si>
  <si>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</si>
  <si>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</si>
  <si>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</si>
  <si>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</si>
  <si>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</si>
  <si>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</si>
  <si>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</si>
  <si>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</si>
  <si>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</si>
  <si>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</si>
  <si>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</si>
  <si>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</si>
  <si>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</si>
  <si>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</si>
  <si>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</si>
  <si>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</si>
  <si>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</si>
  <si>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</si>
  <si>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</si>
  <si>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</si>
  <si>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</si>
  <si>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</si>
  <si>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</si>
  <si>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</si>
  <si>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</si>
  <si>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</si>
  <si>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</si>
  <si>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</si>
  <si>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</si>
  <si>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</si>
  <si>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</si>
  <si>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</si>
  <si>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</si>
  <si>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</si>
  <si>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</si>
  <si>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</si>
  <si>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</si>
  <si>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</si>
  <si>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</si>
  <si>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</si>
  <si>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</si>
  <si>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</si>
  <si>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</si>
  <si>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</si>
  <si>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</si>
  <si>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</si>
  <si>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</si>
  <si>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</si>
  <si>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</si>
  <si>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</si>
  <si>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</si>
  <si>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</si>
  <si>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</si>
  <si>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</si>
  <si>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</si>
  <si>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</si>
  <si>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</si>
  <si>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</si>
  <si>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</si>
  <si>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</si>
  <si>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</si>
  <si>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</si>
  <si>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</si>
  <si>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</si>
  <si>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</si>
  <si>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</si>
  <si>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</si>
  <si>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</si>
  <si>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</si>
  <si>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</si>
  <si>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</si>
  <si>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</si>
  <si>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</si>
  <si>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</si>
  <si>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</si>
  <si>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</si>
  <si>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</si>
  <si>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</si>
  <si>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</si>
  <si>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</si>
  <si>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</si>
  <si>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</si>
  <si>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</si>
  <si>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</si>
  <si>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</si>
  <si>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</si>
  <si>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</si>
  <si>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</si>
  <si>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</si>
  <si>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</si>
  <si>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</si>
  <si>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</si>
  <si>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</si>
  <si>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</si>
  <si>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</si>
  <si>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</si>
  <si>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</si>
  <si>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</si>
  <si>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</si>
  <si>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</si>
  <si>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</si>
  <si>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</si>
  <si>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</si>
  <si>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</si>
  <si>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</si>
  <si>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</si>
  <si>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</si>
  <si>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</si>
  <si>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</si>
  <si>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</si>
  <si>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</si>
  <si>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</si>
  <si>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</si>
  <si>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</si>
  <si>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</si>
  <si>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</si>
  <si>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</si>
  <si>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</si>
  <si>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</si>
  <si>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</si>
  <si>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</si>
  <si>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</si>
  <si>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</si>
  <si>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</si>
  <si>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</si>
  <si>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</si>
  <si>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</si>
  <si>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</si>
  <si>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</si>
  <si>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</si>
  <si>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</si>
  <si>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</si>
  <si>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</si>
  <si>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</si>
  <si>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</si>
  <si>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</si>
  <si>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</si>
  <si>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</si>
  <si>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</si>
  <si>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</si>
  <si>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</si>
  <si>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</si>
  <si>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</si>
  <si>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</si>
  <si>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</si>
  <si>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</si>
  <si>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</si>
  <si>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</si>
  <si>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</si>
  <si>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</si>
  <si>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</si>
  <si>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</si>
  <si>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</si>
  <si>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</si>
  <si>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</si>
  <si>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</si>
  <si>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</si>
  <si>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</si>
  <si>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</si>
  <si>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</si>
  <si>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</si>
  <si>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</si>
  <si>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</si>
  <si>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</si>
  <si>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</si>
  <si>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</si>
  <si>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</si>
  <si>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</si>
  <si>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</si>
  <si>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</si>
  <si>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</si>
  <si>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</si>
  <si>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</si>
  <si>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</si>
  <si>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</si>
  <si>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</si>
  <si>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</si>
  <si>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</si>
  <si>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</si>
  <si>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</si>
  <si>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</si>
  <si>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</si>
  <si>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</si>
  <si>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</si>
  <si>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</si>
  <si>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</si>
  <si>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</si>
  <si>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</si>
  <si>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</si>
  <si>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</si>
  <si>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</si>
  <si>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</si>
  <si>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</si>
  <si>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</si>
  <si>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</si>
  <si>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</si>
  <si>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</si>
  <si>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</si>
  <si>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</si>
  <si>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</si>
  <si>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</si>
  <si>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</si>
  <si>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</si>
  <si>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</si>
  <si>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</si>
  <si>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</si>
  <si>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</si>
  <si>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</si>
  <si>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</si>
  <si>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</si>
  <si>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</si>
  <si>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</si>
  <si>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</si>
  <si>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</si>
  <si>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</si>
  <si>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</si>
  <si>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</si>
  <si>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</si>
  <si>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</si>
  <si>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</si>
  <si>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</si>
  <si>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</si>
  <si>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</si>
  <si>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</si>
  <si>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</si>
  <si>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</si>
  <si>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</si>
  <si>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</si>
  <si>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</si>
  <si>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</si>
  <si>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</si>
  <si>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</si>
  <si>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</si>
  <si>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</si>
  <si>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</si>
  <si>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</si>
  <si>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</si>
  <si>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</si>
  <si>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</si>
  <si>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</si>
  <si>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</si>
  <si>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</si>
  <si>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</si>
  <si>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</si>
  <si>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</si>
  <si>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</si>
  <si>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</si>
  <si>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</si>
  <si>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</si>
  <si>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</si>
  <si>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</si>
  <si>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</si>
  <si>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</si>
  <si>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</si>
  <si>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</si>
  <si>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</si>
  <si>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</si>
  <si>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</si>
  <si>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</si>
  <si>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</si>
  <si>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</si>
  <si>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</si>
  <si>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</si>
  <si>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</si>
  <si>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</si>
  <si>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</si>
  <si>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</si>
  <si>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</si>
  <si>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</si>
  <si>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</si>
  <si>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</si>
  <si>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</si>
  <si>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</si>
  <si>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</si>
  <si>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</si>
  <si>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</si>
  <si>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</si>
  <si>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</si>
  <si>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</si>
  <si>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</si>
  <si>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</si>
  <si>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</si>
  <si>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</si>
  <si>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</si>
  <si>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</si>
  <si>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</si>
  <si>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</si>
  <si>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</si>
  <si>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</si>
  <si>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</si>
  <si>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</si>
  <si>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</si>
  <si>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</si>
  <si>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</si>
  <si>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</si>
  <si>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</si>
  <si>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</si>
  <si>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</si>
  <si>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</si>
  <si>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</si>
  <si>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</si>
  <si>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</si>
  <si>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</si>
  <si>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</si>
  <si>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</si>
  <si>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</si>
  <si>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</si>
  <si>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</si>
  <si>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</si>
  <si>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</si>
  <si>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</si>
  <si>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</si>
  <si>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</si>
  <si>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</si>
  <si>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</si>
  <si>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</si>
  <si>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</si>
  <si>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</si>
  <si>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</si>
  <si>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</si>
  <si>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</si>
  <si>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</si>
  <si>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</si>
  <si>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</si>
  <si>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</si>
  <si>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</si>
  <si>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</si>
  <si>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</si>
  <si>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</si>
  <si>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</si>
  <si>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</si>
  <si>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</si>
  <si>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</si>
  <si>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</si>
  <si>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</si>
  <si>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</si>
  <si>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</si>
  <si>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</si>
  <si>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</si>
  <si>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</si>
  <si>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</si>
  <si>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</si>
  <si>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</si>
  <si>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</si>
  <si>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</si>
  <si>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</si>
  <si>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</si>
  <si>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</si>
  <si>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</si>
  <si>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</si>
  <si>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</si>
  <si>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</si>
  <si>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</si>
  <si>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</si>
  <si>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</si>
  <si>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</si>
  <si>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</si>
  <si>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</si>
  <si>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</si>
  <si>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</si>
  <si>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</si>
  <si>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</si>
  <si>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</si>
  <si>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</si>
  <si>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</si>
  <si>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</si>
  <si>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</si>
  <si>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</si>
  <si>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</si>
  <si>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</si>
  <si>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</si>
  <si>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</si>
  <si>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</si>
  <si>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</si>
  <si>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</si>
  <si>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</si>
  <si>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</si>
  <si>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</si>
  <si>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</si>
  <si>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</si>
  <si>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</si>
  <si>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</si>
  <si>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</si>
  <si>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</si>
  <si>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</si>
  <si>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</si>
  <si>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</si>
  <si>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</si>
  <si>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</si>
  <si>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</si>
  <si>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</si>
  <si>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</si>
  <si>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</si>
  <si>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</si>
  <si>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</si>
  <si>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</si>
  <si>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</si>
  <si>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</si>
  <si>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</si>
  <si>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</si>
  <si>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</si>
  <si>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</si>
  <si>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</si>
  <si>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</si>
  <si>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</si>
  <si>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</si>
  <si>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</si>
  <si>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</si>
  <si>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</si>
  <si>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</si>
  <si>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</si>
  <si>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</si>
  <si>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</si>
  <si>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</si>
  <si>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</si>
  <si>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</si>
  <si>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</si>
  <si>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</si>
  <si>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</si>
  <si>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</si>
  <si>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</si>
  <si>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</si>
  <si>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</si>
  <si>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</si>
  <si>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</si>
  <si>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</si>
  <si>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</si>
  <si>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</si>
  <si>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</si>
  <si>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</si>
  <si>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</si>
  <si>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</si>
  <si>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</si>
  <si>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</si>
  <si>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</si>
  <si>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</si>
  <si>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</si>
  <si>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</si>
  <si>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</si>
  <si>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</si>
  <si>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</si>
  <si>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</si>
  <si>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</si>
  <si>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</si>
  <si>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</si>
  <si>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</si>
  <si>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</si>
  <si>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</si>
  <si>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</si>
  <si>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</si>
  <si>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</si>
  <si>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</si>
  <si>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</si>
  <si>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</si>
  <si>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</si>
  <si>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</si>
  <si>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</si>
  <si>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</si>
  <si>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</si>
  <si>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</si>
  <si>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</si>
  <si>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</si>
  <si>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</si>
  <si>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</si>
  <si>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</si>
  <si>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</si>
  <si>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</si>
  <si>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</si>
  <si>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</si>
  <si>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</si>
  <si>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</si>
  <si>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</si>
  <si>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</si>
  <si>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</si>
  <si>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</si>
  <si>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</si>
  <si>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</si>
  <si>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</si>
  <si>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</si>
  <si>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</si>
  <si>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</si>
  <si>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</si>
  <si>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</si>
  <si>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</si>
  <si>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</si>
  <si>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</si>
  <si>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</si>
  <si>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</si>
  <si>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</si>
  <si>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</si>
  <si>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</si>
  <si>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</si>
  <si>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</si>
  <si>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</si>
  <si>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</si>
  <si>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</si>
  <si>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</si>
  <si>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</si>
  <si>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</si>
  <si>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</si>
  <si>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</si>
  <si>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</si>
  <si>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</si>
  <si>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</si>
  <si>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</si>
  <si>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</si>
  <si>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</si>
  <si>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</si>
  <si>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</si>
  <si>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</si>
  <si>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</si>
  <si>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</si>
  <si>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</si>
  <si>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</si>
  <si>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</si>
  <si>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</si>
  <si>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</si>
  <si>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</si>
  <si>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</si>
  <si>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</si>
  <si>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</si>
  <si>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</si>
  <si>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</si>
  <si>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</si>
  <si>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</si>
  <si>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</si>
  <si>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</si>
  <si>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</si>
  <si>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</si>
  <si>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</si>
  <si>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</si>
  <si>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</si>
  <si>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</si>
  <si>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</si>
  <si>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</si>
  <si>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</si>
  <si>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</si>
  <si>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</si>
  <si>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</si>
  <si>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</si>
  <si>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</si>
  <si>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</si>
  <si>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</si>
  <si>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</si>
  <si>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</si>
  <si>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</si>
  <si>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</si>
  <si>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</si>
  <si>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</si>
  <si>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</si>
  <si>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</si>
  <si>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</si>
  <si>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</si>
  <si>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</si>
  <si>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</si>
  <si>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</si>
  <si>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</si>
  <si>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</si>
  <si>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</si>
  <si>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</si>
  <si>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</si>
  <si>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</si>
  <si>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</si>
  <si>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</si>
  <si>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</si>
  <si>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</si>
  <si>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</si>
  <si>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</si>
  <si>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</si>
  <si>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</si>
  <si>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</si>
  <si>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</si>
  <si>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</si>
  <si>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</si>
  <si>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</si>
  <si>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</si>
  <si>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</si>
  <si>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</si>
  <si>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</si>
  <si>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</si>
  <si>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</si>
  <si>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</si>
  <si>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</si>
  <si>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</si>
  <si>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</si>
  <si>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</si>
  <si>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</si>
  <si>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</si>
  <si>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</si>
  <si>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</si>
  <si>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</si>
  <si>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</si>
  <si>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</si>
  <si>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</si>
  <si>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</si>
  <si>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</si>
  <si>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</si>
  <si>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</si>
  <si>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</si>
  <si>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</si>
  <si>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</si>
  <si>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</si>
  <si>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</si>
  <si>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</si>
  <si>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</si>
  <si>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</si>
  <si>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</si>
  <si>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</si>
  <si>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</si>
  <si>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</si>
  <si>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</si>
  <si>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</si>
  <si>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</si>
  <si>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</si>
  <si>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</si>
  <si>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</si>
  <si>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</si>
  <si>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</si>
  <si>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</si>
  <si>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</si>
  <si>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</si>
  <si>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</si>
  <si>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</si>
  <si>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</si>
  <si>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</si>
  <si>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</si>
  <si>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</si>
  <si>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</si>
  <si>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</si>
  <si>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</si>
  <si>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</si>
  <si>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</si>
  <si>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</si>
  <si>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</si>
  <si>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</si>
  <si>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</si>
  <si>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</si>
  <si>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</si>
  <si>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</si>
  <si>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</si>
  <si>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</si>
  <si>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</si>
  <si>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</si>
  <si>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</si>
  <si>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</si>
  <si>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</si>
  <si>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</si>
  <si>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</si>
  <si>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</si>
  <si>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</si>
  <si>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</si>
  <si>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</si>
  <si>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</si>
  <si>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</si>
  <si>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</si>
  <si>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</si>
  <si>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</si>
  <si>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</si>
  <si>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</si>
  <si>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</si>
  <si>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</si>
  <si>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</si>
  <si>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</si>
  <si>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</si>
  <si>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</si>
  <si>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</si>
  <si>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</si>
  <si>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</si>
  <si>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</si>
  <si>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</si>
  <si>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</si>
  <si>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</si>
  <si>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</si>
  <si>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</si>
  <si>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</si>
  <si>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</si>
  <si>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</si>
  <si>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</si>
  <si>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</si>
  <si>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</si>
  <si>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</si>
  <si>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</si>
  <si>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</si>
  <si>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</si>
  <si>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</si>
  <si>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</si>
  <si>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</si>
  <si>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</si>
  <si>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</si>
  <si>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</si>
  <si>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</si>
  <si>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</si>
  <si>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</si>
  <si>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</si>
  <si>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</si>
  <si>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</si>
  <si>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</si>
  <si>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</si>
  <si>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</si>
  <si>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</si>
  <si>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</si>
  <si>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</si>
  <si>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</si>
  <si>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</si>
  <si>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</si>
  <si>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</si>
  <si>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</si>
  <si>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</si>
  <si>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</si>
  <si>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</si>
  <si>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</si>
  <si>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</si>
  <si>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</si>
  <si>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</si>
  <si>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</si>
  <si>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</si>
  <si>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</si>
  <si>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</si>
  <si>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</si>
  <si>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</si>
  <si>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</si>
  <si>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</si>
  <si>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</si>
  <si>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</si>
  <si>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</si>
  <si>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</si>
  <si>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</si>
  <si>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</si>
  <si>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</si>
  <si>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</si>
  <si>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</si>
  <si>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</si>
  <si>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</si>
  <si>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</si>
  <si>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</si>
  <si>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</si>
  <si>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</si>
  <si>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</si>
  <si>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</si>
  <si>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</si>
  <si>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</si>
  <si>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</si>
  <si>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</si>
  <si>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</si>
  <si>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</si>
  <si>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</si>
  <si>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</si>
  <si>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</si>
  <si>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</si>
  <si>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</si>
  <si>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</si>
  <si>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</si>
  <si>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</si>
  <si>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</si>
  <si>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</si>
  <si>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</si>
  <si>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</si>
  <si>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</si>
  <si>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</si>
  <si>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</si>
  <si>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</si>
  <si>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</si>
  <si>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</si>
  <si>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</si>
  <si>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</si>
  <si>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</si>
  <si>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</si>
  <si>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</si>
  <si>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</si>
  <si>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</si>
  <si>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</si>
  <si>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</si>
  <si>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</si>
  <si>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</si>
  <si>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</si>
  <si>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</si>
  <si>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</si>
  <si>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</si>
  <si>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</si>
  <si>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</si>
  <si>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</si>
  <si>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</si>
  <si>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</si>
  <si>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</si>
  <si>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</si>
  <si>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</si>
  <si>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</si>
  <si>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</si>
  <si>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</si>
  <si>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</si>
  <si>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</si>
  <si>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</si>
  <si>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</si>
  <si>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</si>
  <si>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</si>
  <si>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</si>
  <si>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</si>
  <si>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</si>
  <si>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</si>
  <si>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</si>
  <si>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</si>
  <si>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</si>
  <si>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</si>
  <si>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</si>
  <si>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</si>
  <si>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</si>
  <si>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</si>
  <si>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</si>
  <si>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</si>
  <si>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</si>
  <si>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</si>
  <si>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</si>
  <si>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</si>
  <si>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</si>
  <si>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</si>
  <si>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</si>
  <si>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</si>
  <si>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</si>
  <si>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</si>
  <si>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</si>
  <si>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</si>
  <si>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</si>
  <si>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</si>
  <si>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</si>
  <si>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</si>
  <si>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</si>
  <si>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</si>
  <si>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</si>
  <si>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</si>
  <si>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</si>
  <si>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</si>
  <si>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</si>
  <si>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</si>
  <si>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</si>
  <si>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</si>
  <si>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</si>
  <si>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</si>
  <si>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</si>
  <si>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</si>
  <si>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</si>
  <si>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</si>
  <si>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</si>
  <si>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</si>
  <si>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</si>
  <si>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</si>
  <si>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</si>
  <si>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</si>
  <si>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</si>
  <si>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</si>
  <si>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</si>
  <si>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</si>
  <si>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</si>
  <si>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</si>
  <si>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</si>
  <si>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</si>
  <si>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</si>
  <si>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</si>
  <si>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</si>
  <si>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</si>
  <si>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</si>
  <si>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</si>
  <si>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</si>
  <si>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</si>
  <si>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</si>
  <si>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</si>
  <si>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</si>
  <si>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</si>
  <si>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</si>
  <si>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</si>
  <si>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</si>
  <si>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</si>
  <si>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</si>
  <si>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</si>
  <si>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</si>
  <si>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</si>
  <si>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</si>
  <si>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</si>
  <si>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</si>
  <si>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</si>
  <si>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</si>
  <si>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</si>
  <si>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</si>
  <si>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</si>
  <si>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</si>
  <si>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</si>
  <si>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</si>
  <si>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</si>
  <si>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</si>
  <si>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</si>
  <si>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</si>
  <si>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</si>
  <si>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</si>
  <si>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</si>
  <si>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</si>
  <si>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</si>
  <si>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</si>
  <si>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</si>
  <si>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</si>
  <si>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</si>
  <si>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</si>
  <si>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</si>
  <si>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</si>
  <si>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</si>
  <si>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</si>
  <si>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</si>
  <si>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</si>
  <si>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</si>
  <si>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</si>
  <si>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</si>
  <si>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</si>
  <si>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</si>
  <si>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</si>
  <si>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</si>
  <si>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</si>
  <si>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</si>
  <si>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</si>
  <si>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</si>
  <si>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</si>
  <si>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</si>
  <si>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</si>
  <si>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</si>
  <si>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</si>
  <si>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</si>
  <si>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</si>
  <si>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</si>
  <si>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</si>
  <si>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</si>
  <si>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</si>
  <si>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</si>
  <si>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</si>
  <si>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</si>
  <si>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</si>
  <si>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</si>
  <si>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</si>
  <si>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</si>
  <si>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</si>
  <si>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</si>
  <si>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</si>
  <si>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</si>
  <si>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</si>
  <si>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</si>
  <si>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</si>
  <si>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</si>
  <si>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</si>
  <si>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</si>
  <si>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</si>
  <si>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</si>
  <si>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</si>
  <si>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</si>
  <si>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</si>
  <si>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</si>
  <si>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</si>
  <si>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</si>
  <si>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</si>
  <si>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</si>
  <si>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</si>
  <si>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</si>
  <si>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</si>
  <si>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</si>
  <si>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</si>
  <si>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</si>
  <si>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</si>
  <si>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</si>
  <si>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</si>
  <si>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</si>
  <si>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</si>
  <si>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</si>
  <si>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</si>
  <si>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</si>
  <si>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</si>
  <si>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</si>
  <si>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</si>
  <si>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</si>
  <si>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</si>
  <si>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</si>
  <si>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</si>
  <si>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</si>
  <si>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</si>
  <si>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</si>
  <si>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</si>
  <si>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</si>
  <si>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</si>
  <si>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</si>
  <si>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</si>
  <si>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</si>
  <si>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</si>
  <si>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</si>
  <si>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</si>
  <si>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</si>
  <si>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</si>
  <si>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</si>
  <si>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</si>
  <si>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</si>
  <si>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</si>
  <si>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</si>
  <si>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</si>
  <si>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</si>
  <si>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</si>
  <si>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</si>
  <si>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</si>
  <si>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</si>
  <si>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</si>
  <si>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</si>
  <si>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</si>
  <si>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</si>
  <si>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</si>
  <si>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</si>
  <si>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</si>
  <si>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</si>
  <si>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</si>
  <si>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</si>
  <si>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</si>
  <si>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</si>
  <si>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</si>
  <si>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</si>
  <si>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</si>
  <si>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</si>
  <si>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</si>
  <si>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</si>
  <si>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</si>
  <si>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</si>
  <si>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</si>
  <si>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</si>
  <si>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</si>
  <si>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</si>
  <si>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</si>
  <si>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</si>
  <si>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</si>
  <si>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</si>
  <si>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</si>
  <si>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</si>
  <si>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</si>
  <si>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</si>
  <si>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</si>
  <si>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</si>
  <si>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</si>
  <si>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</si>
  <si>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</si>
  <si>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</si>
  <si>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</si>
  <si>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</si>
  <si>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</si>
  <si>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</si>
  <si>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</si>
  <si>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</si>
  <si>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</si>
  <si>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</si>
  <si>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</si>
  <si>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</si>
  <si>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</si>
  <si>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</si>
  <si>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</si>
  <si>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</si>
  <si>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</si>
  <si>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</si>
  <si>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</si>
  <si>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</si>
  <si>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</si>
  <si>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</si>
  <si>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</si>
  <si>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</si>
  <si>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</si>
  <si>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</si>
  <si>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</si>
  <si>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</si>
  <si>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</si>
  <si>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</si>
  <si>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</si>
  <si>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</si>
  <si>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</si>
  <si>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</si>
  <si>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</si>
  <si>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</si>
  <si>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</si>
  <si>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</si>
  <si>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</si>
  <si>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</si>
  <si>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</si>
  <si>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</si>
  <si>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</si>
  <si>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</si>
  <si>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</si>
  <si>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</si>
  <si>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</si>
  <si>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</si>
  <si>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</si>
  <si>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</si>
  <si>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</si>
  <si>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</si>
  <si>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</si>
  <si>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</si>
  <si>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</si>
  <si>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</si>
  <si>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</si>
  <si>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</si>
  <si>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</si>
  <si>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</si>
  <si>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</si>
  <si>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</si>
  <si>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</si>
  <si>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</si>
  <si>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</si>
  <si>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</si>
  <si>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</si>
  <si>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</si>
  <si>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</si>
  <si>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</si>
  <si>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</si>
  <si>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</si>
  <si>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</si>
  <si>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</si>
  <si>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</si>
  <si>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</si>
  <si>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</si>
  <si>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</si>
  <si>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</si>
  <si>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</si>
  <si>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</si>
  <si>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</si>
  <si>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</si>
  <si>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</si>
  <si>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</si>
  <si>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</si>
  <si>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</si>
  <si>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</si>
  <si>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</si>
  <si>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</si>
  <si>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</si>
  <si>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</si>
  <si>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</si>
  <si>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</si>
  <si>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</si>
  <si>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</si>
  <si>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</si>
  <si>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</si>
  <si>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</si>
  <si>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</si>
  <si>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</si>
  <si>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</si>
  <si>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</si>
  <si>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</si>
  <si>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</si>
  <si>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</si>
  <si>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</si>
  <si>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</si>
  <si>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</si>
  <si>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</si>
  <si>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</si>
  <si>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</si>
  <si>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</si>
  <si>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</si>
  <si>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</si>
  <si>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</si>
  <si>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</si>
  <si>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</si>
  <si>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</si>
  <si>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</si>
  <si>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</si>
  <si>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</si>
  <si>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</si>
  <si>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</si>
  <si>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</si>
  <si>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</si>
  <si>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</si>
  <si>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</si>
  <si>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</si>
  <si>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</si>
  <si>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</si>
  <si>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</si>
  <si>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</si>
  <si>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</si>
  <si>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</si>
  <si>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</si>
  <si>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</si>
  <si>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</si>
  <si>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</si>
  <si>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</si>
  <si>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</si>
  <si>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</si>
  <si>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</si>
  <si>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</si>
  <si>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</si>
  <si>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</si>
  <si>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</si>
  <si>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</si>
  <si>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</si>
  <si>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</si>
  <si>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</si>
  <si>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</si>
  <si>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</si>
  <si>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</si>
  <si>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</si>
  <si>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</si>
  <si>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</si>
  <si>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</si>
  <si>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</si>
  <si>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</si>
  <si>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</si>
  <si>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</si>
  <si>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</si>
  <si>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</si>
  <si>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</si>
  <si>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</si>
  <si>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</si>
  <si>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</si>
  <si>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</si>
  <si>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</si>
  <si>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</si>
  <si>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</si>
  <si>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</si>
  <si>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</si>
  <si>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</si>
  <si>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</si>
  <si>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</si>
  <si>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</si>
  <si>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</si>
  <si>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</si>
  <si>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</si>
  <si>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</si>
  <si>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</si>
  <si>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</si>
  <si>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</si>
  <si>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</si>
  <si>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</si>
  <si>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</si>
  <si>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</si>
  <si>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</si>
  <si>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</si>
  <si>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</si>
  <si>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</si>
  <si>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</si>
  <si>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</si>
  <si>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</si>
  <si>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</si>
  <si>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</si>
  <si>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</si>
  <si>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</si>
  <si>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</si>
  <si>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</si>
  <si>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</si>
  <si>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</si>
  <si>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</si>
  <si>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</si>
  <si>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</si>
  <si>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</si>
  <si>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</si>
  <si>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</si>
  <si>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</si>
  <si>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</si>
  <si>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</si>
  <si>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</si>
  <si>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</si>
  <si>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</si>
  <si>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</si>
  <si>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</si>
  <si>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</si>
  <si>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</si>
  <si>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</si>
  <si>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</si>
  <si>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</si>
  <si>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</si>
  <si>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</si>
  <si>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</si>
  <si>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</si>
  <si>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</si>
  <si>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</si>
  <si>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</si>
  <si>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</si>
  <si>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</si>
  <si>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</si>
  <si>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</si>
  <si>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</si>
  <si>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</si>
  <si>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</si>
  <si>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</si>
  <si>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</si>
  <si>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</si>
  <si>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</si>
  <si>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</si>
  <si>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</si>
  <si>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</si>
  <si>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</si>
  <si>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</si>
  <si>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</si>
  <si>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</si>
  <si>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</si>
  <si>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</si>
  <si>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</si>
  <si>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</si>
  <si>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</si>
  <si>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</si>
  <si>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</si>
  <si>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</si>
  <si>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</si>
  <si>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</si>
  <si>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</si>
  <si>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</si>
  <si>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</si>
  <si>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</si>
  <si>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</si>
  <si>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</si>
  <si>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</si>
  <si>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</si>
  <si>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</si>
  <si>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</si>
  <si>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</si>
  <si>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</si>
  <si>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</si>
  <si>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</si>
  <si>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</si>
  <si>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</si>
  <si>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</si>
  <si>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</si>
  <si>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</si>
  <si>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</si>
  <si>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</si>
  <si>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</si>
  <si>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</si>
  <si>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</si>
  <si>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</si>
  <si>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</si>
  <si>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</si>
  <si>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</si>
  <si>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</si>
  <si>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</si>
  <si>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</si>
  <si>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</si>
  <si>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</si>
  <si>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</si>
  <si>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</si>
  <si>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</si>
  <si>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</si>
  <si>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</si>
  <si>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</si>
  <si>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</si>
  <si>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</si>
  <si>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</si>
  <si>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</si>
  <si>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</si>
  <si>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</si>
  <si>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</si>
  <si>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</si>
  <si>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</si>
  <si>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</si>
  <si>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</si>
  <si>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</si>
  <si>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</si>
  <si>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</si>
  <si>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</si>
  <si>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</si>
  <si>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</si>
  <si>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</si>
  <si>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</si>
  <si>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</si>
  <si>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</si>
  <si>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</si>
  <si>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</si>
  <si>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</si>
  <si>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</si>
  <si>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</si>
  <si>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</si>
  <si>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</si>
  <si>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</si>
  <si>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</si>
  <si>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</si>
  <si>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</si>
  <si>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</si>
  <si>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</si>
  <si>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</si>
  <si>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</si>
  <si>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</si>
  <si>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</si>
  <si>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</si>
  <si>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</si>
  <si>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</si>
  <si>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</si>
  <si>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</si>
  <si>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</si>
  <si>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</si>
  <si>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</si>
  <si>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</si>
  <si>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</si>
  <si>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</si>
  <si>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</si>
  <si>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</si>
  <si>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</si>
  <si>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</si>
  <si>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</si>
  <si>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</si>
  <si>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</si>
  <si>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</si>
  <si>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</si>
  <si>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</si>
  <si>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</si>
  <si>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</si>
  <si>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</si>
  <si>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</si>
  <si>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</si>
  <si>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</si>
  <si>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</si>
  <si>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</si>
  <si>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</si>
  <si>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</si>
  <si>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</si>
  <si>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</si>
  <si>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</si>
  <si>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</si>
  <si>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</si>
  <si>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</si>
  <si>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</si>
  <si>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</si>
  <si>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</si>
  <si>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</si>
  <si>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</si>
  <si>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</si>
  <si>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</si>
  <si>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</si>
  <si>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</si>
  <si>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</si>
  <si>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</si>
  <si>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</si>
  <si>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</si>
  <si>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</si>
  <si>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</si>
  <si>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</si>
  <si>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</si>
  <si>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</si>
  <si>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</si>
  <si>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</si>
  <si>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</si>
  <si>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</si>
  <si>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</si>
  <si>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</si>
  <si>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</si>
  <si>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</si>
  <si>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</si>
  <si>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</si>
  <si>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</si>
  <si>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</si>
  <si>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</si>
  <si>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</si>
  <si>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</si>
  <si>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</si>
  <si>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</si>
  <si>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</si>
  <si>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</si>
  <si>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</si>
  <si>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</si>
  <si>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</si>
  <si>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</si>
  <si>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</si>
  <si>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</si>
  <si>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</si>
  <si>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</si>
  <si>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</si>
  <si>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</si>
  <si>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</si>
  <si>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</si>
  <si>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</si>
  <si>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</si>
  <si>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</si>
  <si>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</si>
  <si>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</si>
  <si>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</si>
  <si>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</si>
  <si>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</si>
  <si>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</si>
  <si>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</si>
  <si>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</si>
  <si>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</si>
  <si>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</si>
  <si>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</si>
  <si>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</si>
  <si>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</si>
  <si>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</si>
  <si>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</si>
  <si>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</si>
  <si>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</si>
  <si>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</si>
  <si>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</si>
  <si>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</si>
  <si>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</si>
  <si>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</si>
  <si>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</si>
  <si>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</si>
  <si>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</si>
  <si>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</si>
  <si>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</si>
  <si>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</si>
  <si>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</si>
  <si>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</si>
  <si>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</si>
  <si>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</si>
  <si>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</si>
  <si>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</si>
  <si>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</si>
  <si>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</si>
  <si>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</si>
  <si>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</si>
  <si>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</si>
  <si>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</si>
  <si>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</si>
  <si>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</si>
  <si>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</si>
  <si>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</si>
  <si>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</si>
  <si>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</si>
  <si>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</si>
  <si>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</si>
  <si>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</si>
  <si>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</si>
  <si>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</si>
  <si>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</si>
  <si>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</si>
  <si>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</si>
  <si>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</si>
  <si>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</si>
  <si>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</si>
  <si>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</si>
  <si>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</si>
  <si>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</si>
  <si>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</si>
  <si>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</si>
  <si>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</si>
  <si>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</si>
  <si>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</si>
  <si>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</si>
  <si>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</si>
  <si>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</si>
  <si>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</si>
  <si>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</si>
  <si>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</si>
  <si>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</si>
  <si>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</si>
  <si>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</si>
  <si>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</si>
  <si>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</si>
  <si>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</si>
  <si>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</si>
  <si>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</si>
  <si>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</si>
  <si>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</si>
  <si>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</si>
  <si>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</si>
  <si>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</si>
  <si>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</si>
  <si>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</si>
  <si>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</si>
  <si>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</si>
  <si>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</si>
  <si>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</si>
  <si>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</si>
  <si>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</si>
  <si>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</si>
  <si>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</si>
  <si>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</si>
  <si>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</si>
  <si>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</si>
  <si>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</si>
  <si>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</si>
  <si>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</si>
  <si>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</si>
  <si>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</si>
  <si>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</si>
  <si>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</si>
  <si>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</si>
  <si>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</si>
  <si>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</si>
  <si>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</si>
  <si>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</si>
  <si>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</si>
  <si>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</si>
  <si>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</si>
  <si>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</si>
  <si>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</si>
  <si>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</si>
  <si>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</si>
  <si>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</si>
  <si>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</si>
  <si>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</si>
  <si>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</si>
  <si>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</si>
  <si>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</si>
  <si>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</si>
  <si>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</si>
  <si>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</si>
  <si>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</si>
  <si>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</si>
  <si>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</si>
  <si>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</si>
  <si>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</si>
  <si>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</si>
  <si>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</si>
  <si>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</si>
  <si>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</si>
  <si>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</si>
  <si>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</si>
  <si>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</si>
  <si>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</si>
  <si>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</si>
  <si>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</si>
  <si>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</si>
  <si>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</si>
  <si>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</si>
  <si>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</si>
  <si>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</si>
  <si>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</si>
  <si>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</si>
  <si>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</si>
  <si>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</si>
  <si>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</si>
  <si>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</si>
  <si>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</si>
  <si>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</si>
  <si>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</si>
  <si>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</si>
  <si>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</si>
  <si>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</si>
  <si>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</si>
  <si>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</si>
  <si>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</si>
  <si>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</si>
  <si>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</si>
  <si>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</si>
  <si>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</si>
  <si>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</si>
  <si>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</si>
  <si>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</si>
  <si>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</si>
  <si>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</si>
  <si>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</si>
  <si>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</si>
  <si>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</si>
  <si>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</si>
  <si>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</si>
  <si>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</si>
  <si>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</si>
  <si>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</si>
  <si>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</si>
  <si>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</si>
  <si>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</si>
  <si>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</si>
  <si>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</si>
  <si>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</si>
  <si>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</si>
  <si>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Emling &amp; Hoffman, P.C.</t>
  </si>
  <si>
    <t>Donald L. Hoffman</t>
  </si>
  <si>
    <t>105 E Main St</t>
  </si>
  <si>
    <t>Du Quoin</t>
  </si>
  <si>
    <t>Illinois</t>
  </si>
  <si>
    <t>618-542-4747</t>
  </si>
  <si>
    <t>618-542-6141</t>
  </si>
  <si>
    <t>065-012078</t>
  </si>
  <si>
    <t>donhoffman@emlingcpa.com</t>
  </si>
  <si>
    <t>Tri County Special Education</t>
  </si>
  <si>
    <t>The accompanying Schedule of Expenditures of Federal Awards includes the federal grant activity of DeSoto Community Consolidated School District #86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</si>
  <si>
    <t>Of the federal expenditures presented in the schedule, DeSoto Community Consolidated School District #86 provided federal awards to subrecipients as follows:</t>
  </si>
  <si>
    <r>
      <t xml:space="preserve">The following amounts were expended in the form of non-cash assistance by DeSoto Community Consolidated School District #86 and </t>
    </r>
    <r>
      <rPr>
        <b/>
        <sz val="9"/>
        <rFont val="Calibri"/>
        <family val="2"/>
        <scheme val="minor"/>
      </rPr>
      <t>should be</t>
    </r>
    <r>
      <rPr>
        <sz val="9"/>
        <rFont val="Calibri"/>
        <family val="2"/>
        <scheme val="minor"/>
      </rPr>
      <t xml:space="preserve"> included in the Schedule of Expenditures of Federal Awards:</t>
    </r>
  </si>
  <si>
    <t>Segregation of duties.</t>
  </si>
  <si>
    <t>There are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</si>
  <si>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</si>
  <si>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</si>
  <si>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</si>
  <si>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for an adequate segregation of duties, it is important that the personnel and managment are aware of this condition.</t>
  </si>
  <si>
    <t>The School District is aware of this condition.  They will review their staffing arrangements, assignment of duties, and employee bonding.</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</si>
  <si>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 which is a basis of accounting other than accounting principles generally accepted in the United States of America.</t>
  </si>
  <si>
    <t>The School District does not possess the ability to draft their financial statements or footnotes.</t>
  </si>
  <si>
    <t>The School District's management may not be able to detect errors or omissions in the application of the regulatory basis of accounting with respect to the School District's financial statements or footnotes.</t>
  </si>
  <si>
    <t>Lack of formal technical training.</t>
  </si>
  <si>
    <t>Management agrees with the finding.  However, the Illinois State Board of Education requires the School District auditor to prepare the annual financial report.</t>
  </si>
  <si>
    <t>2017-001</t>
  </si>
  <si>
    <t>2017-002</t>
  </si>
  <si>
    <t>There are limited segregation of duties over cash receipts and disbursements, receiving and purchasing, recording of transactions and reconciliation of bank accounts.  The School District employs too few individuals to perform all of the before mentioned functions.</t>
  </si>
  <si>
    <t>Personnel of the School District do not currently possess the skills necessary to draft financial statements and footnotes in accordance with the regulatory basis of accounting.</t>
  </si>
  <si>
    <t>The School District is aware of this condition.  However, due to budget restraints, the School District cannot hire more personnel.  The School District will continue to review their staffing arrangements, assignment of duties, and employee bonding.</t>
  </si>
  <si>
    <t>The Illinois State Board of Education requires the School District's auditor to prepare the Annual Financial Report.  The School District will continue to employ a member of management with adequate skills, knowledge, and experience to accept responsibility over the reports and footnote disclosures.</t>
  </si>
  <si>
    <t>Jefferson</t>
  </si>
  <si>
    <t>Summersville Grade School #79</t>
  </si>
  <si>
    <t>1118 East Fairfield Road</t>
  </si>
  <si>
    <t>Mt. Vernon</t>
  </si>
  <si>
    <t>sville@wildcats.org</t>
  </si>
  <si>
    <t>Michael Denault</t>
  </si>
  <si>
    <t>mdenault@wildcats.org</t>
  </si>
  <si>
    <t>618-244-8079</t>
  </si>
  <si>
    <t>618-244-8078</t>
  </si>
  <si>
    <t>Ron Daniels</t>
  </si>
  <si>
    <t>rdaniels@roe13.org</t>
  </si>
  <si>
    <t>618-244-8040</t>
  </si>
  <si>
    <t>618-241-7868</t>
  </si>
  <si>
    <t>2010 General Obligation Refunding School Bonds</t>
  </si>
  <si>
    <t>10-2150-300</t>
  </si>
  <si>
    <t>Franklin Jefferson Special Education</t>
  </si>
  <si>
    <t>ED-Pupil-Purchased Services</t>
  </si>
  <si>
    <t>ED-Fiscal Services-Purchased Services</t>
  </si>
  <si>
    <t>10-2520-300</t>
  </si>
  <si>
    <t>ED-Instruction-Purchased Services</t>
  </si>
  <si>
    <t>10-1100-300</t>
  </si>
  <si>
    <t>Quality Network Solutions</t>
  </si>
  <si>
    <t>10-1250-300</t>
  </si>
  <si>
    <t>ED-Instruction-Supplies &amp; Materials</t>
  </si>
  <si>
    <t>10-1100-400</t>
  </si>
  <si>
    <t>10-1250-400</t>
  </si>
  <si>
    <t>Mt. Vernon Township High School/Mt. Vernon Grade School #80</t>
  </si>
  <si>
    <t>1790 - Admissions Other - Concession sales $17,247.</t>
  </si>
  <si>
    <t>1993 - Other Local Fees - E-Rate Reimbursements $32,065.</t>
  </si>
  <si>
    <t>3999 - Other Restricted State Sources - Library Per Capita Grant $1,500.</t>
  </si>
  <si>
    <t>1999 - Other Local Revenues - Restitution $527.</t>
  </si>
  <si>
    <t>10-2190 &amp; 50-2190 - Crossing Guard.</t>
  </si>
  <si>
    <t>Detailed property records are not presently maintained, preventing the auditors from expressing an opinion on the General Fixed Assets Account Group.</t>
  </si>
  <si>
    <t>Finding 2018-001 and Finding 2018-002.</t>
  </si>
  <si>
    <t xml:space="preserve">Current Governmental Auditing Standards allow the School District to continue to request the auditor to prepare the financial statements and footnote disclosures.  However, the School District is still responsible for having a qualified person capable of understanding the complete drafting of the financial statements and footnotes disclosures, as well as having the capability to making sure that all adjusting journal entries, having a material effect on the financial statements, are properly posted prior to the audit being performed.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</si>
</sst>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50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51" fillId="0" borderId="0" xfId="3" applyFont="1" applyAlignment="1" applyProtection="1">
      <alignment horizontal="center"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0" borderId="0" xfId="3" applyFont="1" applyBorder="1" applyAlignment="1" applyProtection="1">
      <alignment horizontal="justify" vertical="top"/>
      <protection locked="0"/>
    </xf>
    <xf numFmtId="0" fontId="54" fillId="0" borderId="0" xfId="3" applyFont="1" applyAlignment="1" applyProtection="1">
      <protection locked="0"/>
    </xf>
    <xf numFmtId="0" fontId="54" fillId="0" borderId="0" xfId="3" applyFont="1" applyBorder="1" applyAlignment="1" applyProtection="1">
      <alignment horizontal="justify"/>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justify" vertical="top" wrapText="1"/>
      <protection locked="0"/>
    </xf>
    <xf numFmtId="0" fontId="54" fillId="0" borderId="0" xfId="3" applyFont="1" applyAlignment="1" applyProtection="1">
      <alignment horizontal="justify"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justify" vertical="top" wrapText="1"/>
      <protection locked="0"/>
    </xf>
    <xf numFmtId="0" fontId="54" fillId="0" borderId="0" xfId="3" applyFont="1" applyAlignment="1" applyProtection="1">
      <alignment horizontal="justify" vertical="top"/>
      <protection locked="0"/>
    </xf>
    <xf numFmtId="0" fontId="54" fillId="0" borderId="0" xfId="3" applyFont="1" applyBorder="1" applyAlignment="1" applyProtection="1">
      <alignment horizontal="justify" vertical="top"/>
      <protection locked="0"/>
    </xf>
    <xf numFmtId="0" fontId="51" fillId="0" borderId="0" xfId="3" applyNumberFormat="1" applyFont="1" applyAlignment="1" applyProtection="1">
      <alignment horizontal="center" vertical="center" wrapText="1"/>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2" fillId="0" borderId="0" xfId="3" applyFont="1" applyAlignment="1" applyProtection="1">
      <alignment horizontal="justify" vertical="center" wrapTex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1000125</xdr:colOff>
          <xdr:row>5</xdr:row>
          <xdr:rowOff>142875</xdr:rowOff>
        </xdr:from>
        <xdr:to>
          <xdr:col>1</xdr:col>
          <xdr:colOff>1866900</xdr:colOff>
          <xdr:row>10</xdr:row>
          <xdr:rowOff>38100</xdr:rowOff>
        </xdr:to>
        <xdr:sp macro="" textlink="">
          <xdr:nvSpPr>
            <xdr:cNvPr id="35847" name="Object 7" descr="Corrective Action Plan"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5</xdr:row>
          <xdr:rowOff>142875</xdr:rowOff>
        </xdr:from>
        <xdr:to>
          <xdr:col>1</xdr:col>
          <xdr:colOff>2895600</xdr:colOff>
          <xdr:row>10</xdr:row>
          <xdr:rowOff>38100</xdr:rowOff>
        </xdr:to>
        <xdr:sp macro="" textlink="">
          <xdr:nvSpPr>
            <xdr:cNvPr id="35848" name="Object 8" descr="Signed Page 2" hidden="1">
              <a:extLst>
                <a:ext uri="{63B3BB69-23CF-44E3-9099-C40C66FF867C}">
                  <a14:compatExt spid="_x0000_s35848"/>
                </a:ext>
                <a:ext uri="{FF2B5EF4-FFF2-40B4-BE49-F238E27FC236}">
                  <a16:creationId xmlns:a16="http://schemas.microsoft.com/office/drawing/2014/main" id="{00000000-0008-0000-1400-000008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xdr:row>
          <xdr:rowOff>38100</xdr:rowOff>
        </xdr:from>
        <xdr:to>
          <xdr:col>1</xdr:col>
          <xdr:colOff>895350</xdr:colOff>
          <xdr:row>5</xdr:row>
          <xdr:rowOff>76200</xdr:rowOff>
        </xdr:to>
        <xdr:sp macro="" textlink="">
          <xdr:nvSpPr>
            <xdr:cNvPr id="35849" name="Object 9" descr="SAS Letter" hidden="1">
              <a:extLst>
                <a:ext uri="{63B3BB69-23CF-44E3-9099-C40C66FF867C}">
                  <a14:compatExt spid="_x0000_s35849"/>
                </a:ext>
                <a:ext uri="{FF2B5EF4-FFF2-40B4-BE49-F238E27FC236}">
                  <a16:creationId xmlns:a16="http://schemas.microsoft.com/office/drawing/2014/main" id="{00000000-0008-0000-1400-000009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1</xdr:row>
          <xdr:rowOff>9525</xdr:rowOff>
        </xdr:from>
        <xdr:to>
          <xdr:col>1</xdr:col>
          <xdr:colOff>2886075</xdr:colOff>
          <xdr:row>5</xdr:row>
          <xdr:rowOff>66675</xdr:rowOff>
        </xdr:to>
        <xdr:sp macro="" textlink="">
          <xdr:nvSpPr>
            <xdr:cNvPr id="35852" name="Object 12" descr="Peer Review Letter" hidden="1">
              <a:extLst>
                <a:ext uri="{63B3BB69-23CF-44E3-9099-C40C66FF867C}">
                  <a14:compatExt spid="_x0000_s35852"/>
                </a:ext>
                <a:ext uri="{FF2B5EF4-FFF2-40B4-BE49-F238E27FC236}">
                  <a16:creationId xmlns:a16="http://schemas.microsoft.com/office/drawing/2014/main" id="{00000000-0008-0000-1400-00000C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xdr:row>
          <xdr:rowOff>9525</xdr:rowOff>
        </xdr:from>
        <xdr:to>
          <xdr:col>1</xdr:col>
          <xdr:colOff>866775</xdr:colOff>
          <xdr:row>10</xdr:row>
          <xdr:rowOff>47625</xdr:rowOff>
        </xdr:to>
        <xdr:sp macro="" textlink="">
          <xdr:nvSpPr>
            <xdr:cNvPr id="35854" name="Object 14" descr="Notes to Basic Financial Statements" hidden="1">
              <a:extLst>
                <a:ext uri="{63B3BB69-23CF-44E3-9099-C40C66FF867C}">
                  <a14:compatExt spid="_x0000_s35854"/>
                </a:ext>
                <a:ext uri="{FF2B5EF4-FFF2-40B4-BE49-F238E27FC236}">
                  <a16:creationId xmlns:a16="http://schemas.microsoft.com/office/drawing/2014/main" id="{00000000-0008-0000-1400-00000E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1</xdr:row>
          <xdr:rowOff>9525</xdr:rowOff>
        </xdr:from>
        <xdr:to>
          <xdr:col>1</xdr:col>
          <xdr:colOff>1866900</xdr:colOff>
          <xdr:row>5</xdr:row>
          <xdr:rowOff>47625</xdr:rowOff>
        </xdr:to>
        <xdr:sp macro="" textlink="">
          <xdr:nvSpPr>
            <xdr:cNvPr id="35855" name="Object 15" descr="Signed Managment Rep Letter" hidden="1">
              <a:extLst>
                <a:ext uri="{63B3BB69-23CF-44E3-9099-C40C66FF867C}">
                  <a14:compatExt spid="_x0000_s35855"/>
                </a:ext>
                <a:ext uri="{FF2B5EF4-FFF2-40B4-BE49-F238E27FC236}">
                  <a16:creationId xmlns:a16="http://schemas.microsoft.com/office/drawing/2014/main" id="{0E9CEC01-31B3-495D-83B4-74C4047EFE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876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87642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76200</xdr:colOff>
      <xdr:row>46</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44</xdr:row>
      <xdr:rowOff>0</xdr:rowOff>
    </xdr:from>
    <xdr:to>
      <xdr:col>2</xdr:col>
      <xdr:colOff>0</xdr:colOff>
      <xdr:row>44</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2073</v>
      </c>
      <c r="C5" s="26" t="s">
        <v>966</v>
      </c>
      <c r="D5" s="84"/>
      <c r="E5" s="84"/>
      <c r="H5" s="38"/>
      <c r="I5" s="2040" t="s">
        <v>701</v>
      </c>
      <c r="J5" s="1985"/>
      <c r="K5" s="1985"/>
      <c r="L5" s="1985"/>
      <c r="M5" s="1985"/>
      <c r="N5" s="1985"/>
      <c r="O5" s="1985"/>
      <c r="P5" s="1985"/>
      <c r="Q5" s="1985"/>
      <c r="R5" s="1985"/>
      <c r="S5" s="1985"/>
    </row>
    <row r="6" spans="1:28" ht="14.1" customHeight="1" x14ac:dyDescent="0.2">
      <c r="B6" s="104"/>
      <c r="C6" s="26" t="s">
        <v>967</v>
      </c>
      <c r="D6" s="84"/>
      <c r="E6" s="84"/>
      <c r="I6" s="2039" t="s">
        <v>938</v>
      </c>
      <c r="J6" s="1985"/>
      <c r="K6" s="1985"/>
      <c r="L6" s="1985"/>
      <c r="M6" s="1985"/>
      <c r="N6" s="1985"/>
      <c r="O6" s="1985"/>
      <c r="P6" s="1985"/>
      <c r="Q6" s="1985"/>
      <c r="R6" s="1985"/>
      <c r="S6" s="1985"/>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1981" t="s">
        <v>554</v>
      </c>
      <c r="U9" s="1982"/>
      <c r="V9" s="1982"/>
      <c r="W9" s="1982"/>
      <c r="X9" s="1982"/>
      <c r="Y9" s="1982"/>
      <c r="Z9" s="1982"/>
      <c r="AA9" s="1983"/>
    </row>
    <row r="10" spans="1:28" ht="13.5" customHeight="1" x14ac:dyDescent="0.2">
      <c r="A10" s="1990" t="s">
        <v>696</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1012</v>
      </c>
      <c r="B11" s="1994"/>
      <c r="C11" s="1994"/>
      <c r="D11" s="1994"/>
      <c r="E11" s="1994"/>
      <c r="F11" s="1994"/>
      <c r="G11" s="1994"/>
      <c r="H11" s="1995"/>
      <c r="I11" s="27"/>
      <c r="J11" s="74"/>
      <c r="K11" s="27"/>
      <c r="O11" s="148" t="s">
        <v>2073</v>
      </c>
      <c r="P11" s="100" t="s">
        <v>210</v>
      </c>
      <c r="Q11" s="30"/>
      <c r="R11" s="28"/>
      <c r="S11" s="27"/>
      <c r="T11" s="1987"/>
      <c r="U11" s="1988"/>
      <c r="V11" s="1988"/>
      <c r="W11" s="1988"/>
      <c r="X11" s="1988"/>
      <c r="Y11" s="1988"/>
      <c r="Z11" s="1988"/>
      <c r="AA11" s="198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1">
        <v>13041079002</v>
      </c>
      <c r="B13" s="2002"/>
      <c r="C13" s="2002"/>
      <c r="D13" s="2002"/>
      <c r="E13" s="2002"/>
      <c r="F13" s="2002"/>
      <c r="G13" s="2002"/>
      <c r="H13" s="2003"/>
      <c r="I13" s="31"/>
      <c r="J13" s="30"/>
      <c r="K13" s="28"/>
      <c r="L13" s="30"/>
      <c r="M13" s="30"/>
      <c r="N13" s="30"/>
      <c r="O13" s="30"/>
      <c r="P13" s="30"/>
      <c r="Q13" s="30"/>
      <c r="R13" s="30"/>
      <c r="S13" s="30"/>
      <c r="T13" s="2006" t="s">
        <v>2074</v>
      </c>
      <c r="U13" s="2007"/>
      <c r="V13" s="2007"/>
      <c r="W13" s="2007"/>
      <c r="X13" s="2007"/>
      <c r="Y13" s="2008"/>
      <c r="Z13" s="2008"/>
      <c r="AA13" s="200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9" t="s">
        <v>2105</v>
      </c>
      <c r="B15" s="2004"/>
      <c r="C15" s="2004"/>
      <c r="D15" s="2004"/>
      <c r="E15" s="2004"/>
      <c r="F15" s="2004"/>
      <c r="G15" s="2004"/>
      <c r="H15" s="2005"/>
      <c r="T15" s="1967" t="s">
        <v>2075</v>
      </c>
      <c r="U15" s="1968"/>
      <c r="V15" s="1968"/>
      <c r="W15" s="1968"/>
      <c r="X15" s="1968"/>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2106</v>
      </c>
      <c r="B17" s="2029"/>
      <c r="C17" s="2029"/>
      <c r="D17" s="2029"/>
      <c r="E17" s="2029"/>
      <c r="F17" s="2029"/>
      <c r="G17" s="2029"/>
      <c r="H17" s="2030"/>
      <c r="T17" s="2016" t="s">
        <v>2076</v>
      </c>
      <c r="U17" s="2017"/>
      <c r="V17" s="2017"/>
      <c r="W17" s="2017"/>
      <c r="X17" s="2017"/>
      <c r="Y17" s="2017"/>
      <c r="Z17" s="2017"/>
      <c r="AA17" s="2018"/>
    </row>
    <row r="18" spans="1:27" ht="13.5" customHeight="1" x14ac:dyDescent="0.2">
      <c r="A18" s="85" t="s">
        <v>551</v>
      </c>
      <c r="B18" s="76"/>
      <c r="C18" s="72"/>
      <c r="D18" s="76"/>
      <c r="E18" s="76"/>
      <c r="F18" s="76"/>
      <c r="G18" s="76"/>
      <c r="H18" s="56"/>
      <c r="I18" s="2026" t="s">
        <v>697</v>
      </c>
      <c r="J18" s="2027"/>
      <c r="K18" s="2027"/>
      <c r="L18" s="2027"/>
      <c r="M18" s="2027"/>
      <c r="N18" s="2027"/>
      <c r="O18" s="2027"/>
      <c r="P18" s="2027"/>
      <c r="Q18" s="2027"/>
      <c r="R18" s="2027"/>
      <c r="S18" s="2028"/>
      <c r="T18" s="85" t="s">
        <v>735</v>
      </c>
      <c r="U18" s="51"/>
      <c r="V18" s="72"/>
      <c r="W18" s="50"/>
      <c r="X18" s="85" t="s">
        <v>284</v>
      </c>
      <c r="Y18" s="81"/>
      <c r="Z18" s="159" t="s">
        <v>698</v>
      </c>
      <c r="AA18" s="46"/>
    </row>
    <row r="19" spans="1:27" ht="13.5" customHeight="1" x14ac:dyDescent="0.2">
      <c r="A19" s="1999" t="s">
        <v>2107</v>
      </c>
      <c r="B19" s="2000"/>
      <c r="C19" s="2000"/>
      <c r="D19" s="2000"/>
      <c r="E19" s="2000"/>
      <c r="F19" s="2000"/>
      <c r="G19" s="2000"/>
      <c r="H19" s="1998"/>
      <c r="I19" s="30"/>
      <c r="J19" s="99"/>
      <c r="K19" s="40"/>
      <c r="L19" s="38"/>
      <c r="M19" s="112" t="s">
        <v>333</v>
      </c>
      <c r="P19" s="27"/>
      <c r="Q19" s="27"/>
      <c r="R19" s="27"/>
      <c r="S19" s="31"/>
      <c r="T19" s="1999" t="s">
        <v>2077</v>
      </c>
      <c r="U19" s="1997"/>
      <c r="V19" s="1997"/>
      <c r="W19" s="1998"/>
      <c r="X19" s="2014" t="s">
        <v>2078</v>
      </c>
      <c r="Y19" s="2015"/>
      <c r="Z19" s="2012">
        <v>62832</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6" t="s">
        <v>2108</v>
      </c>
      <c r="B21" s="1997"/>
      <c r="C21" s="1997"/>
      <c r="D21" s="1997"/>
      <c r="E21" s="1997"/>
      <c r="F21" s="1997"/>
      <c r="G21" s="1997"/>
      <c r="H21" s="1998"/>
      <c r="I21" s="2022" t="s">
        <v>699</v>
      </c>
      <c r="J21" s="1985"/>
      <c r="K21" s="1985"/>
      <c r="L21" s="1985"/>
      <c r="M21" s="1985"/>
      <c r="N21" s="1985"/>
      <c r="O21" s="1985"/>
      <c r="P21" s="1985"/>
      <c r="Q21" s="1985"/>
      <c r="R21" s="1985"/>
      <c r="S21" s="1986"/>
      <c r="T21" s="1964" t="s">
        <v>2079</v>
      </c>
      <c r="U21" s="1965"/>
      <c r="V21" s="1965"/>
      <c r="W21" s="1965"/>
      <c r="X21" s="1978" t="s">
        <v>2080</v>
      </c>
      <c r="Y21" s="1979"/>
      <c r="Z21" s="1979"/>
      <c r="AA21" s="1980"/>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9" t="s">
        <v>2109</v>
      </c>
      <c r="B23" s="2020"/>
      <c r="C23" s="2020"/>
      <c r="D23" s="2020"/>
      <c r="E23" s="2020"/>
      <c r="F23" s="2020"/>
      <c r="G23" s="2020"/>
      <c r="H23" s="2021"/>
      <c r="T23" s="1959" t="s">
        <v>2081</v>
      </c>
      <c r="U23" s="1960"/>
      <c r="V23" s="1960"/>
      <c r="W23" s="1960"/>
      <c r="X23" s="1975">
        <v>43373</v>
      </c>
      <c r="Y23" s="1976"/>
      <c r="Z23" s="1976"/>
      <c r="AA23" s="1977"/>
    </row>
    <row r="24" spans="1:27" ht="14.1" customHeight="1" x14ac:dyDescent="0.2">
      <c r="A24" s="88" t="s">
        <v>698</v>
      </c>
      <c r="B24" s="49"/>
      <c r="C24" s="49"/>
      <c r="D24" s="49"/>
      <c r="E24" s="49"/>
      <c r="F24" s="49"/>
      <c r="G24" s="49"/>
      <c r="H24" s="61"/>
      <c r="J24" s="2061">
        <f>IF(B5="x",IF(AUDITCHECK!D29="AFR form Incomplete.","",IF(AUDITCHECK!D29="Deficit reduction plan is required.","School District must complete a deficit reduction plan in the 2018-2019 Budget",)),"")</f>
        <v>0</v>
      </c>
      <c r="K24" s="2061"/>
      <c r="L24" s="2061"/>
      <c r="M24" s="2061"/>
      <c r="N24" s="2061"/>
      <c r="O24" s="2061"/>
      <c r="P24" s="2061"/>
      <c r="Q24" s="2061"/>
      <c r="R24" s="2061"/>
      <c r="S24" s="2062"/>
      <c r="T24" s="105" t="s">
        <v>552</v>
      </c>
      <c r="U24" s="106"/>
      <c r="V24" s="106"/>
      <c r="W24" s="106"/>
      <c r="X24" s="107"/>
      <c r="Y24" s="107"/>
      <c r="Z24" s="107"/>
      <c r="AA24" s="108"/>
    </row>
    <row r="25" spans="1:27" ht="14.1" customHeight="1" x14ac:dyDescent="0.2">
      <c r="A25" s="1996">
        <v>62864</v>
      </c>
      <c r="B25" s="1997"/>
      <c r="C25" s="1997"/>
      <c r="D25" s="1997"/>
      <c r="E25" s="1997"/>
      <c r="F25" s="1997"/>
      <c r="G25" s="1997"/>
      <c r="H25" s="1998"/>
      <c r="I25" s="113"/>
      <c r="J25" s="2063"/>
      <c r="K25" s="2063"/>
      <c r="L25" s="2063"/>
      <c r="M25" s="2063"/>
      <c r="N25" s="2063"/>
      <c r="O25" s="2063"/>
      <c r="P25" s="2063"/>
      <c r="Q25" s="2063"/>
      <c r="R25" s="2063"/>
      <c r="S25" s="2064"/>
      <c r="T25" s="1956" t="s">
        <v>2082</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4" t="s">
        <v>1591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2073</v>
      </c>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c r="K30" s="28" t="s">
        <v>597</v>
      </c>
      <c r="L30" s="102" t="s">
        <v>2073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t="s">
        <v>2110</v>
      </c>
      <c r="B38" s="2029"/>
      <c r="C38" s="2029"/>
      <c r="D38" s="2029"/>
      <c r="E38" s="2029"/>
      <c r="F38" s="1997"/>
      <c r="G38" s="1997"/>
      <c r="H38" s="1998"/>
      <c r="I38" s="2048"/>
      <c r="J38" s="1968"/>
      <c r="K38" s="1968"/>
      <c r="L38" s="1968"/>
      <c r="M38" s="1968"/>
      <c r="N38" s="1968"/>
      <c r="O38" s="1968"/>
      <c r="P38" s="1969"/>
      <c r="Q38" s="1969"/>
      <c r="R38" s="1969"/>
      <c r="S38" s="1970"/>
      <c r="T38" s="1967" t="s">
        <v>2114</v>
      </c>
      <c r="U38" s="1968"/>
      <c r="V38" s="1968"/>
      <c r="W38" s="1968"/>
      <c r="X38" s="1969"/>
      <c r="Y38" s="1969"/>
      <c r="Z38" s="1969"/>
      <c r="AA38" s="1970"/>
    </row>
    <row r="39" spans="1:27" ht="12" customHeight="1" x14ac:dyDescent="0.2">
      <c r="A39" s="2052" t="s">
        <v>552</v>
      </c>
      <c r="B39" s="2053"/>
      <c r="C39" s="72"/>
      <c r="D39" s="69"/>
      <c r="E39" s="69"/>
      <c r="F39" s="79"/>
      <c r="G39" s="69"/>
      <c r="H39" s="56"/>
      <c r="I39" s="2052" t="s">
        <v>552</v>
      </c>
      <c r="J39" s="2053"/>
      <c r="K39" s="2053"/>
      <c r="L39" s="2053"/>
      <c r="M39" s="2053"/>
      <c r="N39" s="67"/>
      <c r="O39" s="72"/>
      <c r="P39" s="72"/>
      <c r="Q39" s="78"/>
      <c r="R39" s="72"/>
      <c r="S39" s="56"/>
      <c r="T39" s="72" t="s">
        <v>552</v>
      </c>
      <c r="U39" s="51"/>
      <c r="V39" s="72"/>
      <c r="W39" s="50"/>
      <c r="X39" s="78"/>
      <c r="Y39" s="45"/>
      <c r="Z39" s="45"/>
      <c r="AA39" s="46"/>
    </row>
    <row r="40" spans="1:27" ht="13.5" customHeight="1" x14ac:dyDescent="0.2">
      <c r="A40" s="2055" t="s">
        <v>2111</v>
      </c>
      <c r="B40" s="2056"/>
      <c r="C40" s="2057"/>
      <c r="D40" s="2057"/>
      <c r="E40" s="2057"/>
      <c r="F40" s="2058"/>
      <c r="G40" s="2058"/>
      <c r="H40" s="2059"/>
      <c r="I40" s="1971"/>
      <c r="J40" s="1973"/>
      <c r="K40" s="1973"/>
      <c r="L40" s="1973"/>
      <c r="M40" s="1973"/>
      <c r="N40" s="1973"/>
      <c r="O40" s="1973"/>
      <c r="P40" s="1973"/>
      <c r="Q40" s="1973"/>
      <c r="R40" s="1973"/>
      <c r="S40" s="1974"/>
      <c r="T40" s="1971" t="s">
        <v>2115</v>
      </c>
      <c r="U40" s="1972"/>
      <c r="V40" s="1973"/>
      <c r="W40" s="1973"/>
      <c r="X40" s="1973"/>
      <c r="Y40" s="1973"/>
      <c r="Z40" s="1973"/>
      <c r="AA40" s="197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t="s">
        <v>2112</v>
      </c>
      <c r="B42" s="2046"/>
      <c r="C42" s="2047"/>
      <c r="D42" s="2060" t="s">
        <v>2113</v>
      </c>
      <c r="E42" s="2046"/>
      <c r="F42" s="2046"/>
      <c r="G42" s="2046"/>
      <c r="H42" s="2047"/>
      <c r="I42" s="1966"/>
      <c r="J42" s="1962"/>
      <c r="K42" s="1962"/>
      <c r="L42" s="1962"/>
      <c r="M42" s="1962"/>
      <c r="N42" s="1962"/>
      <c r="O42" s="1963"/>
      <c r="P42" s="1961"/>
      <c r="Q42" s="1962"/>
      <c r="R42" s="1962"/>
      <c r="S42" s="1963"/>
      <c r="T42" s="1966" t="s">
        <v>2116</v>
      </c>
      <c r="U42" s="1962"/>
      <c r="V42" s="1962"/>
      <c r="W42" s="1963"/>
      <c r="X42" s="1961" t="s">
        <v>2117</v>
      </c>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rintOptions horizontalCentered="1"/>
  <pageMargins left="0.4" right="0.2" top="0.75" bottom="0.52" header="0.19" footer="0.17"/>
  <pageSetup scale="75" orientation="landscape" r:id="rId3"/>
  <headerFooter alignWithMargins="0">
    <oddFooter>&amp;L&amp;"Calibri,Regular"&amp;8Printed: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198" t="s">
        <v>1901</v>
      </c>
      <c r="B2" s="1549" t="s">
        <v>2033</v>
      </c>
      <c r="C2" s="715" t="s">
        <v>1906</v>
      </c>
      <c r="D2" s="715" t="s">
        <v>1907</v>
      </c>
      <c r="E2" s="715" t="s">
        <v>1908</v>
      </c>
      <c r="F2" s="715" t="s">
        <v>1909</v>
      </c>
    </row>
    <row r="3" spans="1:6" ht="12" customHeight="1" x14ac:dyDescent="0.2">
      <c r="A3" s="2199"/>
      <c r="B3" s="1546"/>
      <c r="C3" s="1547"/>
      <c r="D3" s="1548" t="s">
        <v>274</v>
      </c>
      <c r="E3" s="1547"/>
      <c r="F3" s="1548" t="s">
        <v>275</v>
      </c>
    </row>
    <row r="4" spans="1:6" ht="13.7" customHeight="1" x14ac:dyDescent="0.2">
      <c r="A4" s="716" t="s">
        <v>1217</v>
      </c>
      <c r="B4" s="1767">
        <f>'Revenues 9-14'!C5</f>
        <v>368316</v>
      </c>
      <c r="C4" s="1545">
        <v>0</v>
      </c>
      <c r="D4" s="1770">
        <f>B4-C4</f>
        <v>368316</v>
      </c>
      <c r="E4" s="1545">
        <v>390942</v>
      </c>
      <c r="F4" s="1770">
        <f>E4-C4</f>
        <v>390942</v>
      </c>
    </row>
    <row r="5" spans="1:6" ht="13.7" customHeight="1" x14ac:dyDescent="0.2">
      <c r="A5" s="716" t="s">
        <v>925</v>
      </c>
      <c r="B5" s="1768">
        <f>'Revenues 9-14'!D5</f>
        <v>63329</v>
      </c>
      <c r="C5" s="585">
        <v>0</v>
      </c>
      <c r="D5" s="1771">
        <f t="shared" ref="D5:D18" si="0">B5-C5</f>
        <v>63329</v>
      </c>
      <c r="E5" s="585">
        <v>67219</v>
      </c>
      <c r="F5" s="1771">
        <f>E5-C5</f>
        <v>67219</v>
      </c>
    </row>
    <row r="6" spans="1:6" ht="13.7" customHeight="1" x14ac:dyDescent="0.2">
      <c r="A6" s="716" t="s">
        <v>431</v>
      </c>
      <c r="B6" s="1768">
        <f>'Revenues 9-14'!E5</f>
        <v>33153</v>
      </c>
      <c r="C6" s="585">
        <v>0</v>
      </c>
      <c r="D6" s="1771">
        <f t="shared" si="0"/>
        <v>33153</v>
      </c>
      <c r="E6" s="585">
        <v>32428</v>
      </c>
      <c r="F6" s="1771">
        <f t="shared" ref="F6:F18" si="1">E6-C6</f>
        <v>32428</v>
      </c>
    </row>
    <row r="7" spans="1:6" ht="13.7" customHeight="1" x14ac:dyDescent="0.2">
      <c r="A7" s="716" t="s">
        <v>157</v>
      </c>
      <c r="B7" s="1768">
        <f>'Revenues 9-14'!F5</f>
        <v>0</v>
      </c>
      <c r="C7" s="585">
        <v>0</v>
      </c>
      <c r="D7" s="1771">
        <f t="shared" si="0"/>
        <v>0</v>
      </c>
      <c r="E7" s="585">
        <v>0</v>
      </c>
      <c r="F7" s="1771">
        <f t="shared" si="1"/>
        <v>0</v>
      </c>
    </row>
    <row r="8" spans="1:6" ht="13.7" customHeight="1" x14ac:dyDescent="0.2">
      <c r="A8" s="716" t="s">
        <v>1241</v>
      </c>
      <c r="B8" s="1768">
        <f>'Revenues 9-14'!G5</f>
        <v>53497</v>
      </c>
      <c r="C8" s="585">
        <v>0</v>
      </c>
      <c r="D8" s="1771">
        <f t="shared" si="0"/>
        <v>53497</v>
      </c>
      <c r="E8" s="585">
        <v>57870</v>
      </c>
      <c r="F8" s="1771">
        <f t="shared" si="1"/>
        <v>57870</v>
      </c>
    </row>
    <row r="9" spans="1:6" ht="13.7" customHeight="1" x14ac:dyDescent="0.2">
      <c r="A9" s="716" t="s">
        <v>428</v>
      </c>
      <c r="B9" s="1768">
        <f>'Revenues 9-14'!H5</f>
        <v>0</v>
      </c>
      <c r="C9" s="585">
        <v>0</v>
      </c>
      <c r="D9" s="1771">
        <f t="shared" si="0"/>
        <v>0</v>
      </c>
      <c r="E9" s="585">
        <v>0</v>
      </c>
      <c r="F9" s="1771">
        <f t="shared" si="1"/>
        <v>0</v>
      </c>
    </row>
    <row r="10" spans="1:6" ht="13.7" customHeight="1" x14ac:dyDescent="0.2">
      <c r="A10" s="716" t="s">
        <v>427</v>
      </c>
      <c r="B10" s="1768">
        <f>'Revenues 9-14'!I5</f>
        <v>11422</v>
      </c>
      <c r="C10" s="585">
        <v>0</v>
      </c>
      <c r="D10" s="1771">
        <f t="shared" si="0"/>
        <v>11422</v>
      </c>
      <c r="E10" s="585">
        <v>12258</v>
      </c>
      <c r="F10" s="1771">
        <f t="shared" si="1"/>
        <v>12258</v>
      </c>
    </row>
    <row r="11" spans="1:6" x14ac:dyDescent="0.2">
      <c r="A11" s="716" t="s">
        <v>429</v>
      </c>
      <c r="B11" s="1768">
        <f>'Revenues 9-14'!J5</f>
        <v>97954</v>
      </c>
      <c r="C11" s="585">
        <v>0</v>
      </c>
      <c r="D11" s="1771">
        <f t="shared" si="0"/>
        <v>97954</v>
      </c>
      <c r="E11" s="585">
        <v>101676</v>
      </c>
      <c r="F11" s="1771">
        <f t="shared" si="1"/>
        <v>101676</v>
      </c>
    </row>
    <row r="12" spans="1:6" ht="13.7" customHeight="1" x14ac:dyDescent="0.2">
      <c r="A12" s="716" t="s">
        <v>159</v>
      </c>
      <c r="B12" s="1768">
        <f>'Revenues 9-14'!K5</f>
        <v>12398</v>
      </c>
      <c r="C12" s="585">
        <v>0</v>
      </c>
      <c r="D12" s="1771">
        <f t="shared" si="0"/>
        <v>12398</v>
      </c>
      <c r="E12" s="585">
        <v>13161</v>
      </c>
      <c r="F12" s="1771">
        <f t="shared" si="1"/>
        <v>13161</v>
      </c>
    </row>
    <row r="13" spans="1:6" ht="13.7" customHeight="1" x14ac:dyDescent="0.2">
      <c r="A13" s="716" t="s">
        <v>993</v>
      </c>
      <c r="B13" s="1768">
        <f>SUM('Revenues 9-14'!C6:D6)</f>
        <v>0</v>
      </c>
      <c r="C13" s="585">
        <v>0</v>
      </c>
      <c r="D13" s="1771">
        <f t="shared" si="0"/>
        <v>0</v>
      </c>
      <c r="E13" s="585">
        <v>0</v>
      </c>
      <c r="F13" s="1771">
        <f t="shared" si="1"/>
        <v>0</v>
      </c>
    </row>
    <row r="14" spans="1:6" ht="13.7" customHeight="1" x14ac:dyDescent="0.2">
      <c r="A14" s="716" t="s">
        <v>430</v>
      </c>
      <c r="B14" s="1768">
        <f>SUM('Revenues 9-14'!C7:D7,'Revenues 9-14'!F7:H7)</f>
        <v>4875</v>
      </c>
      <c r="C14" s="585">
        <v>0</v>
      </c>
      <c r="D14" s="1771">
        <f t="shared" si="0"/>
        <v>4875</v>
      </c>
      <c r="E14" s="585">
        <v>5176</v>
      </c>
      <c r="F14" s="1771">
        <f t="shared" si="1"/>
        <v>5176</v>
      </c>
    </row>
    <row r="15" spans="1:6" ht="13.7" customHeight="1" x14ac:dyDescent="0.2">
      <c r="A15" s="716" t="s">
        <v>1220</v>
      </c>
      <c r="B15" s="1768">
        <f>'Revenues 9-14'!E9</f>
        <v>0</v>
      </c>
      <c r="C15" s="585">
        <v>0</v>
      </c>
      <c r="D15" s="1771">
        <f t="shared" si="0"/>
        <v>0</v>
      </c>
      <c r="E15" s="585">
        <v>0</v>
      </c>
      <c r="F15" s="1771">
        <f t="shared" si="1"/>
        <v>0</v>
      </c>
    </row>
    <row r="16" spans="1:6" ht="13.7" customHeight="1" x14ac:dyDescent="0.2">
      <c r="A16" s="716" t="s">
        <v>1221</v>
      </c>
      <c r="B16" s="1768">
        <f>'Revenues 9-14'!G8</f>
        <v>40187</v>
      </c>
      <c r="C16" s="585">
        <v>0</v>
      </c>
      <c r="D16" s="1771">
        <f t="shared" si="0"/>
        <v>40187</v>
      </c>
      <c r="E16" s="585">
        <v>38413</v>
      </c>
      <c r="F16" s="1771">
        <f t="shared" si="1"/>
        <v>38413</v>
      </c>
    </row>
    <row r="17" spans="1:6" ht="13.7" customHeight="1" x14ac:dyDescent="0.2">
      <c r="A17" s="716" t="s">
        <v>1222</v>
      </c>
      <c r="B17" s="1768">
        <f>'Revenues 9-14'!C10</f>
        <v>0</v>
      </c>
      <c r="C17" s="585">
        <v>0</v>
      </c>
      <c r="D17" s="1771">
        <f t="shared" si="0"/>
        <v>0</v>
      </c>
      <c r="E17" s="585">
        <v>0</v>
      </c>
      <c r="F17" s="1771">
        <f t="shared" si="1"/>
        <v>0</v>
      </c>
    </row>
    <row r="18" spans="1:6" ht="13.7" customHeight="1" x14ac:dyDescent="0.2">
      <c r="A18" s="716" t="s">
        <v>786</v>
      </c>
      <c r="B18" s="1768">
        <f>SUM('Revenues 9-14'!C11:K11)</f>
        <v>0</v>
      </c>
      <c r="C18" s="585">
        <v>0</v>
      </c>
      <c r="D18" s="1771">
        <f t="shared" si="0"/>
        <v>0</v>
      </c>
      <c r="E18" s="585">
        <v>0</v>
      </c>
      <c r="F18" s="1771">
        <f t="shared" si="1"/>
        <v>0</v>
      </c>
    </row>
    <row r="19" spans="1:6" ht="13.7" customHeight="1" thickBot="1" x14ac:dyDescent="0.25">
      <c r="A19" s="1772" t="s">
        <v>1223</v>
      </c>
      <c r="B19" s="1769">
        <f>SUM(B4:B18)</f>
        <v>685131</v>
      </c>
      <c r="C19" s="1769">
        <f>SUM(C4:C18)</f>
        <v>0</v>
      </c>
      <c r="D19" s="1769">
        <f>SUM(D4:D18)</f>
        <v>685131</v>
      </c>
      <c r="E19" s="1769">
        <f>SUM(E4:E18)</f>
        <v>719143</v>
      </c>
      <c r="F19" s="1769">
        <f>SUM(F4:F18)</f>
        <v>719143</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25" right="0.15" top="1.65" bottom="0.52" header="0.44" footer="0.17"/>
  <pageSetup firstPageNumber="23"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H32" sqref="H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650</v>
      </c>
      <c r="B1" s="2205"/>
      <c r="C1" s="722"/>
    </row>
    <row r="2" spans="1:7" ht="33.75" x14ac:dyDescent="0.2">
      <c r="A2" s="2213" t="s">
        <v>1901</v>
      </c>
      <c r="B2" s="2214"/>
      <c r="C2" s="1902" t="s">
        <v>2034</v>
      </c>
      <c r="D2" s="724" t="s">
        <v>2041</v>
      </c>
      <c r="E2" s="724" t="s">
        <v>2042</v>
      </c>
      <c r="F2" s="1902" t="s">
        <v>2035</v>
      </c>
    </row>
    <row r="3" spans="1:7" ht="15.75" customHeight="1" x14ac:dyDescent="0.2">
      <c r="A3" s="2217" t="s">
        <v>1176</v>
      </c>
      <c r="B3" s="2218"/>
      <c r="C3" s="2206"/>
      <c r="D3" s="2207"/>
      <c r="E3" s="2207"/>
      <c r="F3" s="2208"/>
    </row>
    <row r="4" spans="1:7" ht="12.75" customHeight="1" thickBot="1" x14ac:dyDescent="0.25">
      <c r="A4" s="2215" t="s">
        <v>651</v>
      </c>
      <c r="B4" s="2216"/>
      <c r="C4" s="581">
        <v>0</v>
      </c>
      <c r="D4" s="581">
        <v>0</v>
      </c>
      <c r="E4" s="581">
        <v>0</v>
      </c>
      <c r="F4" s="1773">
        <f>SUM(C4+D4)-E4</f>
        <v>0</v>
      </c>
    </row>
    <row r="5" spans="1:7" ht="15.75" customHeight="1" thickTop="1" x14ac:dyDescent="0.2">
      <c r="A5" s="2200" t="s">
        <v>1172</v>
      </c>
      <c r="B5" s="2201"/>
      <c r="C5" s="2209"/>
      <c r="D5" s="2210"/>
      <c r="E5" s="2210"/>
      <c r="F5" s="2211"/>
    </row>
    <row r="6" spans="1:7" ht="12.75" customHeight="1" thickBot="1" x14ac:dyDescent="0.25">
      <c r="A6" s="725" t="s">
        <v>66</v>
      </c>
      <c r="B6" s="726"/>
      <c r="C6" s="727">
        <v>0</v>
      </c>
      <c r="D6" s="585">
        <v>0</v>
      </c>
      <c r="E6" s="727">
        <v>0</v>
      </c>
      <c r="F6" s="1773">
        <f t="shared" ref="F6:F14" si="0">SUM(C6+D6)-E6</f>
        <v>0</v>
      </c>
    </row>
    <row r="7" spans="1:7" ht="12.75" customHeight="1" thickTop="1" thickBot="1" x14ac:dyDescent="0.25">
      <c r="A7" s="725" t="s">
        <v>6</v>
      </c>
      <c r="B7" s="726"/>
      <c r="C7" s="727">
        <v>0</v>
      </c>
      <c r="D7" s="585">
        <v>0</v>
      </c>
      <c r="E7" s="727">
        <v>0</v>
      </c>
      <c r="F7" s="1773">
        <f t="shared" si="0"/>
        <v>0</v>
      </c>
    </row>
    <row r="8" spans="1:7" ht="12.75" customHeight="1" thickTop="1" thickBot="1" x14ac:dyDescent="0.25">
      <c r="A8" s="725" t="s">
        <v>529</v>
      </c>
      <c r="B8" s="726"/>
      <c r="C8" s="727">
        <v>0</v>
      </c>
      <c r="D8" s="585">
        <v>0</v>
      </c>
      <c r="E8" s="727">
        <v>0</v>
      </c>
      <c r="F8" s="1773">
        <f t="shared" si="0"/>
        <v>0</v>
      </c>
    </row>
    <row r="9" spans="1:7" ht="12.75" customHeight="1" thickTop="1" thickBot="1" x14ac:dyDescent="0.25">
      <c r="A9" s="725" t="s">
        <v>530</v>
      </c>
      <c r="B9" s="726"/>
      <c r="C9" s="727">
        <v>0</v>
      </c>
      <c r="D9" s="585">
        <v>0</v>
      </c>
      <c r="E9" s="727">
        <v>0</v>
      </c>
      <c r="F9" s="1773">
        <f t="shared" si="0"/>
        <v>0</v>
      </c>
    </row>
    <row r="10" spans="1:7" ht="12.75" customHeight="1" thickTop="1" thickBot="1" x14ac:dyDescent="0.25">
      <c r="A10" s="725" t="s">
        <v>531</v>
      </c>
      <c r="B10" s="726"/>
      <c r="C10" s="727">
        <v>0</v>
      </c>
      <c r="D10" s="585">
        <v>0</v>
      </c>
      <c r="E10" s="727">
        <v>0</v>
      </c>
      <c r="F10" s="1773">
        <f t="shared" si="0"/>
        <v>0</v>
      </c>
    </row>
    <row r="11" spans="1:7" ht="12.75" customHeight="1" thickTop="1" thickBot="1" x14ac:dyDescent="0.25">
      <c r="A11" s="725" t="s">
        <v>359</v>
      </c>
      <c r="B11" s="726"/>
      <c r="C11" s="727">
        <v>0</v>
      </c>
      <c r="D11" s="585">
        <v>0</v>
      </c>
      <c r="E11" s="727">
        <v>0</v>
      </c>
      <c r="F11" s="1773">
        <f t="shared" si="0"/>
        <v>0</v>
      </c>
    </row>
    <row r="12" spans="1:7" ht="12.75" customHeight="1" thickTop="1" thickBot="1" x14ac:dyDescent="0.25">
      <c r="A12" s="725" t="s">
        <v>1219</v>
      </c>
      <c r="B12" s="726"/>
      <c r="C12" s="727">
        <v>0</v>
      </c>
      <c r="D12" s="585">
        <v>0</v>
      </c>
      <c r="E12" s="727">
        <v>0</v>
      </c>
      <c r="F12" s="1773">
        <f t="shared" si="0"/>
        <v>0</v>
      </c>
    </row>
    <row r="13" spans="1:7" ht="12.75" customHeight="1" thickTop="1" thickBot="1" x14ac:dyDescent="0.25">
      <c r="A13" s="725" t="s">
        <v>406</v>
      </c>
      <c r="B13" s="726"/>
      <c r="C13" s="727">
        <v>0</v>
      </c>
      <c r="D13" s="585">
        <v>0</v>
      </c>
      <c r="E13" s="727">
        <v>0</v>
      </c>
      <c r="F13" s="1773">
        <f t="shared" si="0"/>
        <v>0</v>
      </c>
    </row>
    <row r="14" spans="1:7" ht="12.75" customHeight="1" thickTop="1" thickBot="1" x14ac:dyDescent="0.25">
      <c r="A14" s="725" t="s">
        <v>468</v>
      </c>
      <c r="B14" s="726"/>
      <c r="C14" s="727">
        <v>0</v>
      </c>
      <c r="D14" s="585">
        <v>0</v>
      </c>
      <c r="E14" s="727">
        <v>0</v>
      </c>
      <c r="F14" s="1773">
        <f t="shared" si="0"/>
        <v>0</v>
      </c>
    </row>
    <row r="15" spans="1:7" ht="14.25" thickTop="1" thickBot="1" x14ac:dyDescent="0.25">
      <c r="A15" s="2202" t="s">
        <v>652</v>
      </c>
      <c r="B15" s="2203"/>
      <c r="C15" s="1773">
        <f>SUM(C6:C14)</f>
        <v>0</v>
      </c>
      <c r="D15" s="1773">
        <f>SUM(D6:D14)</f>
        <v>0</v>
      </c>
      <c r="E15" s="1773">
        <f>SUM(E6:E14)</f>
        <v>0</v>
      </c>
      <c r="F15" s="1773">
        <f>SUM(F6:F14)</f>
        <v>0</v>
      </c>
      <c r="G15" s="552"/>
    </row>
    <row r="16" spans="1:7" s="202" customFormat="1" ht="15.75" customHeight="1" thickTop="1" x14ac:dyDescent="0.2">
      <c r="A16" s="2212" t="s">
        <v>1173</v>
      </c>
      <c r="B16" s="2201"/>
      <c r="C16" s="2209"/>
      <c r="D16" s="2210"/>
      <c r="E16" s="2210"/>
      <c r="F16" s="2211"/>
    </row>
    <row r="17" spans="1:11" ht="12.75" customHeight="1" thickBot="1" x14ac:dyDescent="0.25">
      <c r="A17" s="2225" t="s">
        <v>66</v>
      </c>
      <c r="B17" s="2226"/>
      <c r="C17" s="727">
        <v>0</v>
      </c>
      <c r="D17" s="585">
        <v>0</v>
      </c>
      <c r="E17" s="727">
        <v>0</v>
      </c>
      <c r="F17" s="1773">
        <f>SUM(C17+D17)-E17</f>
        <v>0</v>
      </c>
    </row>
    <row r="18" spans="1:11" ht="12.75" customHeight="1" thickTop="1" thickBot="1" x14ac:dyDescent="0.25">
      <c r="A18" s="2225" t="s">
        <v>6</v>
      </c>
      <c r="B18" s="2226"/>
      <c r="C18" s="727">
        <v>0</v>
      </c>
      <c r="D18" s="585">
        <v>0</v>
      </c>
      <c r="E18" s="727">
        <v>0</v>
      </c>
      <c r="F18" s="1773">
        <f>SUM(C18+D18)-E18</f>
        <v>0</v>
      </c>
    </row>
    <row r="19" spans="1:11" ht="12.75" customHeight="1" thickTop="1" thickBot="1" x14ac:dyDescent="0.25">
      <c r="A19" s="2225" t="s">
        <v>406</v>
      </c>
      <c r="B19" s="2226"/>
      <c r="C19" s="727">
        <v>0</v>
      </c>
      <c r="D19" s="585">
        <v>0</v>
      </c>
      <c r="E19" s="727">
        <v>0</v>
      </c>
      <c r="F19" s="1773">
        <f>SUM(C19+D19)-E19</f>
        <v>0</v>
      </c>
    </row>
    <row r="20" spans="1:11" ht="12.75" customHeight="1" thickTop="1" thickBot="1" x14ac:dyDescent="0.25">
      <c r="A20" s="2225" t="s">
        <v>468</v>
      </c>
      <c r="B20" s="2226"/>
      <c r="C20" s="727">
        <v>0</v>
      </c>
      <c r="D20" s="585">
        <v>0</v>
      </c>
      <c r="E20" s="727">
        <v>0</v>
      </c>
      <c r="F20" s="1773">
        <f>SUM(C20+D20)-E20</f>
        <v>0</v>
      </c>
    </row>
    <row r="21" spans="1:11" ht="14.25" thickTop="1" thickBot="1" x14ac:dyDescent="0.25">
      <c r="A21" s="2202" t="s">
        <v>653</v>
      </c>
      <c r="B21" s="2203"/>
      <c r="C21" s="1773">
        <f>SUM(C17:C20)</f>
        <v>0</v>
      </c>
      <c r="D21" s="1773">
        <f>SUM(D17:D20)</f>
        <v>0</v>
      </c>
      <c r="E21" s="1773">
        <f>SUM(E17:E20)</f>
        <v>0</v>
      </c>
      <c r="F21" s="1773">
        <f>SUM(F17:F20)</f>
        <v>0</v>
      </c>
      <c r="G21" s="552"/>
    </row>
    <row r="22" spans="1:11" ht="15.75" customHeight="1" thickTop="1" x14ac:dyDescent="0.2">
      <c r="A22" s="2227" t="s">
        <v>1174</v>
      </c>
      <c r="B22" s="2201"/>
      <c r="C22" s="2209"/>
      <c r="D22" s="2210"/>
      <c r="E22" s="2210"/>
      <c r="F22" s="2211"/>
    </row>
    <row r="23" spans="1:11" ht="13.5" thickBot="1" x14ac:dyDescent="0.25">
      <c r="A23" s="2215" t="s">
        <v>654</v>
      </c>
      <c r="B23" s="2216"/>
      <c r="C23" s="581">
        <v>0</v>
      </c>
      <c r="D23" s="581">
        <v>0</v>
      </c>
      <c r="E23" s="581">
        <v>0</v>
      </c>
      <c r="F23" s="1773">
        <f>SUM(C23+D23)-E23</f>
        <v>0</v>
      </c>
      <c r="G23" s="552"/>
    </row>
    <row r="24" spans="1:11" ht="15.75" customHeight="1" thickTop="1" x14ac:dyDescent="0.2">
      <c r="A24" s="2227" t="s">
        <v>1175</v>
      </c>
      <c r="B24" s="2201"/>
      <c r="C24" s="2209"/>
      <c r="D24" s="2210"/>
      <c r="E24" s="2210"/>
      <c r="F24" s="2211"/>
    </row>
    <row r="25" spans="1:11" ht="13.5" thickBot="1" x14ac:dyDescent="0.25">
      <c r="A25" s="2215" t="s">
        <v>655</v>
      </c>
      <c r="B25" s="2216"/>
      <c r="C25" s="581">
        <v>0</v>
      </c>
      <c r="D25" s="581">
        <v>0</v>
      </c>
      <c r="E25" s="581">
        <v>0</v>
      </c>
      <c r="F25" s="1773">
        <f>SUM(C25+D25)-E25</f>
        <v>0</v>
      </c>
      <c r="G25" s="552"/>
    </row>
    <row r="26" spans="1:11" ht="15.75" customHeight="1" thickTop="1" x14ac:dyDescent="0.2">
      <c r="A26" s="2200" t="s">
        <v>678</v>
      </c>
      <c r="B26" s="2201"/>
      <c r="C26" s="728"/>
      <c r="D26" s="728"/>
      <c r="E26" s="728"/>
      <c r="F26" s="729"/>
    </row>
    <row r="27" spans="1:11" ht="13.5" thickBot="1" x14ac:dyDescent="0.25">
      <c r="A27" s="2202" t="s">
        <v>1130</v>
      </c>
      <c r="B27" s="2203"/>
      <c r="C27" s="585">
        <v>0</v>
      </c>
      <c r="D27" s="585">
        <v>0</v>
      </c>
      <c r="E27" s="585">
        <v>0</v>
      </c>
      <c r="F27" s="1773">
        <f>SUM(C27+D27)-E27</f>
        <v>0</v>
      </c>
      <c r="G27" s="552"/>
    </row>
    <row r="28" spans="1:11" ht="7.5" customHeight="1" thickTop="1" x14ac:dyDescent="0.2">
      <c r="A28" s="594"/>
    </row>
    <row r="29" spans="1:11" ht="23.25" customHeight="1" x14ac:dyDescent="0.2">
      <c r="A29" s="2228" t="s">
        <v>603</v>
      </c>
      <c r="B29" s="2205"/>
      <c r="C29" s="730"/>
      <c r="D29" s="730"/>
      <c r="E29" s="730"/>
      <c r="F29" s="730"/>
      <c r="G29" s="730"/>
      <c r="H29" s="730"/>
      <c r="I29" s="730"/>
      <c r="J29" s="730"/>
    </row>
    <row r="30" spans="1:11" ht="33.75" x14ac:dyDescent="0.2">
      <c r="A30" s="1550" t="s">
        <v>1131</v>
      </c>
      <c r="B30" s="731" t="s">
        <v>1186</v>
      </c>
      <c r="C30" s="1903" t="s">
        <v>604</v>
      </c>
      <c r="D30" s="1903" t="s">
        <v>1772</v>
      </c>
      <c r="E30" s="1903" t="s">
        <v>2036</v>
      </c>
      <c r="F30" s="1903" t="s">
        <v>2037</v>
      </c>
      <c r="G30" s="1903" t="s">
        <v>2040</v>
      </c>
      <c r="H30" s="1903" t="s">
        <v>2038</v>
      </c>
      <c r="I30" s="1903" t="s">
        <v>2039</v>
      </c>
      <c r="J30" s="1904" t="s">
        <v>2</v>
      </c>
      <c r="K30" s="732"/>
    </row>
    <row r="31" spans="1:11" ht="12" customHeight="1" x14ac:dyDescent="0.2">
      <c r="A31" s="733" t="s">
        <v>2118</v>
      </c>
      <c r="B31" s="734">
        <v>40452</v>
      </c>
      <c r="C31" s="735">
        <v>120000</v>
      </c>
      <c r="D31" s="736">
        <v>3</v>
      </c>
      <c r="E31" s="735">
        <v>95000</v>
      </c>
      <c r="F31" s="735">
        <v>0</v>
      </c>
      <c r="G31" s="735">
        <v>0</v>
      </c>
      <c r="H31" s="735">
        <v>30000</v>
      </c>
      <c r="I31" s="1774">
        <f>((E31+F31)-H31)+G31</f>
        <v>65000</v>
      </c>
      <c r="J31" s="735">
        <v>58887</v>
      </c>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120000</v>
      </c>
      <c r="D49" s="746"/>
      <c r="E49" s="1774">
        <f t="shared" ref="E49:J49" si="2">SUM(E31:E48)</f>
        <v>95000</v>
      </c>
      <c r="F49" s="1774">
        <f t="shared" si="2"/>
        <v>0</v>
      </c>
      <c r="G49" s="1774">
        <f t="shared" si="2"/>
        <v>0</v>
      </c>
      <c r="H49" s="1774">
        <f t="shared" si="2"/>
        <v>30000</v>
      </c>
      <c r="I49" s="1774">
        <f t="shared" si="2"/>
        <v>65000</v>
      </c>
      <c r="J49" s="1774">
        <f t="shared" si="2"/>
        <v>58887</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19" t="s">
        <v>605</v>
      </c>
      <c r="C52" s="2220"/>
      <c r="D52" s="2220"/>
      <c r="E52" s="750" t="s">
        <v>900</v>
      </c>
      <c r="F52" s="2221"/>
      <c r="G52" s="2222"/>
      <c r="H52" s="737"/>
      <c r="I52" s="737"/>
      <c r="J52" s="747"/>
    </row>
    <row r="53" spans="1:11" ht="11.25" customHeight="1" x14ac:dyDescent="0.2">
      <c r="A53" s="751" t="s">
        <v>969</v>
      </c>
      <c r="B53" s="752" t="s">
        <v>1008</v>
      </c>
      <c r="C53" s="747"/>
      <c r="D53" s="738"/>
      <c r="E53" s="750" t="s">
        <v>518</v>
      </c>
      <c r="F53" s="2223"/>
      <c r="G53" s="2224"/>
      <c r="H53" s="737"/>
      <c r="I53" s="737"/>
      <c r="J53" s="747"/>
    </row>
    <row r="54" spans="1:11" ht="11.25" customHeight="1" x14ac:dyDescent="0.2">
      <c r="A54" s="753" t="s">
        <v>970</v>
      </c>
      <c r="B54" s="748" t="s">
        <v>1009</v>
      </c>
      <c r="C54" s="747"/>
      <c r="D54" s="738"/>
      <c r="E54" s="750" t="s">
        <v>519</v>
      </c>
      <c r="F54" s="2223"/>
      <c r="G54" s="222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25" right="0.15" top="0.4" bottom="0.25" header="0.17" footer="0.1"/>
  <pageSetup scale="74" firstPageNumber="24" fitToHeight="0"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911</v>
      </c>
      <c r="B1" s="2254"/>
      <c r="C1" s="2254"/>
      <c r="D1" s="2254"/>
      <c r="E1" s="2254"/>
      <c r="F1" s="2254"/>
      <c r="G1" s="2255"/>
      <c r="H1" s="1551"/>
      <c r="I1" s="761"/>
      <c r="J1" s="433"/>
    </row>
    <row r="2" spans="1:11" ht="26.25" x14ac:dyDescent="0.2">
      <c r="A2" s="2232" t="s">
        <v>1776</v>
      </c>
      <c r="B2" s="2233"/>
      <c r="C2" s="2233"/>
      <c r="D2" s="2233"/>
      <c r="E2" s="2234"/>
      <c r="F2" s="762" t="s">
        <v>960</v>
      </c>
      <c r="G2" s="763" t="s">
        <v>1773</v>
      </c>
      <c r="H2" s="763" t="s">
        <v>430</v>
      </c>
      <c r="I2" s="763" t="s">
        <v>1220</v>
      </c>
      <c r="J2" s="763" t="s">
        <v>1915</v>
      </c>
      <c r="K2" s="763" t="s">
        <v>140</v>
      </c>
    </row>
    <row r="3" spans="1:11" x14ac:dyDescent="0.2">
      <c r="A3" s="2235" t="s">
        <v>1698</v>
      </c>
      <c r="B3" s="2236"/>
      <c r="C3" s="2236"/>
      <c r="D3" s="2236"/>
      <c r="E3" s="2237"/>
      <c r="F3" s="764"/>
      <c r="G3" s="765">
        <v>0</v>
      </c>
      <c r="H3" s="765">
        <v>0</v>
      </c>
      <c r="I3" s="765">
        <v>0</v>
      </c>
      <c r="J3" s="766">
        <v>0</v>
      </c>
      <c r="K3" s="766">
        <v>0</v>
      </c>
    </row>
    <row r="4" spans="1:11" x14ac:dyDescent="0.2">
      <c r="A4" s="2238" t="s">
        <v>387</v>
      </c>
      <c r="B4" s="2239"/>
      <c r="C4" s="2239"/>
      <c r="D4" s="2239"/>
      <c r="E4" s="2220"/>
      <c r="F4" s="767"/>
      <c r="G4" s="768"/>
      <c r="H4" s="769"/>
      <c r="I4" s="768"/>
      <c r="J4" s="770"/>
      <c r="K4" s="770"/>
    </row>
    <row r="5" spans="1:11" x14ac:dyDescent="0.2">
      <c r="A5" s="2256" t="s">
        <v>1129</v>
      </c>
      <c r="B5" s="2229"/>
      <c r="C5" s="2229"/>
      <c r="D5" s="2229"/>
      <c r="E5" s="2257"/>
      <c r="F5" s="771" t="s">
        <v>903</v>
      </c>
      <c r="G5" s="772"/>
      <c r="H5" s="765">
        <v>4875</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0</v>
      </c>
    </row>
    <row r="10" spans="1:11" x14ac:dyDescent="0.2">
      <c r="A10" s="2256" t="s">
        <v>1916</v>
      </c>
      <c r="B10" s="2229"/>
      <c r="C10" s="2229"/>
      <c r="D10" s="2229"/>
      <c r="E10" s="2258"/>
      <c r="F10" s="784" t="s">
        <v>917</v>
      </c>
      <c r="G10" s="783"/>
      <c r="H10" s="785">
        <v>0</v>
      </c>
      <c r="I10" s="765">
        <v>0</v>
      </c>
      <c r="J10" s="766">
        <v>0</v>
      </c>
      <c r="K10" s="766">
        <v>0</v>
      </c>
    </row>
    <row r="11" spans="1:11" x14ac:dyDescent="0.2">
      <c r="A11" s="2256" t="s">
        <v>162</v>
      </c>
      <c r="B11" s="2229"/>
      <c r="C11" s="2229"/>
      <c r="D11" s="2229"/>
      <c r="E11" s="2257"/>
      <c r="F11" s="771" t="s">
        <v>907</v>
      </c>
      <c r="G11" s="772"/>
      <c r="H11" s="765">
        <v>0</v>
      </c>
      <c r="I11" s="765">
        <v>0</v>
      </c>
      <c r="J11" s="766">
        <v>0</v>
      </c>
      <c r="K11" s="774"/>
    </row>
    <row r="12" spans="1:11" ht="13.5" thickBot="1" x14ac:dyDescent="0.25">
      <c r="A12" s="2246" t="s">
        <v>961</v>
      </c>
      <c r="B12" s="2247"/>
      <c r="C12" s="2247"/>
      <c r="D12" s="2247"/>
      <c r="E12" s="2248"/>
      <c r="F12" s="1775"/>
      <c r="G12" s="1776">
        <f>SUM(G5:G11)</f>
        <v>0</v>
      </c>
      <c r="H12" s="1776">
        <f>SUM(H5:H11)</f>
        <v>4875</v>
      </c>
      <c r="I12" s="1776">
        <f>SUM(I5:I11)</f>
        <v>0</v>
      </c>
      <c r="J12" s="1776">
        <f>SUM(J5:J11)</f>
        <v>0</v>
      </c>
      <c r="K12" s="1776">
        <f>SUM(K5:K11)</f>
        <v>0</v>
      </c>
    </row>
    <row r="13" spans="1:11" ht="13.5" thickTop="1" x14ac:dyDescent="0.2">
      <c r="A13" s="2240" t="s">
        <v>388</v>
      </c>
      <c r="B13" s="2241"/>
      <c r="C13" s="2241"/>
      <c r="D13" s="2241"/>
      <c r="E13" s="2242"/>
      <c r="F13" s="786"/>
      <c r="G13" s="787"/>
      <c r="H13" s="788"/>
      <c r="I13" s="789"/>
      <c r="J13" s="789"/>
      <c r="K13" s="789"/>
    </row>
    <row r="14" spans="1:11" x14ac:dyDescent="0.2">
      <c r="A14" s="2262" t="s">
        <v>476</v>
      </c>
      <c r="B14" s="2262"/>
      <c r="C14" s="2262"/>
      <c r="D14" s="2262"/>
      <c r="E14" s="2263"/>
      <c r="F14" s="790" t="s">
        <v>909</v>
      </c>
      <c r="G14" s="783"/>
      <c r="H14" s="765">
        <v>4875</v>
      </c>
      <c r="I14" s="772"/>
      <c r="J14" s="774"/>
      <c r="K14" s="766">
        <v>0</v>
      </c>
    </row>
    <row r="15" spans="1:11" x14ac:dyDescent="0.2">
      <c r="A15" s="2229" t="s">
        <v>4</v>
      </c>
      <c r="B15" s="2229"/>
      <c r="C15" s="2229"/>
      <c r="D15" s="2229"/>
      <c r="E15" s="2257"/>
      <c r="F15" s="790" t="s">
        <v>910</v>
      </c>
      <c r="G15" s="772"/>
      <c r="H15" s="765">
        <v>0</v>
      </c>
      <c r="I15" s="765">
        <v>0</v>
      </c>
      <c r="J15" s="766">
        <v>0</v>
      </c>
      <c r="K15" s="766">
        <v>0</v>
      </c>
    </row>
    <row r="16" spans="1:11" x14ac:dyDescent="0.2">
      <c r="A16" s="2229" t="s">
        <v>316</v>
      </c>
      <c r="B16" s="2229"/>
      <c r="C16" s="2229"/>
      <c r="D16" s="2229"/>
      <c r="E16" s="2257"/>
      <c r="F16" s="790" t="s">
        <v>980</v>
      </c>
      <c r="G16" s="773">
        <v>0</v>
      </c>
      <c r="H16" s="768"/>
      <c r="I16" s="768"/>
      <c r="J16" s="770"/>
      <c r="K16" s="770"/>
    </row>
    <row r="17" spans="1:11" x14ac:dyDescent="0.2">
      <c r="A17" s="2251" t="s">
        <v>992</v>
      </c>
      <c r="B17" s="2251"/>
      <c r="C17" s="2251"/>
      <c r="D17" s="2251"/>
      <c r="E17" s="2252"/>
      <c r="F17" s="791"/>
      <c r="G17" s="792"/>
      <c r="H17" s="793"/>
      <c r="I17" s="793"/>
      <c r="J17" s="794"/>
      <c r="K17" s="795"/>
    </row>
    <row r="18" spans="1:11" x14ac:dyDescent="0.2">
      <c r="A18" s="2243" t="s">
        <v>386</v>
      </c>
      <c r="B18" s="2244"/>
      <c r="C18" s="2244"/>
      <c r="D18" s="2244"/>
      <c r="E18" s="2245"/>
      <c r="F18" s="790" t="s">
        <v>989</v>
      </c>
      <c r="G18" s="783"/>
      <c r="H18" s="783"/>
      <c r="I18" s="783"/>
      <c r="J18" s="766">
        <v>0</v>
      </c>
      <c r="K18" s="796"/>
    </row>
    <row r="19" spans="1:11" ht="21.75" customHeight="1" x14ac:dyDescent="0.2">
      <c r="A19" s="2264" t="s">
        <v>1912</v>
      </c>
      <c r="B19" s="2264"/>
      <c r="C19" s="2264"/>
      <c r="D19" s="2264"/>
      <c r="E19" s="2265"/>
      <c r="F19" s="790" t="s">
        <v>990</v>
      </c>
      <c r="G19" s="783"/>
      <c r="H19" s="783"/>
      <c r="I19" s="783"/>
      <c r="J19" s="766">
        <v>0</v>
      </c>
      <c r="K19" s="796"/>
    </row>
    <row r="20" spans="1:11" x14ac:dyDescent="0.2">
      <c r="A20" s="2243" t="s">
        <v>1917</v>
      </c>
      <c r="B20" s="2244"/>
      <c r="C20" s="2244"/>
      <c r="D20" s="2244"/>
      <c r="E20" s="2245"/>
      <c r="F20" s="790" t="s">
        <v>991</v>
      </c>
      <c r="G20" s="783"/>
      <c r="H20" s="783"/>
      <c r="I20" s="783"/>
      <c r="J20" s="766">
        <v>0</v>
      </c>
      <c r="K20" s="796"/>
    </row>
    <row r="21" spans="1:11" ht="13.5" thickBot="1" x14ac:dyDescent="0.25">
      <c r="A21" s="2249" t="s">
        <v>659</v>
      </c>
      <c r="B21" s="2249"/>
      <c r="C21" s="2249"/>
      <c r="D21" s="2249"/>
      <c r="E21" s="2249"/>
      <c r="F21" s="1777"/>
      <c r="G21" s="793"/>
      <c r="H21" s="797"/>
      <c r="I21" s="797"/>
      <c r="J21" s="1778">
        <f>SUM(J18:J20)</f>
        <v>0</v>
      </c>
      <c r="K21" s="794"/>
    </row>
    <row r="22" spans="1:11" ht="13.5" thickTop="1" x14ac:dyDescent="0.2">
      <c r="A22" s="2229" t="s">
        <v>1918</v>
      </c>
      <c r="B22" s="2229"/>
      <c r="C22" s="2229"/>
      <c r="D22" s="2229"/>
      <c r="E22" s="2257"/>
      <c r="F22" s="790" t="s">
        <v>917</v>
      </c>
      <c r="G22" s="783"/>
      <c r="H22" s="765">
        <v>0</v>
      </c>
      <c r="I22" s="765">
        <v>0</v>
      </c>
      <c r="J22" s="798">
        <v>0</v>
      </c>
      <c r="K22" s="766">
        <v>0</v>
      </c>
    </row>
    <row r="23" spans="1:11" ht="13.5" thickBot="1" x14ac:dyDescent="0.25">
      <c r="A23" s="2250" t="s">
        <v>962</v>
      </c>
      <c r="B23" s="2249"/>
      <c r="C23" s="2249"/>
      <c r="D23" s="2249"/>
      <c r="E23" s="2249"/>
      <c r="F23" s="1779"/>
      <c r="G23" s="1776">
        <f>SUM(G14:G16,G21,G22)</f>
        <v>0</v>
      </c>
      <c r="H23" s="1776">
        <f>SUM(H14:H16,H21,H22)</f>
        <v>4875</v>
      </c>
      <c r="I23" s="1776">
        <f>SUM(I14:I16,I21,I22)</f>
        <v>0</v>
      </c>
      <c r="J23" s="1776">
        <f>SUM(J14:J16,J21,J22)</f>
        <v>0</v>
      </c>
      <c r="K23" s="1776">
        <f>SUM(K14:K16,K21,K22)</f>
        <v>0</v>
      </c>
    </row>
    <row r="24" spans="1:11" ht="14.25" thickTop="1" thickBot="1" x14ac:dyDescent="0.25">
      <c r="A24" s="2250" t="s">
        <v>2022</v>
      </c>
      <c r="B24" s="2249"/>
      <c r="C24" s="2249"/>
      <c r="D24" s="2249"/>
      <c r="E24" s="2249"/>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8" t="s">
        <v>2032</v>
      </c>
      <c r="B28" s="1899"/>
      <c r="C28" s="1899"/>
      <c r="D28" s="1899"/>
      <c r="E28" s="1900"/>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v>0</v>
      </c>
      <c r="H31" s="2259"/>
      <c r="I31" s="2260"/>
      <c r="J31" s="2260"/>
      <c r="K31" s="2260"/>
    </row>
    <row r="32" spans="1:11" x14ac:dyDescent="0.2">
      <c r="A32" s="810"/>
      <c r="B32" s="237"/>
      <c r="C32" s="237"/>
      <c r="D32" s="237"/>
      <c r="E32" s="806"/>
      <c r="F32" s="812" t="s">
        <v>561</v>
      </c>
      <c r="G32" s="765">
        <v>0</v>
      </c>
      <c r="H32" s="2261"/>
      <c r="I32" s="2260"/>
      <c r="J32" s="2260"/>
      <c r="K32" s="2260"/>
    </row>
    <row r="33" spans="1:11" ht="1.5" customHeight="1" x14ac:dyDescent="0.2">
      <c r="A33" s="813" t="s">
        <v>1231</v>
      </c>
      <c r="B33" s="364"/>
      <c r="C33" s="364"/>
      <c r="D33" s="364"/>
      <c r="E33" s="364"/>
      <c r="F33" s="364"/>
      <c r="G33" s="814"/>
      <c r="H33" s="2261"/>
      <c r="I33" s="2260"/>
      <c r="J33" s="2260"/>
      <c r="K33" s="2260"/>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0</v>
      </c>
    </row>
    <row r="37" spans="1:11" x14ac:dyDescent="0.2">
      <c r="A37" s="821" t="s">
        <v>952</v>
      </c>
      <c r="B37" s="819"/>
      <c r="C37" s="819"/>
      <c r="D37" s="819"/>
      <c r="E37" s="819"/>
      <c r="F37" s="820"/>
      <c r="G37" s="766">
        <v>0</v>
      </c>
    </row>
    <row r="38" spans="1:11" x14ac:dyDescent="0.2">
      <c r="A38" s="821" t="s">
        <v>1050</v>
      </c>
      <c r="B38" s="819"/>
      <c r="C38" s="819"/>
      <c r="D38" s="819"/>
      <c r="E38" s="819"/>
      <c r="F38" s="820"/>
      <c r="G38" s="766">
        <v>0</v>
      </c>
    </row>
    <row r="39" spans="1:11" x14ac:dyDescent="0.2">
      <c r="A39" s="821" t="s">
        <v>1051</v>
      </c>
      <c r="B39" s="819"/>
      <c r="C39" s="819"/>
      <c r="D39" s="819"/>
      <c r="E39" s="819"/>
      <c r="F39" s="820"/>
      <c r="G39" s="766">
        <v>0</v>
      </c>
    </row>
    <row r="40" spans="1:11" x14ac:dyDescent="0.2">
      <c r="A40" s="821" t="s">
        <v>1052</v>
      </c>
      <c r="B40" s="819"/>
      <c r="C40" s="819"/>
      <c r="D40" s="819"/>
      <c r="E40" s="819"/>
      <c r="F40" s="820"/>
      <c r="G40" s="766">
        <v>0</v>
      </c>
    </row>
    <row r="41" spans="1:11" x14ac:dyDescent="0.2">
      <c r="A41" s="2229" t="s">
        <v>562</v>
      </c>
      <c r="B41" s="2230"/>
      <c r="C41" s="2230"/>
      <c r="D41" s="2230"/>
      <c r="E41" s="2230"/>
      <c r="F41" s="2231"/>
      <c r="G41" s="766">
        <v>0</v>
      </c>
    </row>
    <row r="42" spans="1:11" x14ac:dyDescent="0.2">
      <c r="A42" s="821" t="s">
        <v>1027</v>
      </c>
      <c r="B42" s="819"/>
      <c r="C42" s="819"/>
      <c r="D42" s="819"/>
      <c r="E42" s="819"/>
      <c r="F42" s="820"/>
      <c r="G42" s="766">
        <v>0</v>
      </c>
    </row>
    <row r="43" spans="1:11" x14ac:dyDescent="0.2">
      <c r="A43" s="821" t="s">
        <v>1028</v>
      </c>
      <c r="B43" s="819"/>
      <c r="C43" s="819"/>
      <c r="D43" s="819"/>
      <c r="E43" s="819"/>
      <c r="F43" s="820"/>
      <c r="G43" s="766">
        <v>0</v>
      </c>
    </row>
    <row r="44" spans="1:11" x14ac:dyDescent="0.2">
      <c r="A44" s="821" t="s">
        <v>1029</v>
      </c>
      <c r="B44" s="819"/>
      <c r="C44" s="819"/>
      <c r="D44" s="819"/>
      <c r="E44" s="819"/>
      <c r="F44" s="820"/>
      <c r="G44" s="766">
        <v>0</v>
      </c>
    </row>
    <row r="45" spans="1:11" ht="6.75" customHeight="1" x14ac:dyDescent="0.2"/>
    <row r="46" spans="1:11" ht="15" x14ac:dyDescent="0.2">
      <c r="A46" s="1552" t="s">
        <v>1913</v>
      </c>
      <c r="B46" s="408" t="s">
        <v>1774</v>
      </c>
    </row>
    <row r="47" spans="1:11" s="824" customFormat="1" ht="12.75" customHeight="1" x14ac:dyDescent="0.2">
      <c r="A47" s="822"/>
      <c r="B47" s="823" t="s">
        <v>1775</v>
      </c>
      <c r="E47" s="823"/>
      <c r="K47" s="825"/>
    </row>
    <row r="48" spans="1:11" ht="12.75" customHeight="1" x14ac:dyDescent="0.2">
      <c r="A48" s="1553"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35" right="0.17" top="0.57999999999999996" bottom="0.4" header="0.21" footer="0.2"/>
  <pageSetup scale="83" firstPageNumber="25" orientation="landscape" useFirstPageNumber="1" r:id="rId1"/>
  <headerFooter>
    <oddHeader>&amp;L&amp;"Calibri,Regular"&amp;8Page &amp;P&amp;C&amp;"Calibri,Bold"Schedule of Restricted Local Tax Levies and Selected Revenues Sources 
Schedule of Tort Immunity Expenditures &amp;R&amp;"Calibri,Regular"&amp;8Page &amp;P</oddHeader>
    <oddFooter>&amp;L&amp;"Calibri,Regular"&amp;8Print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2" sqref="H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2031</v>
      </c>
      <c r="B1" s="2269"/>
      <c r="C1" s="2270"/>
      <c r="D1" s="827"/>
      <c r="E1" s="828"/>
      <c r="F1" s="828"/>
      <c r="G1" s="829"/>
      <c r="H1" s="830"/>
      <c r="I1" s="831"/>
      <c r="J1" s="2266"/>
      <c r="K1" s="2267"/>
      <c r="L1" s="2267"/>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0" t="s">
        <v>948</v>
      </c>
      <c r="B3" s="1651">
        <v>210</v>
      </c>
      <c r="C3" s="836">
        <v>0</v>
      </c>
      <c r="D3" s="836">
        <v>0</v>
      </c>
      <c r="E3" s="836">
        <v>0</v>
      </c>
      <c r="F3" s="1778">
        <f>(C3+D3)-E3</f>
        <v>0</v>
      </c>
      <c r="G3" s="837"/>
      <c r="H3" s="836">
        <v>0</v>
      </c>
      <c r="I3" s="836">
        <v>0</v>
      </c>
      <c r="J3" s="836">
        <v>0</v>
      </c>
      <c r="K3" s="1787">
        <f>(H3+I3)-J3</f>
        <v>0</v>
      </c>
      <c r="L3" s="1787">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61666</v>
      </c>
      <c r="D5" s="842">
        <v>0</v>
      </c>
      <c r="E5" s="842">
        <v>0</v>
      </c>
      <c r="F5" s="1778">
        <f>(C5+D5)-E5</f>
        <v>61666</v>
      </c>
      <c r="G5" s="838"/>
      <c r="H5" s="843"/>
      <c r="I5" s="843"/>
      <c r="J5" s="843"/>
      <c r="K5" s="794"/>
      <c r="L5" s="1787">
        <f>F5-K5</f>
        <v>61666</v>
      </c>
    </row>
    <row r="6" spans="1:14" ht="14.25" thickTop="1" thickBot="1" x14ac:dyDescent="0.25">
      <c r="A6" s="779" t="s">
        <v>1179</v>
      </c>
      <c r="B6" s="841">
        <v>222</v>
      </c>
      <c r="C6" s="766">
        <v>0</v>
      </c>
      <c r="D6" s="766">
        <v>0</v>
      </c>
      <c r="E6" s="766">
        <v>0</v>
      </c>
      <c r="F6" s="1778">
        <f>(C6+D6)-E6</f>
        <v>0</v>
      </c>
      <c r="G6" s="838">
        <v>50</v>
      </c>
      <c r="H6" s="766">
        <v>0</v>
      </c>
      <c r="I6" s="766">
        <v>0</v>
      </c>
      <c r="J6" s="766">
        <v>0</v>
      </c>
      <c r="K6" s="1787">
        <f>(H6+I6)-J6</f>
        <v>0</v>
      </c>
      <c r="L6" s="1787">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3526690</v>
      </c>
      <c r="D8" s="845">
        <v>0</v>
      </c>
      <c r="E8" s="845">
        <v>0</v>
      </c>
      <c r="F8" s="1778">
        <f>(C8+D8)-E8</f>
        <v>3526690</v>
      </c>
      <c r="G8" s="844">
        <v>50</v>
      </c>
      <c r="H8" s="766">
        <v>1460049</v>
      </c>
      <c r="I8" s="766">
        <v>70534</v>
      </c>
      <c r="J8" s="766">
        <v>0</v>
      </c>
      <c r="K8" s="1787">
        <f>(H8+I8)-J8</f>
        <v>1530583</v>
      </c>
      <c r="L8" s="1787">
        <f>F8-K8</f>
        <v>1996107</v>
      </c>
    </row>
    <row r="9" spans="1:14" ht="14.25" thickTop="1" thickBot="1" x14ac:dyDescent="0.25">
      <c r="A9" s="779" t="s">
        <v>1181</v>
      </c>
      <c r="B9" s="841">
        <v>232</v>
      </c>
      <c r="C9" s="766">
        <v>0</v>
      </c>
      <c r="D9" s="766">
        <v>0</v>
      </c>
      <c r="E9" s="766">
        <v>0</v>
      </c>
      <c r="F9" s="1778">
        <f>(C9+D9)-E9</f>
        <v>0</v>
      </c>
      <c r="G9" s="844">
        <v>20</v>
      </c>
      <c r="H9" s="766">
        <v>0</v>
      </c>
      <c r="I9" s="766">
        <v>0</v>
      </c>
      <c r="J9" s="766">
        <v>0</v>
      </c>
      <c r="K9" s="1787">
        <f>(H9+I9)-J9</f>
        <v>0</v>
      </c>
      <c r="L9" s="1787">
        <f>F9-K9</f>
        <v>0</v>
      </c>
    </row>
    <row r="10" spans="1:14" ht="24" thickTop="1" thickBot="1" x14ac:dyDescent="0.25">
      <c r="A10" s="846" t="s">
        <v>1182</v>
      </c>
      <c r="B10" s="841">
        <v>240</v>
      </c>
      <c r="C10" s="847">
        <v>81416</v>
      </c>
      <c r="D10" s="847">
        <v>27673</v>
      </c>
      <c r="E10" s="847">
        <v>0</v>
      </c>
      <c r="F10" s="1782">
        <f>(C10+D10)-E10</f>
        <v>109089</v>
      </c>
      <c r="G10" s="844">
        <v>20</v>
      </c>
      <c r="H10" s="848">
        <v>81416</v>
      </c>
      <c r="I10" s="848">
        <v>1384</v>
      </c>
      <c r="J10" s="848">
        <v>0</v>
      </c>
      <c r="K10" s="1787">
        <f>(H10+I10)-J10</f>
        <v>82800</v>
      </c>
      <c r="L10" s="1787">
        <f>F10-K10</f>
        <v>26289</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339344</v>
      </c>
      <c r="D12" s="845">
        <v>8468</v>
      </c>
      <c r="E12" s="845">
        <v>0</v>
      </c>
      <c r="F12" s="1778">
        <f>(C12+D12)-E12</f>
        <v>347812</v>
      </c>
      <c r="G12" s="844">
        <v>10</v>
      </c>
      <c r="H12" s="766">
        <v>252048</v>
      </c>
      <c r="I12" s="766">
        <v>12621</v>
      </c>
      <c r="J12" s="766">
        <v>0</v>
      </c>
      <c r="K12" s="1787">
        <f>(H12+I12)-J12</f>
        <v>264669</v>
      </c>
      <c r="L12" s="1787">
        <f>F12-K12</f>
        <v>83143</v>
      </c>
    </row>
    <row r="13" spans="1:14" ht="14.25" thickTop="1" thickBot="1" x14ac:dyDescent="0.25">
      <c r="A13" s="849" t="s">
        <v>1184</v>
      </c>
      <c r="B13" s="841">
        <v>252</v>
      </c>
      <c r="C13" s="845">
        <v>0</v>
      </c>
      <c r="D13" s="845">
        <v>0</v>
      </c>
      <c r="E13" s="845">
        <v>0</v>
      </c>
      <c r="F13" s="1778">
        <f>(C13+D13)-E13</f>
        <v>0</v>
      </c>
      <c r="G13" s="844">
        <v>5</v>
      </c>
      <c r="H13" s="766">
        <v>0</v>
      </c>
      <c r="I13" s="766">
        <v>0</v>
      </c>
      <c r="J13" s="766">
        <v>0</v>
      </c>
      <c r="K13" s="1787">
        <f>(H13+I13)-J13</f>
        <v>0</v>
      </c>
      <c r="L13" s="1787">
        <f>F13-K13</f>
        <v>0</v>
      </c>
    </row>
    <row r="14" spans="1:14" ht="14.25" thickTop="1" thickBot="1" x14ac:dyDescent="0.25">
      <c r="A14" s="849" t="s">
        <v>1185</v>
      </c>
      <c r="B14" s="841">
        <v>253</v>
      </c>
      <c r="C14" s="766">
        <v>0</v>
      </c>
      <c r="D14" s="766">
        <v>0</v>
      </c>
      <c r="E14" s="766">
        <v>0</v>
      </c>
      <c r="F14" s="1778">
        <f>(C14+D14)-E14</f>
        <v>0</v>
      </c>
      <c r="G14" s="844">
        <v>3</v>
      </c>
      <c r="H14" s="766">
        <v>0</v>
      </c>
      <c r="I14" s="766">
        <v>0</v>
      </c>
      <c r="J14" s="766">
        <v>0</v>
      </c>
      <c r="K14" s="1787">
        <f>(H14+I14)-J14</f>
        <v>0</v>
      </c>
      <c r="L14" s="1787">
        <f>F14-K14</f>
        <v>0</v>
      </c>
    </row>
    <row r="15" spans="1:14" ht="15" customHeight="1" thickTop="1" thickBot="1" x14ac:dyDescent="0.25">
      <c r="A15" s="1652" t="s">
        <v>549</v>
      </c>
      <c r="B15" s="1651">
        <v>260</v>
      </c>
      <c r="C15" s="845">
        <v>0</v>
      </c>
      <c r="D15" s="845">
        <v>0</v>
      </c>
      <c r="E15" s="845">
        <v>0</v>
      </c>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4009116</v>
      </c>
      <c r="D16" s="1778">
        <f>SUM(D3,D5:D6,D8:D10,D12:D15)</f>
        <v>36141</v>
      </c>
      <c r="E16" s="1778">
        <f>SUM(E3,E5:E6,E8:E10,E12:E15)</f>
        <v>0</v>
      </c>
      <c r="F16" s="1778">
        <f>SUM(F3,F5:F6,F8:F10,F12:F15)</f>
        <v>4045257</v>
      </c>
      <c r="G16" s="844"/>
      <c r="H16" s="1778">
        <f>SUM(H3,H6,H8:H10,H12:H14,)</f>
        <v>1793513</v>
      </c>
      <c r="I16" s="1778">
        <f>SUM(I3,I6,I8:I10,I12:I14,)</f>
        <v>84539</v>
      </c>
      <c r="J16" s="1778">
        <f>SUM(J3,J6,J8:J10,J12:J14,)</f>
        <v>0</v>
      </c>
      <c r="K16" s="1778">
        <f>(H16+I16)-J16</f>
        <v>1878052</v>
      </c>
      <c r="L16" s="1778">
        <f>F16-K16</f>
        <v>2167205</v>
      </c>
    </row>
    <row r="17" spans="1:12" ht="15" customHeight="1" thickTop="1" thickBot="1" x14ac:dyDescent="0.25">
      <c r="A17" s="1654" t="s">
        <v>309</v>
      </c>
      <c r="B17" s="1651">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84539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25" right="0.17" top="1.1000000000000001" bottom="0.66" header="0.39" footer="0.17"/>
  <pageSetup scale="80" firstPageNumber="26" orientation="landscape" useFirstPageNumber="1" r:id="rId1"/>
  <headerFooter alignWithMargins="0">
    <oddHeader>&amp;L&amp;"Calibri,Regular"&amp;8Page &amp;P&amp;C &amp;R&amp;"Calibri,Regular"&amp;8Page &amp;P</oddHeader>
    <oddFooter>&amp;L&amp;"Calibri,Regular"&amp;8Print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47" sqref="A47"/>
      <selection pane="bottomLeft" activeCell="D21" sqref="D2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7">
        <f>'Expenditures 15-22'!K114</f>
        <v>1761151</v>
      </c>
      <c r="G8" s="866"/>
    </row>
    <row r="9" spans="1:7" x14ac:dyDescent="0.2">
      <c r="A9" s="870" t="s">
        <v>480</v>
      </c>
      <c r="B9" s="871" t="s">
        <v>1985</v>
      </c>
      <c r="C9" s="872"/>
      <c r="D9" s="870" t="s">
        <v>522</v>
      </c>
      <c r="E9" s="869"/>
      <c r="F9" s="1928">
        <f>'Expenditures 15-22'!K151</f>
        <v>85329</v>
      </c>
      <c r="G9" s="873"/>
    </row>
    <row r="10" spans="1:7" x14ac:dyDescent="0.2">
      <c r="A10" s="870" t="s">
        <v>520</v>
      </c>
      <c r="B10" s="871" t="s">
        <v>1986</v>
      </c>
      <c r="C10" s="872"/>
      <c r="D10" s="870" t="s">
        <v>522</v>
      </c>
      <c r="E10" s="869"/>
      <c r="F10" s="1928">
        <f>'Expenditures 15-22'!K174</f>
        <v>34655</v>
      </c>
      <c r="G10" s="873"/>
    </row>
    <row r="11" spans="1:7" x14ac:dyDescent="0.2">
      <c r="A11" s="870" t="s">
        <v>481</v>
      </c>
      <c r="B11" s="871" t="s">
        <v>1987</v>
      </c>
      <c r="C11" s="872"/>
      <c r="D11" s="870" t="s">
        <v>522</v>
      </c>
      <c r="E11" s="869"/>
      <c r="F11" s="1928">
        <f>'Expenditures 15-22'!K210</f>
        <v>5680</v>
      </c>
      <c r="G11" s="873"/>
    </row>
    <row r="12" spans="1:7" x14ac:dyDescent="0.2">
      <c r="A12" s="870" t="s">
        <v>482</v>
      </c>
      <c r="B12" s="871" t="s">
        <v>1988</v>
      </c>
      <c r="C12" s="872"/>
      <c r="D12" s="870" t="s">
        <v>522</v>
      </c>
      <c r="E12" s="869"/>
      <c r="F12" s="1928">
        <f>'Expenditures 15-22'!K295</f>
        <v>101629</v>
      </c>
      <c r="G12" s="873"/>
    </row>
    <row r="13" spans="1:7" x14ac:dyDescent="0.2">
      <c r="A13" s="870" t="s">
        <v>108</v>
      </c>
      <c r="B13" s="871" t="s">
        <v>1989</v>
      </c>
      <c r="C13" s="872"/>
      <c r="D13" s="870" t="s">
        <v>522</v>
      </c>
      <c r="E13" s="869"/>
      <c r="F13" s="1928">
        <f>'Expenditures 15-22'!K342</f>
        <v>104299</v>
      </c>
      <c r="G13" s="874"/>
    </row>
    <row r="14" spans="1:7" ht="12" customHeight="1" thickBot="1" x14ac:dyDescent="0.25">
      <c r="A14" s="1788"/>
      <c r="B14" s="1789"/>
      <c r="C14" s="1790"/>
      <c r="D14" s="1791" t="s">
        <v>522</v>
      </c>
      <c r="E14" s="1792" t="s">
        <v>1015</v>
      </c>
      <c r="F14" s="1793">
        <f>SUM(F8:F13)</f>
        <v>2092743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9">
        <f>'Revenues 9-14'!F43</f>
        <v>0</v>
      </c>
      <c r="G18" s="866"/>
    </row>
    <row r="19" spans="1:7" x14ac:dyDescent="0.2">
      <c r="A19" s="870" t="s">
        <v>481</v>
      </c>
      <c r="B19" s="871" t="s">
        <v>1069</v>
      </c>
      <c r="C19" s="878">
        <f>'Revenues 9-14'!B47</f>
        <v>1421</v>
      </c>
      <c r="D19" s="879" t="str">
        <f>'Revenues 9-14'!A47</f>
        <v>Summer Sch - Transp. Fees from Pupils or Parents (In State)</v>
      </c>
      <c r="E19" s="880"/>
      <c r="F19" s="1930">
        <f>'Revenues 9-14'!F47</f>
        <v>0</v>
      </c>
      <c r="G19" s="866"/>
    </row>
    <row r="20" spans="1:7" x14ac:dyDescent="0.2">
      <c r="A20" s="870" t="s">
        <v>481</v>
      </c>
      <c r="B20" s="871" t="s">
        <v>1070</v>
      </c>
      <c r="C20" s="876">
        <f>'Revenues 9-14'!B48</f>
        <v>1422</v>
      </c>
      <c r="D20" s="877" t="str">
        <f>'Revenues 9-14'!A48</f>
        <v>Summer Sch - Transp. Fees from Other Districts (In State)</v>
      </c>
      <c r="E20" s="869"/>
      <c r="F20" s="1931">
        <f>'Revenues 9-14'!F48</f>
        <v>0</v>
      </c>
      <c r="G20" s="866"/>
    </row>
    <row r="21" spans="1:7" x14ac:dyDescent="0.2">
      <c r="A21" s="870" t="s">
        <v>481</v>
      </c>
      <c r="B21" s="871" t="s">
        <v>1071</v>
      </c>
      <c r="C21" s="878">
        <f>'Revenues 9-14'!B49</f>
        <v>1423</v>
      </c>
      <c r="D21" s="877" t="str">
        <f>'Revenues 9-14'!A49</f>
        <v>Summer Sch - Transp. Fees from Other Sources (In State)</v>
      </c>
      <c r="E21" s="869"/>
      <c r="F21" s="1932">
        <f>'Revenues 9-14'!F49</f>
        <v>0</v>
      </c>
      <c r="G21" s="866"/>
    </row>
    <row r="22" spans="1:7" x14ac:dyDescent="0.2">
      <c r="A22" s="870" t="s">
        <v>481</v>
      </c>
      <c r="B22" s="871" t="s">
        <v>1072</v>
      </c>
      <c r="C22" s="878">
        <f>'Revenues 9-14'!B50</f>
        <v>1424</v>
      </c>
      <c r="D22" s="877" t="str">
        <f>'Revenues 9-14'!A50</f>
        <v>Summer Sch - Transp. Fees from Other Sources (Out of State)</v>
      </c>
      <c r="E22" s="869"/>
      <c r="F22" s="1932">
        <f>'Revenues 9-14'!F50</f>
        <v>0</v>
      </c>
      <c r="G22" s="866"/>
    </row>
    <row r="23" spans="1:7" x14ac:dyDescent="0.2">
      <c r="A23" s="870" t="s">
        <v>481</v>
      </c>
      <c r="B23" s="871" t="s">
        <v>1073</v>
      </c>
      <c r="C23" s="876">
        <f>'Revenues 9-14'!B52</f>
        <v>1432</v>
      </c>
      <c r="D23" s="877" t="str">
        <f>'Revenues 9-14'!A52</f>
        <v>CTE - Transp Fees from Other Districts (In State)</v>
      </c>
      <c r="E23" s="869"/>
      <c r="F23" s="1932">
        <f>'Revenues 9-14'!F52</f>
        <v>0</v>
      </c>
      <c r="G23" s="866"/>
    </row>
    <row r="24" spans="1:7" x14ac:dyDescent="0.2">
      <c r="A24" s="870" t="s">
        <v>481</v>
      </c>
      <c r="B24" s="871" t="s">
        <v>1074</v>
      </c>
      <c r="C24" s="876">
        <f>'Revenues 9-14'!B56</f>
        <v>1442</v>
      </c>
      <c r="D24" s="877" t="str">
        <f>'Revenues 9-14'!A56</f>
        <v>Special Ed - Transp Fees from Other Districts (In State)</v>
      </c>
      <c r="E24" s="869"/>
      <c r="F24" s="1932">
        <f>'Revenues 9-14'!F56</f>
        <v>0</v>
      </c>
      <c r="G24" s="866"/>
    </row>
    <row r="25" spans="1:7" x14ac:dyDescent="0.2">
      <c r="A25" s="870" t="s">
        <v>481</v>
      </c>
      <c r="B25" s="871" t="s">
        <v>1075</v>
      </c>
      <c r="C25" s="876">
        <f>'Revenues 9-14'!B59</f>
        <v>1451</v>
      </c>
      <c r="D25" s="877" t="str">
        <f>'Revenues 9-14'!A59</f>
        <v>Adult - Transp Fees from Pupils or Parents (In State)</v>
      </c>
      <c r="E25" s="869"/>
      <c r="F25" s="1932">
        <f>'Revenues 9-14'!F59</f>
        <v>0</v>
      </c>
      <c r="G25" s="866"/>
    </row>
    <row r="26" spans="1:7" x14ac:dyDescent="0.2">
      <c r="A26" s="870" t="s">
        <v>481</v>
      </c>
      <c r="B26" s="871" t="s">
        <v>1076</v>
      </c>
      <c r="C26" s="876">
        <f>'Revenues 9-14'!B60</f>
        <v>1452</v>
      </c>
      <c r="D26" s="877" t="str">
        <f>'Revenues 9-14'!A60</f>
        <v>Adult - Transp Fees from Other Districts (In State)</v>
      </c>
      <c r="E26" s="869"/>
      <c r="F26" s="1932">
        <f>'Revenues 9-14'!F60</f>
        <v>0</v>
      </c>
      <c r="G26" s="866"/>
    </row>
    <row r="27" spans="1:7" x14ac:dyDescent="0.2">
      <c r="A27" s="870" t="s">
        <v>481</v>
      </c>
      <c r="B27" s="871" t="s">
        <v>1077</v>
      </c>
      <c r="C27" s="876">
        <f>'Revenues 9-14'!B61</f>
        <v>1453</v>
      </c>
      <c r="D27" s="877" t="str">
        <f>'Revenues 9-14'!A61</f>
        <v>Adult - Transp Fees from Other Sources (In State)</v>
      </c>
      <c r="E27" s="869"/>
      <c r="F27" s="1932">
        <f>'Revenues 9-14'!F61</f>
        <v>0</v>
      </c>
      <c r="G27" s="866"/>
    </row>
    <row r="28" spans="1:7" x14ac:dyDescent="0.2">
      <c r="A28" s="870" t="s">
        <v>481</v>
      </c>
      <c r="B28" s="871" t="s">
        <v>1078</v>
      </c>
      <c r="C28" s="876">
        <f>'Revenues 9-14'!B62</f>
        <v>1454</v>
      </c>
      <c r="D28" s="877" t="str">
        <f>'Revenues 9-14'!A62</f>
        <v>Adult - Transp Fees from Other Sources (Out of State)</v>
      </c>
      <c r="E28" s="869"/>
      <c r="F28" s="1932">
        <f>'Revenues 9-14'!F62</f>
        <v>0</v>
      </c>
      <c r="G28" s="866"/>
    </row>
    <row r="29" spans="1:7" x14ac:dyDescent="0.2">
      <c r="A29" s="870" t="s">
        <v>1159</v>
      </c>
      <c r="B29" s="871" t="s">
        <v>1683</v>
      </c>
      <c r="C29" s="881">
        <f>'Revenues 9-14'!B148</f>
        <v>3410</v>
      </c>
      <c r="D29" s="882" t="str">
        <f>'Revenues 9-14'!A148</f>
        <v>Adult Ed (from ICCB)</v>
      </c>
      <c r="E29" s="869"/>
      <c r="F29" s="1932">
        <f>SUM('Revenues 9-14'!D148,F149)</f>
        <v>0</v>
      </c>
      <c r="G29" s="866"/>
    </row>
    <row r="30" spans="1:7" x14ac:dyDescent="0.2">
      <c r="A30" s="870" t="s">
        <v>1159</v>
      </c>
      <c r="B30" s="871" t="s">
        <v>861</v>
      </c>
      <c r="C30" s="881">
        <f>'Revenues 9-14'!B149</f>
        <v>3499</v>
      </c>
      <c r="D30" s="882" t="str">
        <f>'Revenues 9-14'!A149</f>
        <v>Adult Ed - Other (Describe &amp; Itemize)</v>
      </c>
      <c r="E30" s="869"/>
      <c r="F30" s="193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2">
        <f>SUM('Revenues 9-14'!D219,'Revenues 9-14'!F219)</f>
        <v>0</v>
      </c>
      <c r="G32" s="866"/>
    </row>
    <row r="33" spans="1:7" x14ac:dyDescent="0.2">
      <c r="A33" s="870" t="s">
        <v>480</v>
      </c>
      <c r="B33" s="871" t="s">
        <v>801</v>
      </c>
      <c r="C33" s="876">
        <f>'Revenues 9-14'!B229</f>
        <v>4810</v>
      </c>
      <c r="D33" s="884" t="str">
        <f>'Revenues 9-14'!A229</f>
        <v>Federal - Adult Education</v>
      </c>
      <c r="E33" s="869"/>
      <c r="F33" s="1932">
        <f>'Revenues 9-14'!D229</f>
        <v>0</v>
      </c>
      <c r="G33" s="866"/>
    </row>
    <row r="34" spans="1:7" x14ac:dyDescent="0.2">
      <c r="A34" s="870" t="s">
        <v>479</v>
      </c>
      <c r="B34" s="870" t="s">
        <v>1545</v>
      </c>
      <c r="C34" s="887" t="str">
        <f>'Expenditures 15-22'!B7</f>
        <v>1125</v>
      </c>
      <c r="D34" s="888" t="str">
        <f>'Expenditures 15-22'!A7</f>
        <v>Pre-K Programs</v>
      </c>
      <c r="E34" s="869"/>
      <c r="F34" s="1932">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2">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2">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2">
        <f>'Expenditures 15-22'!K20</f>
        <v>0</v>
      </c>
      <c r="G39" s="866"/>
    </row>
    <row r="40" spans="1:7" x14ac:dyDescent="0.2">
      <c r="A40" s="870" t="s">
        <v>479</v>
      </c>
      <c r="B40" s="870" t="s">
        <v>120</v>
      </c>
      <c r="C40" s="887" t="str">
        <f>'Expenditures 15-22'!B21</f>
        <v>1911</v>
      </c>
      <c r="D40" s="889" t="str">
        <f>'Expenditures 15-22'!A21</f>
        <v>Regular K-12 Programs - Private Tuition</v>
      </c>
      <c r="E40" s="869"/>
      <c r="F40" s="193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2">
        <f>'Expenditures 15-22'!K26</f>
        <v>0</v>
      </c>
      <c r="G45" s="866"/>
    </row>
    <row r="46" spans="1:7" x14ac:dyDescent="0.2">
      <c r="A46" s="870" t="s">
        <v>479</v>
      </c>
      <c r="B46" s="870" t="s">
        <v>126</v>
      </c>
      <c r="C46" s="887" t="str">
        <f>'Expenditures 15-22'!B27</f>
        <v>1917</v>
      </c>
      <c r="D46" s="889" t="str">
        <f>'Expenditures 15-22'!A27</f>
        <v>CTE Programs - Private Tuition</v>
      </c>
      <c r="E46" s="869"/>
      <c r="F46" s="193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2">
        <f>'Expenditures 15-22'!K29</f>
        <v>0</v>
      </c>
      <c r="G48" s="866"/>
    </row>
    <row r="49" spans="1:7" x14ac:dyDescent="0.2">
      <c r="A49" s="870" t="s">
        <v>479</v>
      </c>
      <c r="B49" s="870" t="s">
        <v>129</v>
      </c>
      <c r="C49" s="887" t="str">
        <f>'Expenditures 15-22'!B30</f>
        <v>1920</v>
      </c>
      <c r="D49" s="889" t="str">
        <f>'Expenditures 15-22'!A30</f>
        <v>Gifted Programs - Private Tuition</v>
      </c>
      <c r="E49" s="869"/>
      <c r="F49" s="1932">
        <f>'Expenditures 15-22'!K30</f>
        <v>0</v>
      </c>
      <c r="G49" s="866"/>
    </row>
    <row r="50" spans="1:7" x14ac:dyDescent="0.2">
      <c r="A50" s="870" t="s">
        <v>479</v>
      </c>
      <c r="B50" s="870" t="s">
        <v>130</v>
      </c>
      <c r="C50" s="887" t="str">
        <f>'Expenditures 15-22'!B31</f>
        <v>1921</v>
      </c>
      <c r="D50" s="889" t="str">
        <f>'Expenditures 15-22'!A31</f>
        <v>Bilingual Programs - Private Tuition</v>
      </c>
      <c r="E50" s="869"/>
      <c r="F50" s="1932">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2">
        <f>'Expenditures 15-22'!K32</f>
        <v>0</v>
      </c>
      <c r="G51" s="866"/>
    </row>
    <row r="52" spans="1:7" x14ac:dyDescent="0.2">
      <c r="A52" s="870" t="s">
        <v>479</v>
      </c>
      <c r="B52" s="870" t="s">
        <v>1550</v>
      </c>
      <c r="C52" s="890" t="str">
        <f>'Expenditures 15-22'!B75</f>
        <v>3000</v>
      </c>
      <c r="D52" s="889" t="s">
        <v>469</v>
      </c>
      <c r="E52" s="869"/>
      <c r="F52" s="1932">
        <f>'Expenditures 15-22'!K75-SUM('Expenditures 15-22'!G75,'Expenditures 15-22'!I75)</f>
        <v>1122</v>
      </c>
      <c r="G52" s="866"/>
    </row>
    <row r="53" spans="1:7" x14ac:dyDescent="0.2">
      <c r="A53" s="870" t="s">
        <v>479</v>
      </c>
      <c r="B53" s="870" t="s">
        <v>1551</v>
      </c>
      <c r="C53" s="890">
        <f>'Expenditures 15-22'!B102</f>
        <v>4000</v>
      </c>
      <c r="D53" s="889" t="str">
        <f>'Expenditures 15-22'!A102</f>
        <v>Total Payments to Other Govt Units</v>
      </c>
      <c r="E53" s="869"/>
      <c r="F53" s="1932">
        <f>'Expenditures 15-22'!K102</f>
        <v>69846</v>
      </c>
      <c r="G53" s="866"/>
    </row>
    <row r="54" spans="1:7" x14ac:dyDescent="0.2">
      <c r="A54" s="870" t="s">
        <v>479</v>
      </c>
      <c r="B54" s="870" t="s">
        <v>1552</v>
      </c>
      <c r="C54" s="890" t="s">
        <v>1039</v>
      </c>
      <c r="D54" s="886" t="s">
        <v>1157</v>
      </c>
      <c r="E54" s="869"/>
      <c r="F54" s="1932">
        <f>'Expenditures 15-22'!G114</f>
        <v>8467</v>
      </c>
      <c r="G54" s="866"/>
    </row>
    <row r="55" spans="1:7" x14ac:dyDescent="0.2">
      <c r="A55" s="870" t="s">
        <v>479</v>
      </c>
      <c r="B55" s="870" t="s">
        <v>1553</v>
      </c>
      <c r="C55" s="890" t="s">
        <v>1039</v>
      </c>
      <c r="D55" s="886" t="s">
        <v>309</v>
      </c>
      <c r="E55" s="869"/>
      <c r="F55" s="1932">
        <f>'Expenditures 15-22'!I114</f>
        <v>0</v>
      </c>
      <c r="G55" s="866"/>
    </row>
    <row r="56" spans="1:7" x14ac:dyDescent="0.2">
      <c r="A56" s="870" t="s">
        <v>480</v>
      </c>
      <c r="B56" s="870" t="s">
        <v>1554</v>
      </c>
      <c r="C56" s="887" t="str">
        <f>'Expenditures 15-22'!B130</f>
        <v>3000</v>
      </c>
      <c r="D56" s="893" t="s">
        <v>469</v>
      </c>
      <c r="E56" s="869"/>
      <c r="F56" s="1932">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2">
        <f>'Expenditures 15-22'!K139</f>
        <v>0</v>
      </c>
      <c r="G57" s="866"/>
    </row>
    <row r="58" spans="1:7" x14ac:dyDescent="0.2">
      <c r="A58" s="870" t="s">
        <v>480</v>
      </c>
      <c r="B58" s="870" t="s">
        <v>1991</v>
      </c>
      <c r="C58" s="887" t="s">
        <v>1039</v>
      </c>
      <c r="D58" s="886" t="s">
        <v>1157</v>
      </c>
      <c r="E58" s="869"/>
      <c r="F58" s="1934">
        <f>'Expenditures 15-22'!G151</f>
        <v>0</v>
      </c>
      <c r="G58" s="866"/>
    </row>
    <row r="59" spans="1:7" x14ac:dyDescent="0.2">
      <c r="A59" s="894" t="s">
        <v>480</v>
      </c>
      <c r="B59" s="857" t="s">
        <v>1992</v>
      </c>
      <c r="C59" s="895" t="s">
        <v>1039</v>
      </c>
      <c r="D59" s="857" t="s">
        <v>309</v>
      </c>
      <c r="F59" s="1935">
        <f>'Expenditures 15-22'!I151</f>
        <v>0</v>
      </c>
      <c r="G59" s="866"/>
    </row>
    <row r="60" spans="1:7" x14ac:dyDescent="0.2">
      <c r="A60" s="894" t="s">
        <v>520</v>
      </c>
      <c r="B60" s="857" t="s">
        <v>1993</v>
      </c>
      <c r="C60" s="895">
        <v>4000</v>
      </c>
      <c r="D60" s="857" t="s">
        <v>330</v>
      </c>
      <c r="F60" s="1933">
        <f>'Expenditures 15-22'!K160</f>
        <v>0</v>
      </c>
      <c r="G60" s="866"/>
    </row>
    <row r="61" spans="1:7" x14ac:dyDescent="0.2">
      <c r="A61" s="896" t="s">
        <v>520</v>
      </c>
      <c r="B61" s="896" t="s">
        <v>1994</v>
      </c>
      <c r="C61" s="897" t="str">
        <f>'Expenditures 15-22'!B170</f>
        <v>5300</v>
      </c>
      <c r="D61" s="898" t="s">
        <v>329</v>
      </c>
      <c r="E61" s="880"/>
      <c r="F61" s="1932">
        <f>'Expenditures 15-22'!K170</f>
        <v>30000</v>
      </c>
      <c r="G61" s="866"/>
    </row>
    <row r="62" spans="1:7" x14ac:dyDescent="0.2">
      <c r="A62" s="870" t="s">
        <v>481</v>
      </c>
      <c r="B62" s="870" t="s">
        <v>1995</v>
      </c>
      <c r="C62" s="887">
        <f>'Expenditures 15-22'!B185</f>
        <v>3000</v>
      </c>
      <c r="D62" s="877" t="s">
        <v>469</v>
      </c>
      <c r="E62" s="869"/>
      <c r="F62" s="1932">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2">
        <f>'Expenditures 15-22'!K196</f>
        <v>0</v>
      </c>
      <c r="G63" s="866"/>
    </row>
    <row r="64" spans="1:7" x14ac:dyDescent="0.2">
      <c r="A64" s="896" t="s">
        <v>481</v>
      </c>
      <c r="B64" s="896" t="s">
        <v>1997</v>
      </c>
      <c r="C64" s="897" t="str">
        <f>'Expenditures 15-22'!B206</f>
        <v>5300</v>
      </c>
      <c r="D64" s="893" t="s">
        <v>329</v>
      </c>
      <c r="E64" s="869"/>
      <c r="F64" s="1932">
        <f>'Expenditures 15-22'!K206</f>
        <v>0</v>
      </c>
      <c r="G64" s="866"/>
    </row>
    <row r="65" spans="1:8" x14ac:dyDescent="0.2">
      <c r="A65" s="870" t="s">
        <v>481</v>
      </c>
      <c r="B65" s="870" t="s">
        <v>1998</v>
      </c>
      <c r="C65" s="887" t="s">
        <v>1039</v>
      </c>
      <c r="D65" s="886" t="s">
        <v>1157</v>
      </c>
      <c r="E65" s="869"/>
      <c r="F65" s="1932">
        <f>'Expenditures 15-22'!G210</f>
        <v>0</v>
      </c>
      <c r="G65" s="866"/>
    </row>
    <row r="66" spans="1:8" x14ac:dyDescent="0.2">
      <c r="A66" s="870" t="s">
        <v>481</v>
      </c>
      <c r="B66" s="870" t="s">
        <v>1999</v>
      </c>
      <c r="C66" s="887" t="s">
        <v>1039</v>
      </c>
      <c r="D66" s="886" t="s">
        <v>309</v>
      </c>
      <c r="E66" s="869"/>
      <c r="F66" s="1932">
        <f>'Expenditures 15-22'!I210</f>
        <v>0</v>
      </c>
      <c r="G66" s="866"/>
    </row>
    <row r="67" spans="1:8" x14ac:dyDescent="0.2">
      <c r="A67" s="870" t="s">
        <v>482</v>
      </c>
      <c r="B67" s="870" t="s">
        <v>2000</v>
      </c>
      <c r="C67" s="887" t="str">
        <f>'Expenditures 15-22'!B216</f>
        <v>1125</v>
      </c>
      <c r="D67" s="893" t="str">
        <f>'Expenditures 15-22'!A216</f>
        <v>Pre-K Programs</v>
      </c>
      <c r="E67" s="869"/>
      <c r="F67" s="1932">
        <f>'Expenditures 15-22'!K216</f>
        <v>0</v>
      </c>
      <c r="G67" s="866"/>
    </row>
    <row r="68" spans="1:8" x14ac:dyDescent="0.2">
      <c r="A68" s="870" t="s">
        <v>482</v>
      </c>
      <c r="B68" s="870" t="s">
        <v>1555</v>
      </c>
      <c r="C68" s="887" t="str">
        <f>'Expenditures 15-22'!B218</f>
        <v>1225</v>
      </c>
      <c r="D68" s="893" t="str">
        <f>'Expenditures 15-22'!A218</f>
        <v>Special Education Programs - Pre-K</v>
      </c>
      <c r="E68" s="869"/>
      <c r="F68" s="1932">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2">
        <f>'Expenditures 15-22'!K220</f>
        <v>0</v>
      </c>
      <c r="G69" s="866"/>
    </row>
    <row r="70" spans="1:8" x14ac:dyDescent="0.2">
      <c r="A70" s="870" t="s">
        <v>482</v>
      </c>
      <c r="B70" s="870" t="s">
        <v>2002</v>
      </c>
      <c r="C70" s="887">
        <f>'Expenditures 15-22'!B221</f>
        <v>1300</v>
      </c>
      <c r="D70" s="888" t="str">
        <f>'Expenditures 15-22'!A221</f>
        <v>Adult/Continuing Education Programs</v>
      </c>
      <c r="E70" s="869"/>
      <c r="F70" s="1932">
        <f>'Expenditures 15-22'!K221</f>
        <v>0</v>
      </c>
      <c r="G70" s="866"/>
    </row>
    <row r="71" spans="1:8" x14ac:dyDescent="0.2">
      <c r="A71" s="870" t="s">
        <v>482</v>
      </c>
      <c r="B71" s="870" t="s">
        <v>2003</v>
      </c>
      <c r="C71" s="887">
        <f>'Expenditures 15-22'!B224</f>
        <v>1600</v>
      </c>
      <c r="D71" s="888" t="str">
        <f>'Expenditures 15-22'!A224</f>
        <v>Summer School Programs</v>
      </c>
      <c r="E71" s="869"/>
      <c r="F71" s="1932">
        <f>'Expenditures 15-22'!K224</f>
        <v>0</v>
      </c>
      <c r="G71" s="866"/>
    </row>
    <row r="72" spans="1:8" x14ac:dyDescent="0.2">
      <c r="A72" s="870" t="s">
        <v>482</v>
      </c>
      <c r="B72" s="870" t="s">
        <v>2004</v>
      </c>
      <c r="C72" s="887">
        <f>'Expenditures 15-22'!B280</f>
        <v>3000</v>
      </c>
      <c r="D72" s="877" t="s">
        <v>469</v>
      </c>
      <c r="E72" s="869"/>
      <c r="F72" s="1932">
        <f>'Expenditures 15-22'!K280</f>
        <v>8</v>
      </c>
      <c r="G72" s="866"/>
    </row>
    <row r="73" spans="1:8" x14ac:dyDescent="0.2">
      <c r="A73" s="870" t="s">
        <v>482</v>
      </c>
      <c r="B73" s="870" t="s">
        <v>2005</v>
      </c>
      <c r="C73" s="887" t="str">
        <f>'Expenditures 15-22'!B285</f>
        <v>4000</v>
      </c>
      <c r="D73" s="888" t="str">
        <f>'Expenditures 15-22'!A285</f>
        <v>Total Payments to Other Govt Units</v>
      </c>
      <c r="E73" s="869"/>
      <c r="F73" s="1932">
        <f>'Expenditures 15-22'!K285</f>
        <v>0</v>
      </c>
      <c r="G73" s="866"/>
    </row>
    <row r="74" spans="1:8" x14ac:dyDescent="0.2">
      <c r="A74" s="870" t="s">
        <v>456</v>
      </c>
      <c r="B74" s="870" t="s">
        <v>2006</v>
      </c>
      <c r="C74" s="887" t="s">
        <v>915</v>
      </c>
      <c r="D74" s="888" t="s">
        <v>1567</v>
      </c>
      <c r="E74" s="869"/>
      <c r="F74" s="1936">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2007</v>
      </c>
      <c r="E76" s="1792" t="s">
        <v>1015</v>
      </c>
      <c r="F76" s="1796">
        <f>SUM(F18:F74)</f>
        <v>109443</v>
      </c>
      <c r="G76" s="866"/>
    </row>
    <row r="77" spans="1:8" s="894" customFormat="1" ht="12" customHeight="1" thickTop="1" thickBot="1" x14ac:dyDescent="0.25">
      <c r="A77" s="1797"/>
      <c r="B77" s="1794"/>
      <c r="C77" s="1790"/>
      <c r="D77" s="1795" t="s">
        <v>2008</v>
      </c>
      <c r="E77" s="1792"/>
      <c r="F77" s="1798">
        <f>(F14-F76)</f>
        <v>1983300</v>
      </c>
      <c r="G77" s="870"/>
    </row>
    <row r="78" spans="1:8" s="894" customFormat="1" ht="12" customHeight="1" thickTop="1" x14ac:dyDescent="0.2">
      <c r="A78" s="1799"/>
      <c r="B78" s="1794"/>
      <c r="C78" s="1790"/>
      <c r="D78" s="1795" t="s">
        <v>2055</v>
      </c>
      <c r="E78" s="1792"/>
      <c r="F78" s="899">
        <v>248.48</v>
      </c>
      <c r="G78" s="900"/>
      <c r="H78" s="870"/>
    </row>
    <row r="79" spans="1:8" s="894" customFormat="1" ht="12" customHeight="1" thickBot="1" x14ac:dyDescent="0.25">
      <c r="A79" s="1800"/>
      <c r="B79" s="1794"/>
      <c r="C79" s="1790"/>
      <c r="D79" s="1795" t="s">
        <v>2009</v>
      </c>
      <c r="E79" s="1792" t="s">
        <v>1015</v>
      </c>
      <c r="F79" s="1801">
        <f>IF(F78&gt;0,F77/F78," Complete Line 78")</f>
        <v>7981.7289117836444</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6">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6691</v>
      </c>
      <c r="G94" s="913"/>
    </row>
    <row r="95" spans="1:7" x14ac:dyDescent="0.2">
      <c r="A95" s="909" t="s">
        <v>142</v>
      </c>
      <c r="B95" s="909" t="s">
        <v>177</v>
      </c>
      <c r="C95" s="911">
        <v>1700</v>
      </c>
      <c r="D95" s="919" t="str">
        <f>'Revenues 9-14'!A82</f>
        <v>Total District/School Activity Income</v>
      </c>
      <c r="E95" s="907"/>
      <c r="F95" s="1807">
        <f>SUM('Revenues 9-14'!C82,'Revenues 9-14'!D82)</f>
        <v>33629</v>
      </c>
      <c r="G95" s="913"/>
    </row>
    <row r="96" spans="1:7" x14ac:dyDescent="0.2">
      <c r="A96" s="909" t="s">
        <v>479</v>
      </c>
      <c r="B96" s="909" t="s">
        <v>178</v>
      </c>
      <c r="C96" s="911">
        <f>'Revenues 9-14'!B84</f>
        <v>1811</v>
      </c>
      <c r="D96" s="912" t="str">
        <f>'Revenues 9-14'!A84</f>
        <v>Rentals - Regular Textbooks</v>
      </c>
      <c r="E96" s="907"/>
      <c r="F96" s="1807">
        <f>'Revenues 9-14'!C84</f>
        <v>7770</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32842</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32065</v>
      </c>
      <c r="G104" s="913"/>
    </row>
    <row r="105" spans="1:7" x14ac:dyDescent="0.2">
      <c r="A105" s="909" t="s">
        <v>524</v>
      </c>
      <c r="B105" s="909" t="s">
        <v>842</v>
      </c>
      <c r="C105" s="914">
        <v>3100</v>
      </c>
      <c r="D105" s="920" t="str">
        <f>'Revenues 9-14'!A131</f>
        <v>Total Special Education</v>
      </c>
      <c r="E105" s="907"/>
      <c r="F105" s="1807">
        <f>SUM('Revenues 9-14'!C131:D131,'Revenues 9-14'!F131)</f>
        <v>36269</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1576</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7310</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6">
        <f>SUM('Revenues 9-14'!C166:G166)</f>
        <v>0</v>
      </c>
      <c r="G122" s="913"/>
    </row>
    <row r="123" spans="1:7" x14ac:dyDescent="0.2">
      <c r="A123" s="924" t="s">
        <v>525</v>
      </c>
      <c r="B123" s="924" t="s">
        <v>853</v>
      </c>
      <c r="C123" s="925">
        <f>'Revenues 9-14'!B167</f>
        <v>3815</v>
      </c>
      <c r="D123" s="926" t="str">
        <f>'Revenues 9-14'!A167</f>
        <v>State Charter Schools</v>
      </c>
      <c r="E123" s="907"/>
      <c r="F123" s="192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664</v>
      </c>
      <c r="G128" s="931"/>
    </row>
    <row r="129" spans="1:7" x14ac:dyDescent="0.2">
      <c r="A129" s="928" t="s">
        <v>685</v>
      </c>
      <c r="B129" s="928" t="s">
        <v>803</v>
      </c>
      <c r="C129" s="933">
        <v>4200</v>
      </c>
      <c r="D129" s="930" t="str">
        <f>'Revenues 9-14'!A201</f>
        <v>Total Food Service</v>
      </c>
      <c r="E129" s="907"/>
      <c r="F129" s="1807">
        <f>SUM('Revenues 9-14'!C201,'Revenues 9-14'!G201)</f>
        <v>101539</v>
      </c>
      <c r="G129" s="931"/>
    </row>
    <row r="130" spans="1:7" x14ac:dyDescent="0.2">
      <c r="A130" s="928" t="s">
        <v>689</v>
      </c>
      <c r="B130" s="928" t="s">
        <v>804</v>
      </c>
      <c r="C130" s="933">
        <v>4300</v>
      </c>
      <c r="D130" s="934" t="str">
        <f>'Revenues 9-14'!A211</f>
        <v>Total Title I</v>
      </c>
      <c r="E130" s="907"/>
      <c r="F130" s="1807">
        <f>SUM('Revenues 9-14'!C211,'Revenues 9-14'!D211,'Revenues 9-14'!F211,'Revenues 9-14'!G211)</f>
        <v>92400</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22444</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6">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6">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6">
        <f>SUM('Revenues 9-14'!C268,'Revenues 9-14'!D268,'Revenues 9-14'!F268,'Revenues 9-14'!G268)</f>
        <v>9337</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9475</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6345</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7" t="s">
        <v>5</v>
      </c>
      <c r="B175" s="1938" t="s">
        <v>2054</v>
      </c>
      <c r="C175" s="1939">
        <v>3100</v>
      </c>
      <c r="D175" s="1940" t="s">
        <v>2057</v>
      </c>
      <c r="E175" s="907"/>
      <c r="F175" s="1924">
        <v>78284</v>
      </c>
      <c r="G175" s="928"/>
    </row>
    <row r="176" spans="1:7" x14ac:dyDescent="0.2">
      <c r="A176" s="1937" t="s">
        <v>685</v>
      </c>
      <c r="B176" s="1938" t="s">
        <v>2054</v>
      </c>
      <c r="C176" s="1939">
        <v>3300</v>
      </c>
      <c r="D176" s="1940" t="s">
        <v>2058</v>
      </c>
      <c r="E176" s="907"/>
      <c r="F176" s="1924">
        <v>0</v>
      </c>
      <c r="G176" s="928"/>
    </row>
    <row r="177" spans="1:7" ht="6" customHeight="1" x14ac:dyDescent="0.2">
      <c r="A177" s="928"/>
      <c r="B177" s="928"/>
      <c r="C177" s="950"/>
      <c r="D177" s="928"/>
      <c r="E177" s="907"/>
      <c r="F177" s="951"/>
      <c r="G177" s="948"/>
    </row>
    <row r="178" spans="1:7" x14ac:dyDescent="0.2">
      <c r="A178" s="1788"/>
      <c r="B178" s="1802"/>
      <c r="C178" s="1803"/>
      <c r="D178" s="1804" t="s">
        <v>2010</v>
      </c>
      <c r="E178" s="1805" t="s">
        <v>1015</v>
      </c>
      <c r="F178" s="1806">
        <f>SUM(F84:F136,F161:F176)</f>
        <v>480140</v>
      </c>
    </row>
    <row r="179" spans="1:7" ht="12" customHeight="1" x14ac:dyDescent="0.2">
      <c r="A179" s="1788"/>
      <c r="B179" s="1802"/>
      <c r="C179" s="1803"/>
      <c r="D179" s="1804" t="s">
        <v>2011</v>
      </c>
      <c r="E179" s="1805"/>
      <c r="F179" s="1807">
        <f>'PCTC-OEPP 27-28'!F77-F178</f>
        <v>1503160</v>
      </c>
    </row>
    <row r="180" spans="1:7" ht="12" customHeight="1" x14ac:dyDescent="0.2">
      <c r="A180" s="1788"/>
      <c r="B180" s="1802"/>
      <c r="C180" s="1803"/>
      <c r="D180" s="1804" t="s">
        <v>1920</v>
      </c>
      <c r="E180" s="1805"/>
      <c r="F180" s="1807">
        <f>'Cap Outlay Deprec 26'!I18</f>
        <v>84539</v>
      </c>
    </row>
    <row r="181" spans="1:7" ht="12" customHeight="1" x14ac:dyDescent="0.2">
      <c r="A181" s="1788"/>
      <c r="B181" s="1802"/>
      <c r="C181" s="1803"/>
      <c r="D181" s="1804" t="s">
        <v>2012</v>
      </c>
      <c r="E181" s="1805"/>
      <c r="F181" s="1807">
        <f>F179+F180</f>
        <v>1587699</v>
      </c>
    </row>
    <row r="182" spans="1:7" ht="12" customHeight="1" x14ac:dyDescent="0.2">
      <c r="A182" s="1788"/>
      <c r="B182" s="1808"/>
      <c r="C182" s="1803"/>
      <c r="D182" s="1804" t="str">
        <f>D78</f>
        <v>9 Month ADA from District Average Daily Attendance/Prior General State Aid Inquiry 2017-2018</v>
      </c>
      <c r="E182" s="1805"/>
      <c r="F182" s="1809">
        <f>'PCTC-OEPP 27-28'!F78</f>
        <v>248.48</v>
      </c>
      <c r="G182" s="931"/>
    </row>
    <row r="183" spans="1:7" ht="12" customHeight="1" thickBot="1" x14ac:dyDescent="0.25">
      <c r="A183" s="1788"/>
      <c r="B183" s="1808"/>
      <c r="C183" s="1803"/>
      <c r="D183" s="1804" t="s">
        <v>2013</v>
      </c>
      <c r="E183" s="1805" t="s">
        <v>1626</v>
      </c>
      <c r="F183" s="1810">
        <f>F181/F182</f>
        <v>6389.6450418544755</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1" customFormat="1" ht="12.2" customHeight="1" x14ac:dyDescent="0.2">
      <c r="A186" s="1941" t="s">
        <v>2061</v>
      </c>
      <c r="B186" s="1942"/>
      <c r="C186" s="1943"/>
      <c r="D186" s="1942"/>
      <c r="E186" s="1943"/>
      <c r="F186" s="1942"/>
      <c r="G186" s="1942"/>
    </row>
    <row r="187" spans="1:7" s="1941" customFormat="1" ht="12.2" customHeight="1" x14ac:dyDescent="0.2">
      <c r="A187" s="1944" t="s">
        <v>2062</v>
      </c>
      <c r="C187" s="1943"/>
      <c r="D187" s="1942"/>
      <c r="E187" s="1943"/>
      <c r="F187" s="1942"/>
      <c r="G187" s="1942"/>
    </row>
    <row r="188" spans="1:7" ht="12" customHeight="1" x14ac:dyDescent="0.2">
      <c r="C188" s="950"/>
      <c r="D188" s="931"/>
      <c r="E188" s="950"/>
      <c r="F188" s="931"/>
      <c r="G188" s="931"/>
    </row>
    <row r="189" spans="1:7" x14ac:dyDescent="0.2">
      <c r="A189" s="1945" t="s">
        <v>2060</v>
      </c>
      <c r="B189" s="1946"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54" right="0.2" top="0.7" bottom="0.45" header="0.19" footer="0.17"/>
  <pageSetup scale="70" firstPageNumber="27" orientation="portrait" useFirstPageNumber="1" r:id="rId2"/>
  <headerFooter alignWithMargins="0">
    <oddHeader>&amp;L&amp;"Calibri,Regular"&amp;8Page &amp;P&amp;C &amp;R&amp;"Calibri,Regular"&amp;8Page &amp;P</oddHeader>
    <oddFooter>&amp;L&amp;"Calibri,Regular"&amp;8Print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workbookViewId="0">
      <pane ySplit="16" topLeftCell="A17" activePane="bottomLeft" state="frozen"/>
      <selection pane="bottomLeft" activeCell="G22" sqref="G22"/>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7" t="s">
        <v>1936</v>
      </c>
      <c r="B1" s="1678"/>
      <c r="C1" s="1678"/>
      <c r="D1" s="1678"/>
      <c r="E1" s="1678"/>
      <c r="F1" s="1678"/>
      <c r="G1" s="1678"/>
    </row>
    <row r="2" spans="1:7" x14ac:dyDescent="0.25">
      <c r="A2" s="1675"/>
      <c r="B2" s="1675"/>
      <c r="C2" s="1676" t="s">
        <v>1036</v>
      </c>
      <c r="D2" s="1675"/>
      <c r="E2" s="1675"/>
      <c r="F2" s="1675"/>
      <c r="G2" s="1675"/>
    </row>
    <row r="3" spans="1:7" ht="5.25" customHeight="1" x14ac:dyDescent="0.25">
      <c r="A3" s="1566"/>
      <c r="B3" s="1566"/>
      <c r="C3" s="1566"/>
      <c r="D3" s="1566"/>
      <c r="E3" s="1566"/>
      <c r="F3" s="1566"/>
      <c r="G3" s="1566"/>
    </row>
    <row r="4" spans="1:7" ht="18.75" customHeight="1" x14ac:dyDescent="0.25">
      <c r="A4" s="2285" t="s">
        <v>1921</v>
      </c>
      <c r="B4" s="2286"/>
      <c r="C4" s="2286"/>
      <c r="D4" s="2286"/>
      <c r="E4" s="2286"/>
      <c r="F4" s="2286"/>
      <c r="G4" s="2287"/>
    </row>
    <row r="5" spans="1:7" x14ac:dyDescent="0.25">
      <c r="A5" s="2288"/>
      <c r="B5" s="2289"/>
      <c r="C5" s="2289"/>
      <c r="D5" s="2289"/>
      <c r="E5" s="2289"/>
      <c r="F5" s="2289"/>
      <c r="G5" s="2290"/>
    </row>
    <row r="6" spans="1:7" ht="18.75" x14ac:dyDescent="0.25">
      <c r="A6" s="1555" t="s">
        <v>1922</v>
      </c>
      <c r="B6" s="1556"/>
      <c r="C6" s="1556"/>
      <c r="D6" s="1556"/>
      <c r="E6" s="1556"/>
      <c r="F6" s="1556"/>
      <c r="G6" s="1557"/>
    </row>
    <row r="7" spans="1:7" ht="30.75" customHeight="1" x14ac:dyDescent="0.25">
      <c r="A7" s="2291" t="s">
        <v>2071</v>
      </c>
      <c r="B7" s="2292"/>
      <c r="C7" s="2292"/>
      <c r="D7" s="2292"/>
      <c r="E7" s="2292"/>
      <c r="F7" s="2292"/>
      <c r="G7" s="2293"/>
    </row>
    <row r="8" spans="1:7" ht="15.75" customHeight="1" x14ac:dyDescent="0.25">
      <c r="A8" s="2294" t="s">
        <v>2020</v>
      </c>
      <c r="B8" s="2295"/>
      <c r="C8" s="2295"/>
      <c r="D8" s="2295"/>
      <c r="E8" s="2295"/>
      <c r="F8" s="2295"/>
      <c r="G8" s="2296"/>
    </row>
    <row r="9" spans="1:7" ht="35.25" customHeight="1" x14ac:dyDescent="0.25">
      <c r="A9" s="2291" t="s">
        <v>2019</v>
      </c>
      <c r="B9" s="2292"/>
      <c r="C9" s="2292"/>
      <c r="D9" s="2292"/>
      <c r="E9" s="2292"/>
      <c r="F9" s="2292"/>
      <c r="G9" s="2293"/>
    </row>
    <row r="10" spans="1:7" ht="15" customHeight="1" x14ac:dyDescent="0.25">
      <c r="A10" s="1558" t="s">
        <v>1923</v>
      </c>
      <c r="B10" s="1559"/>
      <c r="C10" s="1559"/>
      <c r="D10" s="1559"/>
      <c r="E10" s="1559"/>
      <c r="F10" s="1559"/>
      <c r="G10" s="1560"/>
    </row>
    <row r="11" spans="1:7" ht="17.25" customHeight="1" x14ac:dyDescent="0.25">
      <c r="A11" s="2291" t="s">
        <v>1937</v>
      </c>
      <c r="B11" s="2292"/>
      <c r="C11" s="2292"/>
      <c r="D11" s="2292"/>
      <c r="E11" s="2292"/>
      <c r="F11" s="2292"/>
      <c r="G11" s="2293"/>
    </row>
    <row r="12" spans="1:7" ht="15" customHeight="1" x14ac:dyDescent="0.25">
      <c r="A12" s="1558" t="s">
        <v>1928</v>
      </c>
      <c r="B12" s="1559"/>
      <c r="C12" s="1559"/>
      <c r="D12" s="1559"/>
      <c r="E12" s="1559"/>
      <c r="F12" s="1559"/>
      <c r="G12" s="1560"/>
    </row>
    <row r="13" spans="1:7" ht="32.25" customHeight="1" x14ac:dyDescent="0.25">
      <c r="A13" s="2282" t="s">
        <v>1929</v>
      </c>
      <c r="B13" s="2283"/>
      <c r="C13" s="2283"/>
      <c r="D13" s="2283"/>
      <c r="E13" s="2283"/>
      <c r="F13" s="2283"/>
      <c r="G13" s="2284"/>
    </row>
    <row r="14" spans="1:7" x14ac:dyDescent="0.25">
      <c r="A14" s="1679" t="s">
        <v>1938</v>
      </c>
      <c r="B14" s="1680"/>
      <c r="C14" s="1680"/>
      <c r="D14" s="1680"/>
      <c r="E14" s="1680"/>
      <c r="F14" s="1680"/>
      <c r="G14" s="1681"/>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8" t="s">
        <v>1939</v>
      </c>
      <c r="B16" s="1669" t="s">
        <v>1927</v>
      </c>
      <c r="C16" s="1670" t="s">
        <v>1925</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7" x14ac:dyDescent="0.25">
      <c r="A17" s="1953" t="s">
        <v>2121</v>
      </c>
      <c r="B17" s="1954" t="s">
        <v>2119</v>
      </c>
      <c r="C17" s="1955" t="s">
        <v>2120</v>
      </c>
      <c r="D17" s="1862">
        <v>17858</v>
      </c>
      <c r="E17" s="1561">
        <f t="shared" ref="E17:E25" si="1">IF(D17&lt;=25000,D17,IF(D17&gt;25000,25000,0))</f>
        <v>17858</v>
      </c>
      <c r="F17" s="1811">
        <v>17858</v>
      </c>
      <c r="G17" s="1812">
        <f t="shared" ref="G17:G25" si="2">IF(F17=0,0,D17-F17)</f>
        <v>0</v>
      </c>
    </row>
    <row r="18" spans="1:7" x14ac:dyDescent="0.25">
      <c r="A18" s="1953" t="s">
        <v>2122</v>
      </c>
      <c r="B18" s="1954" t="s">
        <v>2123</v>
      </c>
      <c r="C18" s="1955" t="s">
        <v>2074</v>
      </c>
      <c r="D18" s="1862">
        <v>6500</v>
      </c>
      <c r="E18" s="1561">
        <f t="shared" ref="E18:E19" si="3">IF(D18&lt;=25000,D18,IF(D18&gt;25000,25000,0))</f>
        <v>6500</v>
      </c>
      <c r="F18" s="1811">
        <v>6500</v>
      </c>
      <c r="G18" s="1812">
        <f t="shared" ref="G18:G19" si="4">IF(F18=0,0,D18-F18)</f>
        <v>0</v>
      </c>
    </row>
    <row r="19" spans="1:7" x14ac:dyDescent="0.25">
      <c r="A19" s="1953" t="s">
        <v>2124</v>
      </c>
      <c r="B19" s="1954" t="s">
        <v>2125</v>
      </c>
      <c r="C19" s="1955" t="s">
        <v>2126</v>
      </c>
      <c r="D19" s="1862">
        <v>13838</v>
      </c>
      <c r="E19" s="1561">
        <f t="shared" si="3"/>
        <v>13838</v>
      </c>
      <c r="F19" s="1811">
        <v>13838</v>
      </c>
      <c r="G19" s="1812">
        <f t="shared" si="4"/>
        <v>0</v>
      </c>
    </row>
    <row r="20" spans="1:7" x14ac:dyDescent="0.25">
      <c r="A20" s="1953" t="s">
        <v>2124</v>
      </c>
      <c r="B20" s="1954" t="s">
        <v>2127</v>
      </c>
      <c r="C20" s="1955" t="s">
        <v>2126</v>
      </c>
      <c r="D20" s="1862">
        <v>2787</v>
      </c>
      <c r="E20" s="1561">
        <f t="shared" ref="E20:E24" si="5">IF(D20&lt;=25000,D20,IF(D20&gt;25000,25000,0))</f>
        <v>2787</v>
      </c>
      <c r="F20" s="1811">
        <v>2787</v>
      </c>
      <c r="G20" s="1812">
        <f t="shared" ref="G20:G24" si="6">IF(F20=0,0,D20-F20)</f>
        <v>0</v>
      </c>
    </row>
    <row r="21" spans="1:7" x14ac:dyDescent="0.25">
      <c r="A21" s="1953" t="s">
        <v>2128</v>
      </c>
      <c r="B21" s="1954" t="s">
        <v>2129</v>
      </c>
      <c r="C21" s="1955" t="s">
        <v>2126</v>
      </c>
      <c r="D21" s="1862">
        <v>5121</v>
      </c>
      <c r="E21" s="1561">
        <f t="shared" si="5"/>
        <v>5121</v>
      </c>
      <c r="F21" s="1811">
        <v>5121</v>
      </c>
      <c r="G21" s="1812">
        <f t="shared" si="6"/>
        <v>0</v>
      </c>
    </row>
    <row r="22" spans="1:7" x14ac:dyDescent="0.25">
      <c r="A22" s="1953" t="s">
        <v>2128</v>
      </c>
      <c r="B22" s="1954" t="s">
        <v>2130</v>
      </c>
      <c r="C22" s="1955" t="s">
        <v>2126</v>
      </c>
      <c r="D22" s="1862">
        <v>33977</v>
      </c>
      <c r="E22" s="1561">
        <f t="shared" si="5"/>
        <v>25000</v>
      </c>
      <c r="F22" s="1811">
        <v>3254</v>
      </c>
      <c r="G22" s="1812">
        <f t="shared" si="6"/>
        <v>30723</v>
      </c>
    </row>
    <row r="23" spans="1:7" x14ac:dyDescent="0.25">
      <c r="A23" s="1673"/>
      <c r="B23" s="1685"/>
      <c r="C23" s="1674"/>
      <c r="D23" s="1862"/>
      <c r="E23" s="1561">
        <f t="shared" si="5"/>
        <v>0</v>
      </c>
      <c r="F23" s="1811">
        <f t="shared" ref="F23:F24" si="7">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12">
        <f t="shared" si="6"/>
        <v>0</v>
      </c>
    </row>
    <row r="24" spans="1:7" x14ac:dyDescent="0.25">
      <c r="A24" s="1673"/>
      <c r="B24" s="1685"/>
      <c r="C24" s="1674"/>
      <c r="D24" s="1862"/>
      <c r="E24" s="1561">
        <f t="shared" si="5"/>
        <v>0</v>
      </c>
      <c r="F24" s="1811">
        <f t="shared" si="7"/>
        <v>0</v>
      </c>
      <c r="G24" s="1812">
        <f t="shared" si="6"/>
        <v>0</v>
      </c>
    </row>
    <row r="25" spans="1:7" x14ac:dyDescent="0.25">
      <c r="A25" s="1673"/>
      <c r="B25" s="1684"/>
      <c r="C25" s="1674"/>
      <c r="D25" s="1862"/>
      <c r="E25" s="1561">
        <f t="shared" si="1"/>
        <v>0</v>
      </c>
      <c r="F25" s="1811">
        <f t="shared" ref="F25" si="8">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2">
        <f t="shared" si="2"/>
        <v>0</v>
      </c>
    </row>
    <row r="26" spans="1:7" x14ac:dyDescent="0.25">
      <c r="A26" s="1815" t="s">
        <v>158</v>
      </c>
      <c r="B26" s="1816"/>
      <c r="C26" s="1817"/>
      <c r="D26" s="1813">
        <f>SUM(D17:D25)</f>
        <v>80081</v>
      </c>
      <c r="E26" s="1562">
        <f t="shared" ref="E26" si="9">IF(D26&lt;=25000,D26,IF(D26&gt;25000,25000,0))</f>
        <v>25000</v>
      </c>
      <c r="F26" s="1813">
        <f>SUM(F17:F25)</f>
        <v>49358</v>
      </c>
      <c r="G26" s="1814">
        <f>SUM(G17:G25)</f>
        <v>30723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29" fitToHeight="0" orientation="landscape" useFirstPageNumber="1" r:id="rId1"/>
  <headerFooter>
    <oddHeader>&amp;L&amp;"Calibri,Regular"&amp;8Page &amp;P&amp;R&amp;"Calibri,Regular"&amp;8Page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1" sqref="A11:D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2072</v>
      </c>
      <c r="B10" s="972"/>
      <c r="C10" s="977"/>
      <c r="D10" s="973"/>
      <c r="E10" s="974">
        <v>48219</v>
      </c>
      <c r="F10" s="975"/>
      <c r="G10" s="976"/>
      <c r="H10" s="162"/>
      <c r="I10" s="162"/>
    </row>
    <row r="11" spans="1:9" s="669" customFormat="1" ht="22.5" customHeight="1" x14ac:dyDescent="0.2">
      <c r="A11" s="2302" t="s">
        <v>1941</v>
      </c>
      <c r="B11" s="2303"/>
      <c r="C11" s="2303"/>
      <c r="D11" s="2304"/>
      <c r="E11" s="978">
        <v>9830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1319883</v>
      </c>
      <c r="F19" s="1818"/>
      <c r="G19" s="1820">
        <f>'Expenditures 15-22'!K33-SUM('Expenditures 15-22'!G33,'Expenditures 15-22'!I33)+'Expenditures 15-22'!D229</f>
        <v>1319883</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21134</v>
      </c>
      <c r="F21" s="1821"/>
      <c r="G21" s="1824">
        <f>'Expenditures 15-22'!K42-SUM('Expenditures 15-22'!G42,'Expenditures 15-22'!I42)+'Expenditures 15-22'!K120-SUM('Expenditures 15-22'!G120,'Expenditures 15-22'!I120)+'Expenditures 15-22'!K180-SUM('Expenditures 15-22'!G180,'Expenditures 15-22'!I180)+'Expenditures 15-22'!D238</f>
        <v>21134</v>
      </c>
      <c r="H21" s="988"/>
      <c r="I21" s="162"/>
    </row>
    <row r="22" spans="1:9" s="669" customFormat="1" ht="12" customHeight="1" x14ac:dyDescent="0.2">
      <c r="A22" s="995" t="s">
        <v>585</v>
      </c>
      <c r="B22" s="996"/>
      <c r="C22" s="994">
        <v>2200</v>
      </c>
      <c r="D22" s="1821"/>
      <c r="E22" s="1823">
        <f>'Expenditures 15-22'!K47-SUM('Expenditures 15-22'!G47,'Expenditures 15-22'!I47)+'Expenditures 15-22'!D243</f>
        <v>50161</v>
      </c>
      <c r="F22" s="1821"/>
      <c r="G22" s="1824">
        <f>'Expenditures 15-22'!K47-SUM('Expenditures 15-22'!G47,'Expenditures 15-22'!I47)+'Expenditures 15-22'!D243</f>
        <v>50161</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253322</v>
      </c>
      <c r="F23" s="1821"/>
      <c r="G23" s="1823">
        <f>'Expenditures 15-22'!K53-SUM('Expenditures 15-22'!G53,'Expenditures 15-22'!I53)+'Expenditures 15-22'!D257+'Expenditures 15-22'!K330-SUM('Expenditures 15-22'!G330,'Expenditures 15-22'!I330)</f>
        <v>253322</v>
      </c>
      <c r="H23" s="988"/>
      <c r="I23" s="162"/>
    </row>
    <row r="24" spans="1:9" s="669" customFormat="1" ht="12" customHeight="1" x14ac:dyDescent="0.2">
      <c r="A24" s="995" t="s">
        <v>587</v>
      </c>
      <c r="B24" s="996"/>
      <c r="C24" s="994">
        <v>2400</v>
      </c>
      <c r="D24" s="1821"/>
      <c r="E24" s="1823">
        <f>'Expenditures 15-22'!K57-SUM('Expenditures 15-22'!G57,'Expenditures 15-22'!I57)+'Expenditures 15-22'!D261</f>
        <v>0</v>
      </c>
      <c r="F24" s="1821"/>
      <c r="G24" s="1824">
        <f>'Expenditures 15-22'!K57-SUM('Expenditures 15-22'!G57,'Expenditures 15-22'!I57)+'Expenditures 15-22'!D261</f>
        <v>0</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62101</v>
      </c>
      <c r="E27" s="1823">
        <f>E8</f>
        <v>0</v>
      </c>
      <c r="F27" s="1823">
        <f>'Expenditures 15-22'!K60-SUM('Expenditures 15-22'!G60,'Expenditures 15-22'!I60)+'Expenditures 15-22'!D264-E8</f>
        <v>62101</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169829</v>
      </c>
      <c r="F28" s="1825">
        <f>'Expenditures 15-22'!K61-SUM('Expenditures 15-22'!G61,'Expenditures 15-22'!I61)+'Expenditures 15-22'!K124-SUM('Expenditures 15-22'!G124,'Expenditures 15-22'!I124)+'Expenditures 15-22'!D266-E9</f>
        <v>169829</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10089</v>
      </c>
      <c r="F29" s="1821"/>
      <c r="G29" s="1824">
        <f>'Expenditures 15-22'!K62-SUM('Expenditures 15-22'!G62,'Expenditures 15-22'!I62)+'Expenditures 15-22'!K125-SUM('Expenditures 15-22'!G125,'Expenditures 15-22'!I125)+'Expenditures 15-22'!K182-SUM('Expenditures 15-22'!G182,'Expenditures 15-22'!I182)+'Expenditures 15-22'!D267</f>
        <v>10089</v>
      </c>
      <c r="H29" s="986"/>
    </row>
    <row r="30" spans="1:9" ht="12" customHeight="1" x14ac:dyDescent="0.2">
      <c r="A30" s="995" t="s">
        <v>102</v>
      </c>
      <c r="B30" s="998"/>
      <c r="C30" s="994">
        <v>2560</v>
      </c>
      <c r="D30" s="1821"/>
      <c r="E30" s="1823">
        <f>'Expenditures 15-22'!K63-SUM('Expenditures 15-22'!G63,'Expenditures 15-22'!I63)+'Expenditures 15-22'!D268-E10</f>
        <v>40701</v>
      </c>
      <c r="F30" s="1821"/>
      <c r="G30" s="1823">
        <f>'Expenditures 15-22'!K63-SUM('Expenditures 15-22'!G63,'Expenditures 15-22'!I63)+'Expenditures 15-22'!D268-E10</f>
        <v>40701</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3206</v>
      </c>
      <c r="F35" s="1821"/>
      <c r="G35" s="1823">
        <f>'Expenditures 15-22'!K69-SUM('Expenditures 15-22'!G69,'Expenditures 15-22'!I69)+'Expenditures 15-22'!D274</f>
        <v>3206</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1130</v>
      </c>
      <c r="F39" s="1821"/>
      <c r="G39" s="1823">
        <f>'Expenditures 15-22'!K75-SUM('Expenditures 15-22'!G75,'Expenditures 15-22'!I75)+'Expenditures 15-22'!K130-SUM('Expenditures 15-22'!G130,'Expenditures 15-22'!I130)+'Expenditures 15-22'!K185-SUM('Expenditures 15-22'!G185,'Expenditures 15-22'!I185)+'Expenditures 15-22'!D280</f>
        <v>1130</v>
      </c>
    </row>
    <row r="40" spans="1:7" ht="12" customHeight="1" x14ac:dyDescent="0.2">
      <c r="A40" s="991" t="s">
        <v>1926</v>
      </c>
      <c r="B40" s="992"/>
      <c r="C40" s="994"/>
      <c r="D40" s="1821"/>
      <c r="E40" s="1825">
        <f>-'Contracts Paid in CY 29'!G26</f>
        <v>-30723</v>
      </c>
      <c r="F40" s="1821"/>
      <c r="G40" s="1825">
        <f>-'Contracts Paid in CY 29'!G26</f>
        <v>-30723</v>
      </c>
    </row>
    <row r="41" spans="1:7" ht="12" customHeight="1" x14ac:dyDescent="0.2">
      <c r="A41" s="999" t="s">
        <v>158</v>
      </c>
      <c r="B41" s="1000"/>
      <c r="C41" s="1001"/>
      <c r="D41" s="1825">
        <f>SUM(D19:D39)</f>
        <v>62101</v>
      </c>
      <c r="E41" s="1825">
        <f>SUM(E19:E40)</f>
        <v>1838732</v>
      </c>
      <c r="F41" s="1825">
        <f>SUM(F19:F39)</f>
        <v>231930</v>
      </c>
      <c r="G41" s="1825">
        <f>SUM(G19:G40)</f>
        <v>1668903</v>
      </c>
    </row>
    <row r="42" spans="1:7" x14ac:dyDescent="0.2">
      <c r="A42" s="988"/>
      <c r="B42" s="162"/>
      <c r="C42" s="1002"/>
      <c r="D42" s="2300" t="s">
        <v>543</v>
      </c>
      <c r="E42" s="2301"/>
      <c r="F42" s="1003" t="s">
        <v>544</v>
      </c>
      <c r="G42" s="1004"/>
    </row>
    <row r="43" spans="1:7" ht="12" customHeight="1" x14ac:dyDescent="0.2">
      <c r="A43" s="988"/>
      <c r="B43" s="162"/>
      <c r="C43" s="1002"/>
      <c r="D43" s="1826" t="s">
        <v>493</v>
      </c>
      <c r="E43" s="1827">
        <f>D41</f>
        <v>62101</v>
      </c>
      <c r="F43" s="1826" t="s">
        <v>495</v>
      </c>
      <c r="G43" s="1827">
        <f>F41</f>
        <v>231930</v>
      </c>
    </row>
    <row r="44" spans="1:7" ht="12" customHeight="1" x14ac:dyDescent="0.2">
      <c r="A44" s="988"/>
      <c r="B44" s="162"/>
      <c r="C44" s="1002"/>
      <c r="D44" s="1826" t="s">
        <v>494</v>
      </c>
      <c r="E44" s="1827">
        <f>E41</f>
        <v>1838732</v>
      </c>
      <c r="F44" s="1826" t="s">
        <v>494</v>
      </c>
      <c r="G44" s="1827">
        <f>G41</f>
        <v>1668903</v>
      </c>
    </row>
    <row r="45" spans="1:7" ht="12" customHeight="1" x14ac:dyDescent="0.2">
      <c r="A45" s="988"/>
      <c r="B45" s="162"/>
      <c r="C45" s="162"/>
      <c r="D45" s="1828" t="s">
        <v>1063</v>
      </c>
      <c r="E45" s="1829">
        <f>(E43/E44)</f>
        <v>3.3773818044173919E-2</v>
      </c>
      <c r="F45" s="1828" t="s">
        <v>1063</v>
      </c>
      <c r="G45" s="1829">
        <f>(G43/G44)</f>
        <v>0.13897152800372461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1" right="0" top="0.77" bottom="0.34" header="0.17" footer="0.17"/>
  <pageSetup scale="85" firstPageNumber="30" orientation="landscape" useFirstPageNumber="1" r:id="rId1"/>
  <headerFooter alignWithMargins="0">
    <oddHeader>&amp;L&amp;"Calibri,Regular"&amp;8Page &amp;P&amp;C&amp;"Calibri,Bold"
ESTIMATED INDIRECT COST DATA&amp;R&amp;"Calibri,Regular"&amp;8Page &amp;P</oddHeader>
    <oddFooter>&amp;L&amp;"Calibri,Regular"&amp;8Print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31" sqref="C31"/>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08" t="s">
        <v>1446</v>
      </c>
      <c r="B1" s="2308"/>
      <c r="C1" s="2308"/>
      <c r="D1" s="2308"/>
      <c r="E1" s="2308"/>
      <c r="F1" s="2308"/>
    </row>
    <row r="2" spans="1:10" x14ac:dyDescent="0.2">
      <c r="A2" s="1905" t="s">
        <v>2044</v>
      </c>
      <c r="B2" s="1866"/>
      <c r="C2" s="1905"/>
      <c r="D2" s="1866"/>
      <c r="E2" s="1866"/>
      <c r="F2" s="1867"/>
    </row>
    <row r="3" spans="1:10" x14ac:dyDescent="0.2">
      <c r="A3" s="1905" t="s">
        <v>1700</v>
      </c>
      <c r="B3" s="1866"/>
      <c r="C3" s="1905"/>
      <c r="D3" s="1866"/>
      <c r="E3" s="1866"/>
      <c r="F3" s="1867"/>
    </row>
    <row r="4" spans="1:10" ht="3.75" customHeight="1" x14ac:dyDescent="0.2">
      <c r="A4" s="1866"/>
      <c r="B4" s="1866"/>
      <c r="C4" s="1866"/>
      <c r="D4" s="1866"/>
      <c r="E4" s="1866"/>
      <c r="F4" s="1867"/>
    </row>
    <row r="5" spans="1:10" ht="15" x14ac:dyDescent="0.25">
      <c r="A5" s="2309" t="s">
        <v>1627</v>
      </c>
      <c r="B5" s="2310"/>
      <c r="C5" s="2311"/>
      <c r="D5" s="2311"/>
      <c r="E5" s="2311"/>
      <c r="F5" s="2311"/>
    </row>
    <row r="6" spans="1:10" ht="12" customHeight="1" x14ac:dyDescent="0.25">
      <c r="A6" s="1868"/>
      <c r="B6" s="1869"/>
      <c r="C6" s="2312" t="str">
        <f>COVER!A17</f>
        <v>Summersville Grade School #79</v>
      </c>
      <c r="D6" s="2312"/>
      <c r="E6" s="2312"/>
      <c r="F6" s="1870"/>
    </row>
    <row r="7" spans="1:10" ht="11.25" customHeight="1" thickBot="1" x14ac:dyDescent="0.3">
      <c r="A7" s="1868"/>
      <c r="B7" s="1869"/>
      <c r="C7" s="2313">
        <f>COVER!A13</f>
        <v>13041079002</v>
      </c>
      <c r="D7" s="2313"/>
      <c r="E7" s="2313"/>
      <c r="F7" s="1870"/>
    </row>
    <row r="8" spans="1:10" ht="25.5" customHeight="1" thickBot="1" x14ac:dyDescent="0.25">
      <c r="A8" s="1911" t="s">
        <v>2021</v>
      </c>
      <c r="B8" s="1871"/>
      <c r="C8" s="1907" t="s">
        <v>1780</v>
      </c>
      <c r="D8" s="1906" t="s">
        <v>1781</v>
      </c>
      <c r="E8" s="1908" t="s">
        <v>1447</v>
      </c>
      <c r="F8" s="1906"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c r="D13" s="1883"/>
      <c r="E13" s="1886"/>
      <c r="F13" s="1885"/>
      <c r="H13" s="1896">
        <f t="shared" si="0"/>
        <v>0</v>
      </c>
      <c r="I13" s="1896">
        <f t="shared" si="1"/>
        <v>0</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c r="D15" s="1883"/>
      <c r="E15" s="1886"/>
      <c r="F15" s="1885"/>
      <c r="H15" s="1896">
        <f t="shared" si="0"/>
        <v>0</v>
      </c>
      <c r="I15" s="1896">
        <f t="shared" si="1"/>
        <v>0</v>
      </c>
      <c r="J15" s="1896">
        <f t="shared" si="2"/>
        <v>0</v>
      </c>
    </row>
    <row r="16" spans="1:10" ht="12" customHeight="1" x14ac:dyDescent="0.2">
      <c r="A16" s="1881" t="s">
        <v>1455</v>
      </c>
      <c r="B16" s="1882"/>
      <c r="C16" s="1883"/>
      <c r="D16" s="1883"/>
      <c r="E16" s="1886"/>
      <c r="F16" s="1885"/>
      <c r="H16" s="1896">
        <f t="shared" si="0"/>
        <v>0</v>
      </c>
      <c r="I16" s="1896">
        <f t="shared" si="1"/>
        <v>0</v>
      </c>
      <c r="J16" s="1896">
        <f t="shared" si="2"/>
        <v>0</v>
      </c>
    </row>
    <row r="17" spans="1:12" ht="12" customHeight="1" x14ac:dyDescent="0.2">
      <c r="A17" s="1881" t="s">
        <v>1456</v>
      </c>
      <c r="B17" s="1882"/>
      <c r="C17" s="1883"/>
      <c r="D17" s="1883"/>
      <c r="E17" s="1886"/>
      <c r="F17" s="1885"/>
      <c r="H17" s="1896">
        <f t="shared" si="0"/>
        <v>0</v>
      </c>
      <c r="I17" s="1896">
        <f t="shared" si="1"/>
        <v>0</v>
      </c>
      <c r="J17" s="1896">
        <f t="shared" si="2"/>
        <v>0</v>
      </c>
    </row>
    <row r="18" spans="1:12" ht="12" customHeight="1" x14ac:dyDescent="0.2">
      <c r="A18" s="1881" t="s">
        <v>1457</v>
      </c>
      <c r="B18" s="1882"/>
      <c r="C18" s="1883"/>
      <c r="D18" s="1883"/>
      <c r="E18" s="1886"/>
      <c r="F18" s="1885"/>
      <c r="H18" s="1896">
        <f t="shared" si="0"/>
        <v>0</v>
      </c>
      <c r="I18" s="1896">
        <f t="shared" si="1"/>
        <v>0</v>
      </c>
      <c r="J18" s="1896">
        <f t="shared" si="2"/>
        <v>0</v>
      </c>
    </row>
    <row r="19" spans="1:12" ht="12" customHeight="1" x14ac:dyDescent="0.2">
      <c r="A19" s="1881" t="s">
        <v>1608</v>
      </c>
      <c r="B19" s="1882"/>
      <c r="C19" s="1883"/>
      <c r="D19" s="1883"/>
      <c r="E19" s="1886"/>
      <c r="F19" s="1885"/>
      <c r="H19" s="1896">
        <f t="shared" si="0"/>
        <v>0</v>
      </c>
      <c r="I19" s="1896">
        <f t="shared" si="1"/>
        <v>0</v>
      </c>
      <c r="J19" s="1896">
        <f t="shared" si="2"/>
        <v>0</v>
      </c>
    </row>
    <row r="20" spans="1:12" ht="12" customHeight="1" x14ac:dyDescent="0.2">
      <c r="A20" s="1881" t="s">
        <v>1609</v>
      </c>
      <c r="B20" s="1882"/>
      <c r="C20" s="1883"/>
      <c r="D20" s="1883"/>
      <c r="E20" s="1886"/>
      <c r="F20" s="1885"/>
      <c r="H20" s="1896">
        <f t="shared" si="0"/>
        <v>0</v>
      </c>
      <c r="I20" s="1896">
        <f t="shared" si="1"/>
        <v>0</v>
      </c>
      <c r="J20" s="1896">
        <f t="shared" si="2"/>
        <v>0</v>
      </c>
    </row>
    <row r="21" spans="1:12" ht="12" customHeight="1" x14ac:dyDescent="0.2">
      <c r="A21" s="1881" t="s">
        <v>1610</v>
      </c>
      <c r="B21" s="1882"/>
      <c r="C21" s="1883"/>
      <c r="D21" s="1883"/>
      <c r="E21" s="1886"/>
      <c r="F21" s="1885"/>
      <c r="H21" s="1896">
        <f t="shared" si="0"/>
        <v>0</v>
      </c>
      <c r="I21" s="1896">
        <f t="shared" si="1"/>
        <v>0</v>
      </c>
      <c r="J21" s="1896">
        <f t="shared" si="2"/>
        <v>0</v>
      </c>
    </row>
    <row r="22" spans="1:12" ht="12" customHeight="1" x14ac:dyDescent="0.2">
      <c r="A22" s="1881" t="s">
        <v>1611</v>
      </c>
      <c r="B22" s="1882"/>
      <c r="C22" s="1883"/>
      <c r="D22" s="1883"/>
      <c r="E22" s="1886"/>
      <c r="F22" s="1885"/>
      <c r="H22" s="1896">
        <f t="shared" si="0"/>
        <v>0</v>
      </c>
      <c r="I22" s="1896">
        <f t="shared" si="1"/>
        <v>0</v>
      </c>
      <c r="J22" s="1896">
        <f t="shared" si="2"/>
        <v>0</v>
      </c>
    </row>
    <row r="23" spans="1:12" ht="12" customHeight="1" x14ac:dyDescent="0.2">
      <c r="A23" s="1881" t="s">
        <v>1612</v>
      </c>
      <c r="B23" s="1882"/>
      <c r="C23" s="1883"/>
      <c r="D23" s="1883"/>
      <c r="E23" s="1886"/>
      <c r="F23" s="1885"/>
      <c r="H23" s="1896">
        <f t="shared" si="0"/>
        <v>0</v>
      </c>
      <c r="I23" s="1896">
        <f t="shared" si="1"/>
        <v>0</v>
      </c>
      <c r="J23" s="1896">
        <f t="shared" si="2"/>
        <v>0</v>
      </c>
    </row>
    <row r="24" spans="1:12" ht="12" customHeight="1" x14ac:dyDescent="0.2">
      <c r="A24" s="1881" t="s">
        <v>1613</v>
      </c>
      <c r="B24" s="1882"/>
      <c r="C24" s="1883"/>
      <c r="D24" s="1883"/>
      <c r="E24" s="1886"/>
      <c r="F24" s="1885"/>
      <c r="H24" s="1896">
        <f t="shared" si="0"/>
        <v>0</v>
      </c>
      <c r="I24" s="1896">
        <f t="shared" si="1"/>
        <v>0</v>
      </c>
      <c r="J24" s="1896">
        <f t="shared" si="2"/>
        <v>0</v>
      </c>
    </row>
    <row r="25" spans="1:12" ht="12" customHeight="1" x14ac:dyDescent="0.2">
      <c r="A25" s="1881" t="s">
        <v>1614</v>
      </c>
      <c r="B25" s="1882"/>
      <c r="C25" s="1883"/>
      <c r="D25" s="1883"/>
      <c r="E25" s="1886"/>
      <c r="F25" s="1885"/>
      <c r="H25" s="1896">
        <f t="shared" si="0"/>
        <v>0</v>
      </c>
      <c r="I25" s="1896">
        <f t="shared" si="1"/>
        <v>0</v>
      </c>
      <c r="J25" s="1896">
        <f t="shared" si="2"/>
        <v>0</v>
      </c>
    </row>
    <row r="26" spans="1:12" ht="12" customHeight="1" x14ac:dyDescent="0.2">
      <c r="A26" s="1881" t="s">
        <v>1615</v>
      </c>
      <c r="B26" s="1882"/>
      <c r="C26" s="1883" t="s">
        <v>2073</v>
      </c>
      <c r="D26" s="1883" t="s">
        <v>2073</v>
      </c>
      <c r="E26" s="1886" t="s">
        <v>2073</v>
      </c>
      <c r="F26" s="1885" t="s">
        <v>2083</v>
      </c>
      <c r="H26" s="1896">
        <f t="shared" si="0"/>
        <v>5</v>
      </c>
      <c r="I26" s="1896">
        <f t="shared" si="1"/>
        <v>5</v>
      </c>
      <c r="J26" s="1896">
        <f t="shared" si="2"/>
        <v>5</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c r="D28" s="1883"/>
      <c r="E28" s="1886"/>
      <c r="F28" s="1885"/>
      <c r="H28" s="1896">
        <f t="shared" si="0"/>
        <v>0</v>
      </c>
      <c r="I28" s="1896">
        <f t="shared" si="1"/>
        <v>0</v>
      </c>
      <c r="J28" s="1896">
        <f t="shared" si="2"/>
        <v>0</v>
      </c>
    </row>
    <row r="29" spans="1:12" ht="12" customHeight="1" x14ac:dyDescent="0.2">
      <c r="A29" s="1881" t="s">
        <v>1618</v>
      </c>
      <c r="B29" s="1882"/>
      <c r="C29" s="1883"/>
      <c r="D29" s="1883"/>
      <c r="E29" s="1886"/>
      <c r="F29" s="1885"/>
      <c r="H29" s="1896">
        <f t="shared" si="0"/>
        <v>0</v>
      </c>
      <c r="I29" s="1896">
        <f t="shared" si="1"/>
        <v>0</v>
      </c>
      <c r="J29" s="1896">
        <f t="shared" si="2"/>
        <v>0</v>
      </c>
    </row>
    <row r="30" spans="1:12" ht="12" customHeight="1" x14ac:dyDescent="0.2">
      <c r="A30" s="1881" t="s">
        <v>1619</v>
      </c>
      <c r="B30" s="1882"/>
      <c r="C30" s="1883" t="s">
        <v>2073</v>
      </c>
      <c r="D30" s="1883" t="s">
        <v>2073</v>
      </c>
      <c r="E30" s="1886" t="s">
        <v>2073</v>
      </c>
      <c r="F30" s="1885" t="s">
        <v>2131</v>
      </c>
      <c r="H30" s="1896">
        <f t="shared" si="0"/>
        <v>5</v>
      </c>
      <c r="I30" s="1896">
        <f t="shared" si="1"/>
        <v>5</v>
      </c>
      <c r="J30" s="1896">
        <f t="shared" si="2"/>
        <v>5</v>
      </c>
    </row>
    <row r="31" spans="1:12" ht="12" customHeight="1" x14ac:dyDescent="0.2">
      <c r="A31" s="1881" t="s">
        <v>1620</v>
      </c>
      <c r="B31" s="1882"/>
      <c r="C31" s="1883"/>
      <c r="D31" s="1883"/>
      <c r="E31" s="1886"/>
      <c r="F31" s="1885"/>
      <c r="H31" s="1896">
        <f t="shared" si="0"/>
        <v>0</v>
      </c>
      <c r="I31" s="1896">
        <f t="shared" si="1"/>
        <v>0</v>
      </c>
      <c r="J31" s="1896">
        <f t="shared" si="2"/>
        <v>0</v>
      </c>
      <c r="L31" s="1887"/>
    </row>
    <row r="32" spans="1:12" ht="12" customHeight="1" x14ac:dyDescent="0.2">
      <c r="A32" s="1881" t="s">
        <v>1621</v>
      </c>
      <c r="B32" s="1882"/>
      <c r="C32" s="1883"/>
      <c r="D32" s="1883"/>
      <c r="E32" s="1886"/>
      <c r="F32" s="1885"/>
      <c r="H32" s="1896">
        <f t="shared" si="0"/>
        <v>0</v>
      </c>
      <c r="I32" s="1896">
        <f t="shared" si="1"/>
        <v>0</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10</v>
      </c>
      <c r="I34" s="1896">
        <f>SUM(I11:I32)</f>
        <v>10</v>
      </c>
      <c r="J34" s="1896">
        <f>SUM(J11:J32)</f>
        <v>10</v>
      </c>
      <c r="K34" s="1896">
        <f>SUM(H34:J34)</f>
        <v>30</v>
      </c>
    </row>
    <row r="35" spans="1:11" ht="12" customHeight="1" x14ac:dyDescent="0.2">
      <c r="A35" s="1889" t="s">
        <v>1459</v>
      </c>
      <c r="B35" s="1890"/>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91"/>
      <c r="B39" s="1891"/>
      <c r="C39" s="1891"/>
      <c r="D39" s="1891"/>
      <c r="E39" s="1891"/>
      <c r="F39" s="1891"/>
    </row>
    <row r="40" spans="1:11" s="1888" customFormat="1" ht="12" customHeight="1" x14ac:dyDescent="0.25">
      <c r="A40" s="1892" t="s">
        <v>1458</v>
      </c>
      <c r="B40" s="1893"/>
      <c r="C40" s="2322"/>
      <c r="D40" s="2322"/>
      <c r="E40" s="2322"/>
      <c r="F40" s="2323"/>
      <c r="H40" s="1897"/>
      <c r="I40" s="1897"/>
      <c r="J40" s="1897"/>
      <c r="K40" s="1897"/>
    </row>
    <row r="41" spans="1:11" s="1888" customFormat="1" ht="12" customHeight="1" x14ac:dyDescent="0.25">
      <c r="A41" s="2324"/>
      <c r="B41" s="2325"/>
      <c r="C41" s="2325"/>
      <c r="D41" s="2325"/>
      <c r="E41" s="2325"/>
      <c r="F41" s="2326"/>
      <c r="H41" s="1897"/>
      <c r="I41" s="1897"/>
      <c r="J41" s="1897"/>
      <c r="K41" s="1897"/>
    </row>
    <row r="42" spans="1:11" s="1888" customFormat="1" ht="12" customHeight="1" x14ac:dyDescent="0.25">
      <c r="A42" s="2324"/>
      <c r="B42" s="2325"/>
      <c r="C42" s="2325"/>
      <c r="D42" s="2325"/>
      <c r="E42" s="2325"/>
      <c r="F42" s="2326"/>
      <c r="H42" s="1897"/>
      <c r="I42" s="1897"/>
      <c r="J42" s="1897"/>
      <c r="K42" s="1897"/>
    </row>
    <row r="43" spans="1:11" s="1888" customFormat="1" ht="15" x14ac:dyDescent="0.25">
      <c r="A43" s="2316"/>
      <c r="B43" s="2317"/>
      <c r="C43" s="2317"/>
      <c r="D43" s="2317"/>
      <c r="E43" s="2317"/>
      <c r="F43" s="2318"/>
      <c r="H43" s="1897"/>
      <c r="I43" s="1897"/>
      <c r="J43" s="1897"/>
      <c r="K43" s="1897"/>
    </row>
    <row r="44" spans="1:11" s="1888" customFormat="1" ht="12" hidden="1" customHeight="1" x14ac:dyDescent="0.25">
      <c r="A44" s="2316"/>
      <c r="B44" s="2317"/>
      <c r="C44" s="2317"/>
      <c r="D44" s="2317"/>
      <c r="E44" s="2317"/>
      <c r="F44" s="2318"/>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3" right="0.2" top="0.68" bottom="0.37" header="0.17" footer="0.17"/>
  <pageSetup scale="72" orientation="landscape" r:id="rId1"/>
  <headerFooter>
    <oddFooter>&amp;C&amp;"Calibri,Regular"&amp;8Page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2" t="s">
        <v>693</v>
      </c>
      <c r="B6" s="1663"/>
      <c r="C6" s="1663"/>
      <c r="D6" s="1663"/>
      <c r="E6" s="1664"/>
      <c r="F6" s="1016"/>
      <c r="G6" s="1010"/>
      <c r="H6" s="1017" t="s">
        <v>1086</v>
      </c>
      <c r="I6" s="2332" t="str">
        <f>COVER!A17</f>
        <v>Summersville Grade School #79</v>
      </c>
      <c r="J6" s="2333"/>
      <c r="Q6" s="1682"/>
    </row>
    <row r="7" spans="1:17" x14ac:dyDescent="0.2">
      <c r="A7" s="2334" t="s">
        <v>924</v>
      </c>
      <c r="B7" s="2335"/>
      <c r="C7" s="2335"/>
      <c r="D7" s="2335"/>
      <c r="E7" s="2336"/>
      <c r="F7" s="1018"/>
      <c r="G7" s="1010"/>
      <c r="H7" s="1017" t="s">
        <v>390</v>
      </c>
      <c r="I7" s="2337">
        <f>COVER!A13</f>
        <v>13041079002</v>
      </c>
      <c r="J7" s="2337"/>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3" t="s">
        <v>1701</v>
      </c>
      <c r="F9" s="1024"/>
      <c r="G9" s="1024"/>
      <c r="H9" s="1914"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123724</v>
      </c>
      <c r="F12" s="1040"/>
      <c r="G12" s="1830">
        <f t="shared" ref="G12:G18" si="0">SUM(E12:F12)</f>
        <v>123724</v>
      </c>
      <c r="H12" s="1041">
        <v>122037</v>
      </c>
      <c r="I12" s="1040"/>
      <c r="J12" s="1830">
        <f t="shared" ref="J12:J18" si="1">SUM(H12:I12)</f>
        <v>122037</v>
      </c>
    </row>
    <row r="13" spans="1:17" ht="15" customHeight="1" x14ac:dyDescent="0.2">
      <c r="A13" s="1036">
        <v>2</v>
      </c>
      <c r="B13" s="1037" t="s">
        <v>44</v>
      </c>
      <c r="C13" s="1038"/>
      <c r="D13" s="1039">
        <v>2330</v>
      </c>
      <c r="E13" s="1830">
        <f>'Expenditures 15-22'!K51</f>
        <v>0</v>
      </c>
      <c r="F13" s="1040"/>
      <c r="G13" s="1830">
        <f t="shared" si="0"/>
        <v>0</v>
      </c>
      <c r="H13" s="1041">
        <v>0</v>
      </c>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v>0</v>
      </c>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v>0</v>
      </c>
      <c r="I15" s="1041">
        <v>0</v>
      </c>
      <c r="J15" s="1830">
        <f t="shared" si="1"/>
        <v>0</v>
      </c>
    </row>
    <row r="16" spans="1:17" ht="15" customHeight="1" x14ac:dyDescent="0.2">
      <c r="A16" s="1036">
        <v>5</v>
      </c>
      <c r="B16" s="1037" t="s">
        <v>103</v>
      </c>
      <c r="C16" s="1038"/>
      <c r="D16" s="1039">
        <v>2570</v>
      </c>
      <c r="E16" s="1830">
        <f>'Expenditures 15-22'!K64</f>
        <v>0</v>
      </c>
      <c r="F16" s="1040"/>
      <c r="G16" s="1830">
        <f t="shared" si="0"/>
        <v>0</v>
      </c>
      <c r="H16" s="1041">
        <v>0</v>
      </c>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v>0</v>
      </c>
      <c r="I17" s="1040"/>
      <c r="J17" s="1830">
        <f t="shared" si="1"/>
        <v>0</v>
      </c>
    </row>
    <row r="18" spans="1:10" ht="22.5" customHeight="1" x14ac:dyDescent="0.2">
      <c r="A18" s="1043">
        <v>7</v>
      </c>
      <c r="B18" s="2341" t="s">
        <v>7</v>
      </c>
      <c r="C18" s="2342"/>
      <c r="D18" s="2343"/>
      <c r="E18" s="1044">
        <v>0</v>
      </c>
      <c r="F18" s="1044">
        <v>0</v>
      </c>
      <c r="G18" s="1831">
        <f t="shared" si="0"/>
        <v>0</v>
      </c>
      <c r="H18" s="1041">
        <v>0</v>
      </c>
      <c r="I18" s="1041">
        <v>0</v>
      </c>
      <c r="J18" s="1830">
        <f t="shared" si="1"/>
        <v>0</v>
      </c>
    </row>
    <row r="19" spans="1:10" ht="12.75" customHeight="1" thickBot="1" x14ac:dyDescent="0.25">
      <c r="A19" s="1036">
        <v>8</v>
      </c>
      <c r="B19" s="1045" t="s">
        <v>1223</v>
      </c>
      <c r="D19" s="1046"/>
      <c r="E19" s="1832">
        <f t="shared" ref="E19:J19" si="2">SUM(E12:E17)-E18</f>
        <v>123724</v>
      </c>
      <c r="F19" s="1832">
        <f t="shared" si="2"/>
        <v>0</v>
      </c>
      <c r="G19" s="1832">
        <f t="shared" si="2"/>
        <v>123724</v>
      </c>
      <c r="H19" s="1832">
        <f t="shared" si="2"/>
        <v>122037</v>
      </c>
      <c r="I19" s="1832">
        <f t="shared" si="2"/>
        <v>0</v>
      </c>
      <c r="J19" s="1832">
        <f t="shared" si="2"/>
        <v>122037</v>
      </c>
    </row>
    <row r="20" spans="1:10" ht="13.5" thickTop="1" x14ac:dyDescent="0.2">
      <c r="A20" s="1036">
        <v>9</v>
      </c>
      <c r="B20" s="2344" t="s">
        <v>1703</v>
      </c>
      <c r="C20" s="2344"/>
      <c r="D20" s="2345"/>
      <c r="E20" s="1047"/>
      <c r="F20" s="1047"/>
      <c r="G20" s="1047"/>
      <c r="H20" s="1047"/>
      <c r="I20" s="1047"/>
      <c r="J20" s="1833">
        <f>IF(AND(G19&gt;0,J19&gt;0),(((J19-G19)/G19)),"Enter Budget Data")</f>
        <v>-1.363518799909476E-2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t="s">
        <v>2110</v>
      </c>
      <c r="D28" s="2348"/>
      <c r="E28" s="1055"/>
      <c r="F28" s="2348" t="s">
        <v>2112</v>
      </c>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1940</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1" orientation="landscape" useFirstPageNumber="1" r:id="rId1"/>
  <headerFooter alignWithMargins="0">
    <oddHeader>&amp;L&amp;"Calibri,Regular"&amp;8Page 32&amp;C &amp;R&amp;"Calibri,Regular"&amp;8Page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2132</v>
      </c>
    </row>
    <row r="6" spans="1:2" x14ac:dyDescent="0.2">
      <c r="A6" s="1069">
        <v>2</v>
      </c>
      <c r="B6" s="329" t="s">
        <v>2133</v>
      </c>
    </row>
    <row r="7" spans="1:2" x14ac:dyDescent="0.2">
      <c r="A7" s="1069">
        <v>3</v>
      </c>
      <c r="B7" s="329" t="s">
        <v>2135</v>
      </c>
    </row>
    <row r="8" spans="1:2" x14ac:dyDescent="0.2">
      <c r="A8" s="1069">
        <v>4</v>
      </c>
      <c r="B8" s="329" t="s">
        <v>2134</v>
      </c>
    </row>
    <row r="9" spans="1:2" x14ac:dyDescent="0.2">
      <c r="A9" s="1069">
        <v>5</v>
      </c>
      <c r="B9" s="329" t="s">
        <v>2136</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Summersville Grade School #79</v>
      </c>
    </row>
    <row r="65" spans="2:2" x14ac:dyDescent="0.2">
      <c r="B65" s="1070">
        <f>COVER!A13</f>
        <v>13041079002</v>
      </c>
    </row>
  </sheetData>
  <phoneticPr fontId="12" type="noConversion"/>
  <printOptions horizontalCentered="1"/>
  <pageMargins left="0.2" right="0.2" top="1.17" bottom="0.75" header="0.19" footer="0.16"/>
  <pageSetup scale="80" firstPageNumber="32" orientation="portrait" useFirstPageNumber="1" r:id="rId1"/>
  <headerFooter alignWithMargins="0">
    <oddHeader>&amp;L&amp;"Calibri,Regular"&amp;8Page 33&amp;C &amp;R&amp;"Calibri,Regular"&amp;8Page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33" sqref="B3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5" t="s">
        <v>1709</v>
      </c>
    </row>
    <row r="23" spans="1:5" x14ac:dyDescent="0.2">
      <c r="A23" s="168"/>
      <c r="B23" s="162" t="s">
        <v>1965</v>
      </c>
      <c r="D23" s="167" t="s">
        <v>658</v>
      </c>
      <c r="E23" s="1855"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2" right="0.2" top="1" bottom="1" header="0.5" footer="0.5"/>
  <pageSetup scale="80" firstPageNumber="33" orientation="portrait" useFirstPageNumber="1" r:id="rId1"/>
  <headerFooter alignWithMargins="0">
    <oddHeader>&amp;L&amp;"Calibri,Regular"&amp;8Page 34&amp;R&amp;"Calibri,Regular"&amp;8Page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1" t="s">
        <v>1784</v>
      </c>
      <c r="B18" s="2351"/>
    </row>
  </sheetData>
  <sheetProtection selectLockedCells="1"/>
  <mergeCells count="1">
    <mergeCell ref="A18:B18"/>
  </mergeCells>
  <phoneticPr fontId="12" type="noConversion"/>
  <printOptions horizontalCentered="1"/>
  <pageMargins left="0.75" right="0.75" top="1" bottom="1" header="0.5" footer="0.5"/>
  <pageSetup firstPageNumber="34" orientation="portrait" useFirstPageNumber="1" r:id="rId1"/>
  <headerFooter alignWithMargins="0">
    <oddHeader>&amp;L&amp;"Calibri,Regular"&amp;8Page 35&amp;R&amp;"Calibri,Regular"&amp;8Page 35</oddHeader>
  </headerFooter>
  <drawing r:id="rId2"/>
  <legacyDrawing r:id="rId3"/>
  <oleObjects>
    <mc:AlternateContent xmlns:mc="http://schemas.openxmlformats.org/markup-compatibility/2006">
      <mc:Choice Requires="x14">
        <oleObject progId="Acrobat Document" dvAspect="DVASPECT_ICON" shapeId="35847" r:id="rId4">
          <objectPr defaultSize="0" altText="Corrective Action Plan" r:id="rId5">
            <anchor moveWithCells="1">
              <from>
                <xdr:col>1</xdr:col>
                <xdr:colOff>1000125</xdr:colOff>
                <xdr:row>5</xdr:row>
                <xdr:rowOff>142875</xdr:rowOff>
              </from>
              <to>
                <xdr:col>1</xdr:col>
                <xdr:colOff>1866900</xdr:colOff>
                <xdr:row>10</xdr:row>
                <xdr:rowOff>38100</xdr:rowOff>
              </to>
            </anchor>
          </objectPr>
        </oleObject>
      </mc:Choice>
      <mc:Fallback>
        <oleObject progId="Acrobat Document" dvAspect="DVASPECT_ICON" shapeId="35847" r:id="rId4"/>
      </mc:Fallback>
    </mc:AlternateContent>
    <mc:AlternateContent xmlns:mc="http://schemas.openxmlformats.org/markup-compatibility/2006">
      <mc:Choice Requires="x14">
        <oleObject progId="Acrobat Document" dvAspect="DVASPECT_ICON" shapeId="35848" r:id="rId6">
          <objectPr defaultSize="0" altText="Signed Page 2" r:id="rId7">
            <anchor moveWithCells="1">
              <from>
                <xdr:col>1</xdr:col>
                <xdr:colOff>2028825</xdr:colOff>
                <xdr:row>5</xdr:row>
                <xdr:rowOff>142875</xdr:rowOff>
              </from>
              <to>
                <xdr:col>1</xdr:col>
                <xdr:colOff>2895600</xdr:colOff>
                <xdr:row>10</xdr:row>
                <xdr:rowOff>38100</xdr:rowOff>
              </to>
            </anchor>
          </objectPr>
        </oleObject>
      </mc:Choice>
      <mc:Fallback>
        <oleObject progId="Acrobat Document" dvAspect="DVASPECT_ICON" shapeId="35848" r:id="rId6"/>
      </mc:Fallback>
    </mc:AlternateContent>
    <mc:AlternateContent xmlns:mc="http://schemas.openxmlformats.org/markup-compatibility/2006">
      <mc:Choice Requires="x14">
        <oleObject progId="Acrobat Document" dvAspect="DVASPECT_ICON" shapeId="35849" r:id="rId8">
          <objectPr defaultSize="0" altText="SAS Letter" r:id="rId9">
            <anchor moveWithCells="1">
              <from>
                <xdr:col>0</xdr:col>
                <xdr:colOff>104775</xdr:colOff>
                <xdr:row>1</xdr:row>
                <xdr:rowOff>38100</xdr:rowOff>
              </from>
              <to>
                <xdr:col>1</xdr:col>
                <xdr:colOff>895350</xdr:colOff>
                <xdr:row>5</xdr:row>
                <xdr:rowOff>76200</xdr:rowOff>
              </to>
            </anchor>
          </objectPr>
        </oleObject>
      </mc:Choice>
      <mc:Fallback>
        <oleObject progId="Acrobat Document" dvAspect="DVASPECT_ICON" shapeId="35849" r:id="rId8"/>
      </mc:Fallback>
    </mc:AlternateContent>
    <mc:AlternateContent xmlns:mc="http://schemas.openxmlformats.org/markup-compatibility/2006">
      <mc:Choice Requires="x14">
        <oleObject progId="Acrobat Document" dvAspect="DVASPECT_ICON" shapeId="35852" r:id="rId10">
          <objectPr defaultSize="0" altText="Peer Review Letter" r:id="rId11">
            <anchor moveWithCells="1">
              <from>
                <xdr:col>1</xdr:col>
                <xdr:colOff>2019300</xdr:colOff>
                <xdr:row>1</xdr:row>
                <xdr:rowOff>9525</xdr:rowOff>
              </from>
              <to>
                <xdr:col>1</xdr:col>
                <xdr:colOff>2886075</xdr:colOff>
                <xdr:row>5</xdr:row>
                <xdr:rowOff>66675</xdr:rowOff>
              </to>
            </anchor>
          </objectPr>
        </oleObject>
      </mc:Choice>
      <mc:Fallback>
        <oleObject progId="Acrobat Document" dvAspect="DVASPECT_ICON" shapeId="35852" r:id="rId10"/>
      </mc:Fallback>
    </mc:AlternateContent>
    <mc:AlternateContent xmlns:mc="http://schemas.openxmlformats.org/markup-compatibility/2006">
      <mc:Choice Requires="x14">
        <oleObject progId="Acrobat Document" dvAspect="DVASPECT_ICON" shapeId="35854" r:id="rId12">
          <objectPr defaultSize="0" altText="Notes to Basic Financial Statements" r:id="rId13">
            <anchor moveWithCells="1">
              <from>
                <xdr:col>0</xdr:col>
                <xdr:colOff>76200</xdr:colOff>
                <xdr:row>6</xdr:row>
                <xdr:rowOff>9525</xdr:rowOff>
              </from>
              <to>
                <xdr:col>1</xdr:col>
                <xdr:colOff>866775</xdr:colOff>
                <xdr:row>10</xdr:row>
                <xdr:rowOff>47625</xdr:rowOff>
              </to>
            </anchor>
          </objectPr>
        </oleObject>
      </mc:Choice>
      <mc:Fallback>
        <oleObject progId="Acrobat Document" dvAspect="DVASPECT_ICON" shapeId="35854" r:id="rId12"/>
      </mc:Fallback>
    </mc:AlternateContent>
    <mc:AlternateContent xmlns:mc="http://schemas.openxmlformats.org/markup-compatibility/2006">
      <mc:Choice Requires="x14">
        <oleObject progId="Acrobat Document" dvAspect="DVASPECT_ICON" shapeId="35855" r:id="rId14">
          <objectPr defaultSize="0" altText="Signed Managment Rep Letter" r:id="rId15">
            <anchor moveWithCells="1">
              <from>
                <xdr:col>1</xdr:col>
                <xdr:colOff>952500</xdr:colOff>
                <xdr:row>1</xdr:row>
                <xdr:rowOff>9525</xdr:rowOff>
              </from>
              <to>
                <xdr:col>1</xdr:col>
                <xdr:colOff>1866900</xdr:colOff>
                <xdr:row>5</xdr:row>
                <xdr:rowOff>47625</xdr:rowOff>
              </to>
            </anchor>
          </objectPr>
        </oleObject>
      </mc:Choice>
      <mc:Fallback>
        <oleObject progId="Acrobat Document" dvAspect="DVASPECT_ICON" shapeId="3585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4"/>
      <c r="H2" s="1074"/>
    </row>
    <row r="3" spans="1:8" ht="57" customHeight="1" x14ac:dyDescent="0.2">
      <c r="A3" s="2365" t="s">
        <v>1786</v>
      </c>
      <c r="B3" s="2366"/>
      <c r="C3" s="2366"/>
      <c r="D3" s="2366"/>
      <c r="E3" s="2366"/>
      <c r="F3" s="2367"/>
      <c r="G3" s="1074"/>
      <c r="H3" s="1074"/>
    </row>
    <row r="4" spans="1:8" ht="14.25" customHeight="1" x14ac:dyDescent="0.2">
      <c r="A4" s="2371" t="s">
        <v>2052</v>
      </c>
      <c r="B4" s="2372"/>
      <c r="C4" s="2372"/>
      <c r="D4" s="2372"/>
      <c r="E4" s="2372"/>
      <c r="F4" s="2373"/>
      <c r="G4" s="1074"/>
      <c r="H4" s="1074"/>
    </row>
    <row r="5" spans="1:8" ht="14.25" customHeight="1" x14ac:dyDescent="0.2">
      <c r="A5" s="2374" t="s">
        <v>2053</v>
      </c>
      <c r="B5" s="2375"/>
      <c r="C5" s="2375"/>
      <c r="D5" s="2375"/>
      <c r="E5" s="2375"/>
      <c r="F5" s="2376"/>
      <c r="G5" s="1074"/>
      <c r="H5" s="1074"/>
    </row>
    <row r="6" spans="1:8" s="1075" customFormat="1" ht="41.25" customHeight="1" x14ac:dyDescent="0.2">
      <c r="A6" s="2368" t="s">
        <v>1792</v>
      </c>
      <c r="B6" s="2369"/>
      <c r="C6" s="2369"/>
      <c r="D6" s="2369"/>
      <c r="E6" s="2369"/>
      <c r="F6" s="2370"/>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4">
        <f>'Acct Summary 7-8'!C8</f>
        <v>2012671</v>
      </c>
      <c r="C8" s="1834">
        <f>'Acct Summary 7-8'!D8</f>
        <v>96356</v>
      </c>
      <c r="D8" s="1834">
        <f>'Acct Summary 7-8'!F8</f>
        <v>7310</v>
      </c>
      <c r="E8" s="1834">
        <f>'Acct Summary 7-8'!I8</f>
        <v>11455</v>
      </c>
      <c r="F8" s="1834">
        <f>SUM(B8:E8)</f>
        <v>2127792</v>
      </c>
    </row>
    <row r="9" spans="1:8" s="1079" customFormat="1" ht="14.25" customHeight="1" thickBot="1" x14ac:dyDescent="0.25">
      <c r="A9" s="1078" t="s">
        <v>1436</v>
      </c>
      <c r="B9" s="1835">
        <f>'Acct Summary 7-8'!C17</f>
        <v>1761151</v>
      </c>
      <c r="C9" s="1835">
        <f>'Acct Summary 7-8'!D17</f>
        <v>85329</v>
      </c>
      <c r="D9" s="1835">
        <f>'Acct Summary 7-8'!F17</f>
        <v>5680</v>
      </c>
      <c r="E9" s="1834"/>
      <c r="F9" s="1834">
        <f>SUM(B9:E9)</f>
        <v>1852160</v>
      </c>
    </row>
    <row r="10" spans="1:8" s="1079" customFormat="1" ht="14.25" thickTop="1" thickBot="1" x14ac:dyDescent="0.25">
      <c r="A10" s="1080" t="s">
        <v>1437</v>
      </c>
      <c r="B10" s="1836">
        <f>(B8-B9)</f>
        <v>251520</v>
      </c>
      <c r="C10" s="1836">
        <f>(C8-C9)</f>
        <v>11027</v>
      </c>
      <c r="D10" s="1836">
        <f>(D8-D9)</f>
        <v>1630</v>
      </c>
      <c r="E10" s="1835">
        <f>(E8-E9)</f>
        <v>11455</v>
      </c>
      <c r="F10" s="1837">
        <f>SUM(F8-F9)</f>
        <v>275632</v>
      </c>
    </row>
    <row r="11" spans="1:8" s="1079" customFormat="1" ht="14.25" thickTop="1" thickBot="1" x14ac:dyDescent="0.25">
      <c r="A11" s="1081" t="s">
        <v>1785</v>
      </c>
      <c r="B11" s="1838">
        <f>'Acct Summary 7-8'!C81</f>
        <v>1455657</v>
      </c>
      <c r="C11" s="1838">
        <f>'Acct Summary 7-8'!D81</f>
        <v>116934</v>
      </c>
      <c r="D11" s="1838">
        <f>'Acct Summary 7-8'!F81</f>
        <v>9873</v>
      </c>
      <c r="E11" s="1838">
        <f>'Acct Summary 7-8'!I81</f>
        <v>18482</v>
      </c>
      <c r="F11" s="1839">
        <f>SUM(B11:E11)</f>
        <v>1600946</v>
      </c>
    </row>
    <row r="12" spans="1:8" ht="16.5" customHeight="1" thickTop="1" x14ac:dyDescent="0.2">
      <c r="A12" s="1082"/>
      <c r="B12" s="1083"/>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1787</v>
      </c>
      <c r="B16" s="2355"/>
      <c r="C16" s="2355"/>
      <c r="D16" s="2355"/>
      <c r="E16" s="2355"/>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19" fitToHeight="0" orientation="landscape" useFirstPageNumber="1" r:id="rId1"/>
  <headerFooter alignWithMargins="0">
    <oddHeader xml:space="preserve">&amp;L&amp;"Calibri,Regular"&amp;8Page 36&amp;R&amp;"Calibri,Regular"&amp;8Page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13041079002</v>
      </c>
    </row>
    <row r="3" spans="1:2" x14ac:dyDescent="0.2">
      <c r="A3" t="s">
        <v>1013</v>
      </c>
      <c r="B3" s="138" t="str">
        <f>COVER!A15</f>
        <v>Jefferson</v>
      </c>
    </row>
    <row r="4" spans="1:2" x14ac:dyDescent="0.2">
      <c r="A4" t="s">
        <v>1064</v>
      </c>
      <c r="B4" s="138" t="str">
        <f>COVER!A17</f>
        <v>Summersville Grade School #79</v>
      </c>
    </row>
    <row r="5" spans="1:2" x14ac:dyDescent="0.2">
      <c r="A5" t="s">
        <v>728</v>
      </c>
      <c r="B5" s="138" t="str">
        <f>COVER!A38</f>
        <v>Michael Denault</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065-012078</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105 E Main St</v>
      </c>
    </row>
    <row r="19" spans="1:2" x14ac:dyDescent="0.2">
      <c r="A19" t="s">
        <v>941</v>
      </c>
      <c r="B19" s="138" t="str">
        <f>COVER!T25</f>
        <v>donhoffman@emlingcpa.com</v>
      </c>
    </row>
    <row r="20" spans="1:2" x14ac:dyDescent="0.2">
      <c r="A20" t="s">
        <v>942</v>
      </c>
      <c r="B20" s="138" t="str">
        <f>COVER!T19</f>
        <v>Du Quoin</v>
      </c>
    </row>
    <row r="21" spans="1:2" x14ac:dyDescent="0.2">
      <c r="A21" t="s">
        <v>500</v>
      </c>
      <c r="B21" s="138" t="str">
        <f>COVER!X19</f>
        <v>Illinois</v>
      </c>
    </row>
    <row r="22" spans="1:2" x14ac:dyDescent="0.2">
      <c r="A22" t="s">
        <v>943</v>
      </c>
      <c r="B22" s="138">
        <f>COVER!Z19</f>
        <v>62832</v>
      </c>
    </row>
    <row r="23" spans="1:2" x14ac:dyDescent="0.2">
      <c r="A23" t="s">
        <v>1214</v>
      </c>
      <c r="B23" s="138" t="str">
        <f>COVER!T21</f>
        <v>618-542-4747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1455657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1455657</v>
      </c>
      <c r="D92" s="2" t="str">
        <f t="shared" si="0"/>
        <v>Error?</v>
      </c>
    </row>
    <row r="93" spans="1:4" x14ac:dyDescent="0.2">
      <c r="A93" s="5">
        <v>32</v>
      </c>
      <c r="B93" s="138">
        <f>'Assets-Liab 5-6'!C41</f>
        <v>1455657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116934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116934</v>
      </c>
      <c r="D123" s="2" t="str">
        <f t="shared" si="0"/>
        <v>Error?</v>
      </c>
    </row>
    <row r="124" spans="1:4" x14ac:dyDescent="0.2">
      <c r="A124" s="5">
        <v>63</v>
      </c>
      <c r="B124" s="138">
        <f>'Assets-Liab 5-6'!D41</f>
        <v>116934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6113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6113</v>
      </c>
      <c r="D140" s="2" t="str">
        <f t="shared" si="1"/>
        <v>Error?</v>
      </c>
    </row>
    <row r="141" spans="1:4" x14ac:dyDescent="0.2">
      <c r="A141" s="5">
        <v>80</v>
      </c>
      <c r="B141" s="138">
        <f>'Assets-Liab 5-6'!E41</f>
        <v>6113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9873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9873</v>
      </c>
      <c r="D170" s="2" t="str">
        <f t="shared" si="1"/>
        <v>Error?</v>
      </c>
    </row>
    <row r="171" spans="1:4" x14ac:dyDescent="0.2">
      <c r="A171" s="5">
        <v>110</v>
      </c>
      <c r="B171" s="138">
        <f>'Assets-Liab 5-6'!F41</f>
        <v>9873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37257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37257</v>
      </c>
      <c r="D189" s="2" t="str">
        <f t="shared" si="1"/>
        <v>Error?</v>
      </c>
    </row>
    <row r="190" spans="1:4" x14ac:dyDescent="0.2">
      <c r="A190" s="5">
        <v>129</v>
      </c>
      <c r="B190" s="138">
        <f>'Assets-Liab 5-6'!G41</f>
        <v>37257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61666</v>
      </c>
      <c r="D273" s="2" t="str">
        <f t="shared" si="3"/>
        <v>Error?</v>
      </c>
    </row>
    <row r="274" spans="1:4" x14ac:dyDescent="0.2">
      <c r="A274" s="5">
        <v>213</v>
      </c>
      <c r="B274" s="138">
        <f>'Assets-Liab 5-6'!M17</f>
        <v>1996107</v>
      </c>
      <c r="D274" s="2" t="str">
        <f t="shared" si="3"/>
        <v>Error?</v>
      </c>
    </row>
    <row r="275" spans="1:4" x14ac:dyDescent="0.2">
      <c r="A275" s="5">
        <v>214</v>
      </c>
      <c r="B275" s="138">
        <f>'Assets-Liab 5-6'!M18</f>
        <v>26289</v>
      </c>
      <c r="D275" s="2" t="str">
        <f t="shared" si="3"/>
        <v>Error?</v>
      </c>
    </row>
    <row r="276" spans="1:4" x14ac:dyDescent="0.2">
      <c r="A276" s="5">
        <v>215</v>
      </c>
      <c r="B276" s="138">
        <f>'Assets-Liab 5-6'!M19</f>
        <v>83143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2167205</v>
      </c>
      <c r="C279" s="2" t="s">
        <v>594</v>
      </c>
      <c r="D279" s="2" t="str">
        <f t="shared" si="3"/>
        <v>Error?</v>
      </c>
    </row>
    <row r="280" spans="1:4" x14ac:dyDescent="0.2">
      <c r="A280" s="5">
        <v>219</v>
      </c>
      <c r="B280" s="138">
        <f>'Assets-Liab 5-6'!M40</f>
        <v>2167205</v>
      </c>
      <c r="D280" s="2" t="str">
        <f t="shared" si="3"/>
        <v>Error?</v>
      </c>
    </row>
    <row r="281" spans="1:4" x14ac:dyDescent="0.2">
      <c r="A281" s="5">
        <v>220</v>
      </c>
      <c r="B281" s="138">
        <f>'Assets-Liab 5-6'!M41</f>
        <v>2167205</v>
      </c>
      <c r="C281" s="2" t="s">
        <v>594</v>
      </c>
      <c r="D281" s="2" t="str">
        <f t="shared" si="3"/>
        <v>Error?</v>
      </c>
    </row>
    <row r="282" spans="1:4" x14ac:dyDescent="0.2">
      <c r="A282" s="5">
        <v>221</v>
      </c>
      <c r="B282" s="138">
        <f>'Assets-Liab 5-6'!N21</f>
        <v>6113</v>
      </c>
      <c r="D282" s="2" t="str">
        <f t="shared" si="3"/>
        <v>Error?</v>
      </c>
    </row>
    <row r="283" spans="1:4" x14ac:dyDescent="0.2">
      <c r="A283" s="5">
        <v>222</v>
      </c>
      <c r="B283" s="138">
        <f>'Assets-Liab 5-6'!N22</f>
        <v>58887</v>
      </c>
      <c r="D283" s="2" t="str">
        <f t="shared" si="3"/>
        <v>Error?</v>
      </c>
    </row>
    <row r="284" spans="1:4" x14ac:dyDescent="0.2">
      <c r="A284" s="5">
        <v>223</v>
      </c>
      <c r="B284" s="138">
        <f>'Assets-Liab 5-6'!N23</f>
        <v>65000</v>
      </c>
      <c r="C284" s="2" t="s">
        <v>594</v>
      </c>
      <c r="D284" s="2" t="str">
        <f t="shared" si="3"/>
        <v>Error?</v>
      </c>
    </row>
    <row r="285" spans="1:4" x14ac:dyDescent="0.2">
      <c r="A285" s="5">
        <v>224</v>
      </c>
      <c r="B285" s="138">
        <f>'Assets-Liab 5-6'!N36</f>
        <v>65000</v>
      </c>
      <c r="D285" s="2" t="str">
        <f t="shared" si="3"/>
        <v>Error?</v>
      </c>
    </row>
    <row r="286" spans="1:4" x14ac:dyDescent="0.2">
      <c r="A286" s="10">
        <v>225</v>
      </c>
      <c r="D286" s="2" t="str">
        <f t="shared" si="3"/>
        <v>OK</v>
      </c>
    </row>
    <row r="287" spans="1:4" x14ac:dyDescent="0.2">
      <c r="A287" s="5">
        <v>226</v>
      </c>
      <c r="B287" s="138">
        <f>'Assets-Liab 5-6'!N37</f>
        <v>65000</v>
      </c>
      <c r="C287" s="2" t="s">
        <v>594</v>
      </c>
      <c r="D287" s="2" t="str">
        <f t="shared" si="3"/>
        <v>Error?</v>
      </c>
    </row>
    <row r="288" spans="1:4" x14ac:dyDescent="0.2">
      <c r="A288" s="5">
        <v>227</v>
      </c>
      <c r="B288" s="138">
        <f>'Assets-Liab 5-6'!N41</f>
        <v>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721688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20112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931958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2588</v>
      </c>
      <c r="D726" s="2" t="str">
        <f t="shared" si="10"/>
        <v>Error?</v>
      </c>
    </row>
    <row r="727" spans="1:4" x14ac:dyDescent="0.2">
      <c r="A727" s="5">
        <v>666</v>
      </c>
      <c r="B727" s="138">
        <f>'Expenditures 15-22'!C42</f>
        <v>2588</v>
      </c>
      <c r="C727" s="2" t="s">
        <v>594</v>
      </c>
      <c r="D727" s="2" t="str">
        <f t="shared" si="10"/>
        <v>Error?</v>
      </c>
    </row>
    <row r="728" spans="1:4" x14ac:dyDescent="0.2">
      <c r="A728" s="5">
        <v>667</v>
      </c>
      <c r="B728" s="138">
        <f>'Expenditures 15-22'!C44</f>
        <v>7517</v>
      </c>
      <c r="D728" s="2" t="str">
        <f t="shared" si="10"/>
        <v>Error?</v>
      </c>
    </row>
    <row r="729" spans="1:4" x14ac:dyDescent="0.2">
      <c r="A729" s="5">
        <v>668</v>
      </c>
      <c r="B729" s="138">
        <f>'Expenditures 15-22'!C45</f>
        <v>25621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33138</v>
      </c>
      <c r="C731" s="2" t="s">
        <v>594</v>
      </c>
      <c r="D731" s="2" t="str">
        <f t="shared" si="10"/>
        <v>Error?</v>
      </c>
    </row>
    <row r="732" spans="1:4" x14ac:dyDescent="0.2">
      <c r="A732" s="5">
        <v>671</v>
      </c>
      <c r="B732" s="138">
        <f>'Expenditures 15-22'!C49</f>
        <v>500</v>
      </c>
      <c r="D732" s="2" t="str">
        <f t="shared" si="10"/>
        <v>Error?</v>
      </c>
    </row>
    <row r="733" spans="1:4" x14ac:dyDescent="0.2">
      <c r="A733" s="5">
        <v>672</v>
      </c>
      <c r="B733" s="138">
        <f>'Expenditures 15-22'!C50</f>
        <v>103728</v>
      </c>
      <c r="D733" s="2" t="str">
        <f t="shared" si="10"/>
        <v>Error?</v>
      </c>
    </row>
    <row r="734" spans="1:4" x14ac:dyDescent="0.2">
      <c r="A734" s="5">
        <v>673</v>
      </c>
      <c r="B734" s="138">
        <f>'Expenditures 15-22'!C53</f>
        <v>104228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37148</v>
      </c>
      <c r="D739" s="2" t="str">
        <f t="shared" si="10"/>
        <v>Error?</v>
      </c>
    </row>
    <row r="740" spans="1:4" x14ac:dyDescent="0.2">
      <c r="A740" s="5">
        <v>679</v>
      </c>
      <c r="B740" s="138">
        <f>'Expenditures 15-22'!C61</f>
        <v>51038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20092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108278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248232</v>
      </c>
      <c r="C755" s="2" t="s">
        <v>594</v>
      </c>
      <c r="D755" s="2" t="str">
        <f t="shared" si="10"/>
        <v>Error?</v>
      </c>
    </row>
    <row r="756" spans="1:4" x14ac:dyDescent="0.2">
      <c r="A756" s="5">
        <v>695</v>
      </c>
      <c r="B756" s="138">
        <f>'Expenditures 15-22'!C75</f>
        <v>1110</v>
      </c>
      <c r="D756" s="2" t="str">
        <f t="shared" si="10"/>
        <v>Error?</v>
      </c>
    </row>
    <row r="757" spans="1:4" x14ac:dyDescent="0.2">
      <c r="A757" s="5">
        <v>696</v>
      </c>
      <c r="B757" s="138">
        <f>'Expenditures 15-22'!C114</f>
        <v>1181300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156947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404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215542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916</v>
      </c>
      <c r="D786" s="2" t="str">
        <f t="shared" si="11"/>
        <v>Error?</v>
      </c>
    </row>
    <row r="787" spans="1:4" x14ac:dyDescent="0.2">
      <c r="A787" s="5">
        <v>726</v>
      </c>
      <c r="B787" s="138">
        <f>'Expenditures 15-22'!D45</f>
        <v>6790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7706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16566</v>
      </c>
      <c r="D791" s="2" t="str">
        <f t="shared" si="11"/>
        <v>Error?</v>
      </c>
    </row>
    <row r="792" spans="1:4" x14ac:dyDescent="0.2">
      <c r="A792" s="5">
        <v>731</v>
      </c>
      <c r="B792" s="138">
        <f>'Expenditures 15-22'!D53</f>
        <v>16566</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6900</v>
      </c>
      <c r="D797" s="2" t="str">
        <f t="shared" si="11"/>
        <v>Error?</v>
      </c>
    </row>
    <row r="798" spans="1:4" x14ac:dyDescent="0.2">
      <c r="A798" s="5">
        <v>737</v>
      </c>
      <c r="B798" s="138">
        <f>'Expenditures 15-22'!D61</f>
        <v>13800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13580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34280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58552</v>
      </c>
      <c r="C813" s="2" t="s">
        <v>594</v>
      </c>
      <c r="D813" s="2" t="str">
        <f t="shared" si="11"/>
        <v>Error?</v>
      </c>
    </row>
    <row r="814" spans="1:4" x14ac:dyDescent="0.2">
      <c r="A814" s="5">
        <v>753</v>
      </c>
      <c r="B814" s="138">
        <f>'Expenditures 15-22'!D75</f>
        <v>12</v>
      </c>
      <c r="D814" s="2" t="str">
        <f t="shared" si="11"/>
        <v>Error?</v>
      </c>
    </row>
    <row r="815" spans="1:4" x14ac:dyDescent="0.2">
      <c r="A815" s="5">
        <v>754</v>
      </c>
      <c r="B815" s="138">
        <f>'Expenditures 15-22'!D114</f>
        <v>274106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25456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10423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40694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17858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17858</v>
      </c>
      <c r="C843" s="2" t="s">
        <v>594</v>
      </c>
      <c r="D843" s="2" t="str">
        <f t="shared" si="12"/>
        <v>Error?</v>
      </c>
    </row>
    <row r="844" spans="1:4" x14ac:dyDescent="0.2">
      <c r="A844" s="5">
        <v>783</v>
      </c>
      <c r="B844" s="138">
        <f>'Expenditures 15-22'!E44</f>
        <v>1250</v>
      </c>
      <c r="D844" s="2" t="str">
        <f t="shared" si="12"/>
        <v>Error?</v>
      </c>
    </row>
    <row r="845" spans="1:4" x14ac:dyDescent="0.2">
      <c r="A845" s="5">
        <v>784</v>
      </c>
      <c r="B845" s="138">
        <f>'Expenditures 15-22'!E45</f>
        <v>1000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2250</v>
      </c>
      <c r="C847" s="2" t="s">
        <v>594</v>
      </c>
      <c r="D847" s="2" t="str">
        <f t="shared" si="12"/>
        <v>Error?</v>
      </c>
    </row>
    <row r="848" spans="1:4" x14ac:dyDescent="0.2">
      <c r="A848" s="5">
        <v>787</v>
      </c>
      <c r="B848" s="138">
        <f>'Expenditures 15-22'!E49</f>
        <v>6383</v>
      </c>
      <c r="D848" s="2" t="str">
        <f t="shared" si="12"/>
        <v>Error?</v>
      </c>
    </row>
    <row r="849" spans="1:4" x14ac:dyDescent="0.2">
      <c r="A849" s="5">
        <v>788</v>
      </c>
      <c r="B849" s="138">
        <f>'Expenditures 15-22'!E50</f>
        <v>1503</v>
      </c>
      <c r="D849" s="2" t="str">
        <f t="shared" si="12"/>
        <v>Error?</v>
      </c>
    </row>
    <row r="850" spans="1:4" x14ac:dyDescent="0.2">
      <c r="A850" s="5">
        <v>789</v>
      </c>
      <c r="B850" s="138">
        <f>'Expenditures 15-22'!E53</f>
        <v>7886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6500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4409</v>
      </c>
      <c r="D857" s="2" t="str">
        <f t="shared" si="12"/>
        <v>Error?</v>
      </c>
    </row>
    <row r="858" spans="1:4" x14ac:dyDescent="0.2">
      <c r="A858" s="5">
        <v>797</v>
      </c>
      <c r="B858" s="138">
        <f>'Expenditures 15-22'!E63</f>
        <v>442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11351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3206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3206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42551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83245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28071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17142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86113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50</v>
      </c>
      <c r="D906" s="2" t="str">
        <f t="shared" si="13"/>
        <v>Error?</v>
      </c>
    </row>
    <row r="907" spans="1:4" x14ac:dyDescent="0.2">
      <c r="A907" s="5">
        <v>846</v>
      </c>
      <c r="B907" s="138">
        <f>'Expenditures 15-22'!F50</f>
        <v>1927</v>
      </c>
      <c r="D907" s="2" t="str">
        <f t="shared" si="13"/>
        <v>Error?</v>
      </c>
    </row>
    <row r="908" spans="1:4" x14ac:dyDescent="0.2">
      <c r="A908" s="5">
        <v>847</v>
      </c>
      <c r="B908" s="138">
        <f>'Expenditures 15-22'!F53</f>
        <v>1977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2102</v>
      </c>
      <c r="D913" s="2" t="str">
        <f t="shared" si="13"/>
        <v>Error?</v>
      </c>
    </row>
    <row r="914" spans="1:4" x14ac:dyDescent="0.2">
      <c r="A914" s="5">
        <v>853</v>
      </c>
      <c r="B914" s="138">
        <f>'Expenditures 15-22'!F61</f>
        <v>6056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47777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55935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58074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144187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5327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3140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3140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3140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8467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69846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69846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932162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48081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1279634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162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17858</v>
      </c>
      <c r="C1113" s="2" t="s">
        <v>594</v>
      </c>
      <c r="D1113" s="2" t="str">
        <f t="shared" si="16"/>
        <v>Error?</v>
      </c>
    </row>
    <row r="1114" spans="1:4" x14ac:dyDescent="0.2">
      <c r="A1114" s="5">
        <v>1053</v>
      </c>
      <c r="B1114" s="138">
        <f>'Expenditures 15-22'!K41</f>
        <v>2588</v>
      </c>
      <c r="C1114" s="2" t="s">
        <v>594</v>
      </c>
      <c r="D1114" s="2" t="str">
        <f t="shared" si="16"/>
        <v>Error?</v>
      </c>
    </row>
    <row r="1115" spans="1:4" x14ac:dyDescent="0.2">
      <c r="A1115" s="5">
        <v>1054</v>
      </c>
      <c r="B1115" s="138">
        <f>'Expenditures 15-22'!K42</f>
        <v>20608</v>
      </c>
      <c r="C1115" s="2" t="s">
        <v>594</v>
      </c>
      <c r="D1115" s="2" t="str">
        <f t="shared" si="16"/>
        <v>Error?</v>
      </c>
    </row>
    <row r="1116" spans="1:4" x14ac:dyDescent="0.2">
      <c r="A1116" s="5">
        <v>1055</v>
      </c>
      <c r="B1116" s="138">
        <f>'Expenditures 15-22'!K44</f>
        <v>9683</v>
      </c>
      <c r="C1116" s="2" t="s">
        <v>594</v>
      </c>
      <c r="D1116" s="2" t="str">
        <f t="shared" si="16"/>
        <v>Error?</v>
      </c>
    </row>
    <row r="1117" spans="1:4" x14ac:dyDescent="0.2">
      <c r="A1117" s="5">
        <v>1056</v>
      </c>
      <c r="B1117" s="138">
        <f>'Expenditures 15-22'!K45</f>
        <v>33411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43094</v>
      </c>
      <c r="C1119" s="2" t="s">
        <v>594</v>
      </c>
      <c r="D1119" s="2" t="str">
        <f t="shared" si="16"/>
        <v>Error?</v>
      </c>
    </row>
    <row r="1120" spans="1:4" x14ac:dyDescent="0.2">
      <c r="A1120" s="5">
        <v>1059</v>
      </c>
      <c r="B1120" s="138">
        <f>'Expenditures 15-22'!K49</f>
        <v>6933</v>
      </c>
      <c r="C1120" s="2" t="s">
        <v>594</v>
      </c>
      <c r="D1120" s="2" t="str">
        <f t="shared" si="16"/>
        <v>Error?</v>
      </c>
    </row>
    <row r="1121" spans="1:4" x14ac:dyDescent="0.2">
      <c r="A1121" s="5">
        <v>1060</v>
      </c>
      <c r="B1121" s="138">
        <f>'Expenditures 15-22'!K50</f>
        <v>123724</v>
      </c>
      <c r="C1121" s="2" t="s">
        <v>594</v>
      </c>
      <c r="D1121" s="2" t="str">
        <f t="shared" si="16"/>
        <v>Error?</v>
      </c>
    </row>
    <row r="1122" spans="1:4" x14ac:dyDescent="0.2">
      <c r="A1122" s="5">
        <v>1061</v>
      </c>
      <c r="B1122" s="138">
        <f>'Expenditures 15-22'!K53</f>
        <v>130657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52650</v>
      </c>
      <c r="C1127" s="2" t="s">
        <v>594</v>
      </c>
      <c r="D1127" s="2" t="str">
        <f t="shared" si="16"/>
        <v>Error?</v>
      </c>
    </row>
    <row r="1128" spans="1:4" x14ac:dyDescent="0.2">
      <c r="A1128" s="5">
        <v>1067</v>
      </c>
      <c r="B1128" s="138">
        <f>'Expenditures 15-22'!K61</f>
        <v>70894</v>
      </c>
      <c r="C1128" s="2" t="s">
        <v>594</v>
      </c>
      <c r="D1128" s="2" t="str">
        <f t="shared" si="16"/>
        <v>Error?</v>
      </c>
    </row>
    <row r="1129" spans="1:4" x14ac:dyDescent="0.2">
      <c r="A1129" s="5">
        <v>1068</v>
      </c>
      <c r="B1129" s="138">
        <f>'Expenditures 15-22'!K62</f>
        <v>4409</v>
      </c>
      <c r="C1129" s="2" t="s">
        <v>594</v>
      </c>
      <c r="D1129" s="2" t="str">
        <f t="shared" si="16"/>
        <v>Error?</v>
      </c>
    </row>
    <row r="1130" spans="1:4" x14ac:dyDescent="0.2">
      <c r="A1130" s="5">
        <v>1069</v>
      </c>
      <c r="B1130" s="138">
        <f>'Expenditures 15-22'!K63</f>
        <v>85031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212984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3206</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3206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410549</v>
      </c>
      <c r="C1143" s="2" t="s">
        <v>594</v>
      </c>
      <c r="D1143" s="2" t="str">
        <f t="shared" si="16"/>
        <v>Error?</v>
      </c>
    </row>
    <row r="1144" spans="1:4" x14ac:dyDescent="0.2">
      <c r="A1144" s="5">
        <v>1083</v>
      </c>
      <c r="B1144" s="138">
        <f>'Expenditures 15-22'!K75</f>
        <v>1122</v>
      </c>
      <c r="C1144" s="2" t="s">
        <v>594</v>
      </c>
      <c r="D1144" s="2" t="str">
        <f t="shared" si="16"/>
        <v>Error?</v>
      </c>
    </row>
    <row r="1145" spans="1:4" x14ac:dyDescent="0.2">
      <c r="A1145" s="5">
        <v>1084</v>
      </c>
      <c r="B1145" s="138">
        <f>'Expenditures 15-22'!K102</f>
        <v>69846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1761151</v>
      </c>
      <c r="C1152" s="2" t="s">
        <v>594</v>
      </c>
      <c r="D1152" s="2" t="str">
        <f t="shared" si="17"/>
        <v>Error?</v>
      </c>
    </row>
    <row r="1153" spans="1:4" x14ac:dyDescent="0.2">
      <c r="A1153" s="5">
        <v>1092</v>
      </c>
      <c r="B1153" s="138">
        <f>'Expenditures 15-22'!K115</f>
        <v>251520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84672</v>
      </c>
      <c r="D1237" s="2" t="str">
        <f t="shared" si="18"/>
        <v>Error?</v>
      </c>
    </row>
    <row r="1238" spans="1:4" x14ac:dyDescent="0.2">
      <c r="A1238" s="10">
        <v>1177</v>
      </c>
      <c r="D1238" s="2" t="str">
        <f t="shared" si="18"/>
        <v>OK</v>
      </c>
    </row>
    <row r="1239" spans="1:4" x14ac:dyDescent="0.2">
      <c r="A1239" s="5">
        <v>1178</v>
      </c>
      <c r="B1239" s="138">
        <f>'Expenditures 15-22'!E127</f>
        <v>84672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84672</v>
      </c>
      <c r="C1241" s="2" t="s">
        <v>594</v>
      </c>
      <c r="D1241" s="2" t="str">
        <f t="shared" si="18"/>
        <v>Error?</v>
      </c>
    </row>
    <row r="1242" spans="1:4" x14ac:dyDescent="0.2">
      <c r="A1242" s="5">
        <v>1181</v>
      </c>
      <c r="B1242" s="138">
        <f>'Expenditures 15-22'!E151</f>
        <v>84672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657</v>
      </c>
      <c r="D1245" s="2" t="str">
        <f t="shared" si="18"/>
        <v>Error?</v>
      </c>
    </row>
    <row r="1246" spans="1:4" x14ac:dyDescent="0.2">
      <c r="A1246" s="10">
        <v>1185</v>
      </c>
      <c r="D1246" s="2" t="str">
        <f t="shared" si="18"/>
        <v>OK</v>
      </c>
    </row>
    <row r="1247" spans="1:4" x14ac:dyDescent="0.2">
      <c r="A1247" s="5">
        <v>1186</v>
      </c>
      <c r="B1247" s="138">
        <f>'Expenditures 15-22'!F127</f>
        <v>657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657</v>
      </c>
      <c r="C1249" s="2" t="s">
        <v>594</v>
      </c>
      <c r="D1249" s="2" t="str">
        <f t="shared" si="18"/>
        <v>Error?</v>
      </c>
    </row>
    <row r="1250" spans="1:4" x14ac:dyDescent="0.2">
      <c r="A1250" s="5">
        <v>1189</v>
      </c>
      <c r="B1250" s="138">
        <f>'Expenditures 15-22'!F151</f>
        <v>657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85329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85329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85329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85329</v>
      </c>
      <c r="C1288" s="2" t="s">
        <v>594</v>
      </c>
      <c r="D1288" s="2" t="str">
        <f t="shared" si="19"/>
        <v>Error?</v>
      </c>
    </row>
    <row r="1289" spans="1:4" x14ac:dyDescent="0.2">
      <c r="A1289" s="5">
        <v>1228</v>
      </c>
      <c r="B1289" s="138">
        <f>'Expenditures 15-22'!K152</f>
        <v>11027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4655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34655</v>
      </c>
      <c r="C1317" s="2" t="s">
        <v>594</v>
      </c>
      <c r="D1317" s="2" t="str">
        <f t="shared" si="19"/>
        <v>Error?</v>
      </c>
    </row>
    <row r="1318" spans="1:4" x14ac:dyDescent="0.2">
      <c r="A1318" s="5">
        <v>1257</v>
      </c>
      <c r="B1318" s="138">
        <f>'Expenditures 15-22'!H174</f>
        <v>34655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4655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34655</v>
      </c>
      <c r="C1331" s="2" t="s">
        <v>594</v>
      </c>
      <c r="D1331" s="2" t="str">
        <f t="shared" si="19"/>
        <v>Error?</v>
      </c>
    </row>
    <row r="1332" spans="1:4" x14ac:dyDescent="0.2">
      <c r="A1332" s="5">
        <v>1271</v>
      </c>
      <c r="B1332" s="138">
        <f>'Expenditures 15-22'!K174</f>
        <v>34655</v>
      </c>
      <c r="C1332" s="2" t="s">
        <v>594</v>
      </c>
      <c r="D1332" s="2" t="str">
        <f t="shared" si="19"/>
        <v>Error?</v>
      </c>
    </row>
    <row r="1333" spans="1:4" x14ac:dyDescent="0.2">
      <c r="A1333" s="5">
        <v>1272</v>
      </c>
      <c r="B1333" s="138">
        <f>'Expenditures 15-22'!K175</f>
        <v>-1406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5680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5680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5680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5680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5680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5680</v>
      </c>
      <c r="C1388" s="2" t="s">
        <v>594</v>
      </c>
      <c r="D1388" s="2" t="str">
        <f t="shared" si="20"/>
        <v>Error?</v>
      </c>
    </row>
    <row r="1389" spans="1:4" x14ac:dyDescent="0.2">
      <c r="A1389" s="5">
        <v>1328</v>
      </c>
      <c r="B1389" s="138">
        <f>'Expenditures 15-22'!K211</f>
        <v>1630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743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45576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526</v>
      </c>
      <c r="D1416" s="2" t="str">
        <f t="shared" si="21"/>
        <v>Error?</v>
      </c>
    </row>
    <row r="1417" spans="1:4" x14ac:dyDescent="0.2">
      <c r="A1417" s="5">
        <v>1356</v>
      </c>
      <c r="B1417" s="138">
        <f>'Expenditures 15-22'!D238</f>
        <v>526</v>
      </c>
      <c r="C1417" s="2" t="s">
        <v>594</v>
      </c>
      <c r="D1417" s="2" t="str">
        <f t="shared" si="21"/>
        <v>Error?</v>
      </c>
    </row>
    <row r="1418" spans="1:4" x14ac:dyDescent="0.2">
      <c r="A1418" s="5">
        <v>1357</v>
      </c>
      <c r="B1418" s="138">
        <f>'Expenditures 15-22'!D240</f>
        <v>109</v>
      </c>
      <c r="D1418" s="2" t="str">
        <f t="shared" si="21"/>
        <v>Error?</v>
      </c>
    </row>
    <row r="1419" spans="1:4" x14ac:dyDescent="0.2">
      <c r="A1419" s="5">
        <v>1358</v>
      </c>
      <c r="B1419" s="138">
        <f>'Expenditures 15-22'!D241</f>
        <v>6958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7067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10260</v>
      </c>
      <c r="D1423" s="2" t="str">
        <f t="shared" si="21"/>
        <v>Error?</v>
      </c>
    </row>
    <row r="1424" spans="1:4" x14ac:dyDescent="0.2">
      <c r="A1424" s="5">
        <v>1363</v>
      </c>
      <c r="B1424" s="138">
        <f>'Expenditures 15-22'!D257</f>
        <v>18366</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9451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13606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7029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30086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56045</v>
      </c>
      <c r="C1446" s="2" t="s">
        <v>594</v>
      </c>
      <c r="D1446" s="2" t="str">
        <f t="shared" si="21"/>
        <v>Error?</v>
      </c>
    </row>
    <row r="1447" spans="1:4" x14ac:dyDescent="0.2">
      <c r="A1447" s="5">
        <v>1386</v>
      </c>
      <c r="B1447" s="138">
        <f>'Expenditures 15-22'!D280</f>
        <v>8</v>
      </c>
      <c r="D1447" s="2" t="str">
        <f t="shared" si="21"/>
        <v>Error?</v>
      </c>
    </row>
    <row r="1448" spans="1:4" x14ac:dyDescent="0.2">
      <c r="A1448" s="5">
        <v>1387</v>
      </c>
      <c r="B1448" s="138">
        <f>'Expenditures 15-22'!D295</f>
        <v>101629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743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45576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526</v>
      </c>
      <c r="C1480" s="2" t="s">
        <v>594</v>
      </c>
      <c r="D1480" s="2" t="str">
        <f t="shared" si="22"/>
        <v>Error?</v>
      </c>
    </row>
    <row r="1481" spans="1:4" x14ac:dyDescent="0.2">
      <c r="A1481" s="5">
        <v>1420</v>
      </c>
      <c r="B1481" s="138">
        <f>'Expenditures 15-22'!K238</f>
        <v>526</v>
      </c>
      <c r="C1481" s="2" t="s">
        <v>594</v>
      </c>
      <c r="D1481" s="2" t="str">
        <f t="shared" si="22"/>
        <v>Error?</v>
      </c>
    </row>
    <row r="1482" spans="1:4" x14ac:dyDescent="0.2">
      <c r="A1482" s="5">
        <v>1421</v>
      </c>
      <c r="B1482" s="138">
        <f>'Expenditures 15-22'!K240</f>
        <v>109</v>
      </c>
      <c r="C1482" s="2" t="s">
        <v>594</v>
      </c>
      <c r="D1482" s="2" t="str">
        <f t="shared" si="22"/>
        <v>Error?</v>
      </c>
    </row>
    <row r="1483" spans="1:4" x14ac:dyDescent="0.2">
      <c r="A1483" s="5">
        <v>1422</v>
      </c>
      <c r="B1483" s="138">
        <f>'Expenditures 15-22'!K241</f>
        <v>6958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7067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10260</v>
      </c>
      <c r="C1487" s="2" t="s">
        <v>594</v>
      </c>
      <c r="D1487" s="2" t="str">
        <f t="shared" si="22"/>
        <v>Error?</v>
      </c>
    </row>
    <row r="1488" spans="1:4" x14ac:dyDescent="0.2">
      <c r="A1488" s="5">
        <v>1427</v>
      </c>
      <c r="B1488" s="138">
        <f>'Expenditures 15-22'!K257</f>
        <v>18366</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9451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13606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7029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30086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56045</v>
      </c>
      <c r="C1510" s="2" t="s">
        <v>594</v>
      </c>
      <c r="D1510" s="2" t="str">
        <f t="shared" si="22"/>
        <v>Error?</v>
      </c>
    </row>
    <row r="1511" spans="1:4" x14ac:dyDescent="0.2">
      <c r="A1511" s="5">
        <v>1450</v>
      </c>
      <c r="B1511" s="138">
        <f>'Expenditures 15-22'!K280</f>
        <v>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101629</v>
      </c>
      <c r="C1517" s="2" t="s">
        <v>594</v>
      </c>
      <c r="D1517" s="2" t="str">
        <f t="shared" si="22"/>
        <v>Error?</v>
      </c>
    </row>
    <row r="1518" spans="1:4" x14ac:dyDescent="0.2">
      <c r="A1518" s="5">
        <v>1457</v>
      </c>
      <c r="B1518" s="138">
        <f>'Expenditures 15-22'!K296</f>
        <v>-7172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1204137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1455657</v>
      </c>
      <c r="C1630" s="2" t="s">
        <v>594</v>
      </c>
      <c r="D1630" s="2" t="str">
        <f t="shared" si="24"/>
        <v>Error?</v>
      </c>
    </row>
    <row r="1631" spans="1:4" x14ac:dyDescent="0.2">
      <c r="A1631" s="5">
        <v>1570</v>
      </c>
      <c r="B1631" s="138">
        <f>'Acct Summary 7-8'!D79</f>
        <v>105907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116934</v>
      </c>
      <c r="C1644" s="2" t="s">
        <v>594</v>
      </c>
      <c r="D1644" s="2" t="str">
        <f t="shared" si="24"/>
        <v>Error?</v>
      </c>
    </row>
    <row r="1645" spans="1:4" x14ac:dyDescent="0.2">
      <c r="A1645" s="5">
        <v>1584</v>
      </c>
      <c r="B1645" s="138">
        <f>'Acct Summary 7-8'!E79</f>
        <v>7519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6113</v>
      </c>
      <c r="C1658" s="2" t="s">
        <v>594</v>
      </c>
      <c r="D1658" s="2" t="str">
        <f t="shared" si="24"/>
        <v>Error?</v>
      </c>
    </row>
    <row r="1659" spans="1:4" x14ac:dyDescent="0.2">
      <c r="A1659" s="5">
        <v>1598</v>
      </c>
      <c r="B1659" s="138">
        <f>'Acct Summary 7-8'!F79</f>
        <v>8243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9873</v>
      </c>
      <c r="C1672" s="2" t="s">
        <v>594</v>
      </c>
      <c r="D1672" s="2" t="str">
        <f t="shared" si="25"/>
        <v>Error?</v>
      </c>
    </row>
    <row r="1673" spans="1:4" x14ac:dyDescent="0.2">
      <c r="A1673" s="5">
        <v>1612</v>
      </c>
      <c r="B1673" s="138">
        <f>'Acct Summary 7-8'!G79</f>
        <v>-15571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37257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368316</v>
      </c>
      <c r="C1744" s="2" t="s">
        <v>594</v>
      </c>
      <c r="D1744" s="2" t="str">
        <f t="shared" si="26"/>
        <v>Error?</v>
      </c>
    </row>
    <row r="1745" spans="1:5" x14ac:dyDescent="0.2">
      <c r="A1745" s="5">
        <v>1684</v>
      </c>
      <c r="B1745" s="138">
        <f>'Tax Sched 23'!B5</f>
        <v>63329</v>
      </c>
      <c r="C1745" s="2" t="s">
        <v>594</v>
      </c>
      <c r="D1745" s="2" t="str">
        <f t="shared" si="26"/>
        <v>Error?</v>
      </c>
    </row>
    <row r="1746" spans="1:5" x14ac:dyDescent="0.2">
      <c r="A1746" s="5">
        <v>1685</v>
      </c>
      <c r="B1746" s="138">
        <f>'Tax Sched 23'!B6</f>
        <v>33153</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53497</v>
      </c>
      <c r="C1748" s="2" t="s">
        <v>594</v>
      </c>
      <c r="D1748" s="2" t="str">
        <f t="shared" si="26"/>
        <v>Error?</v>
      </c>
    </row>
    <row r="1749" spans="1:5" x14ac:dyDescent="0.2">
      <c r="A1749" s="5">
        <v>1688</v>
      </c>
      <c r="B1749" s="138">
        <f>'Tax Sched 23'!B10</f>
        <v>11422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97954</v>
      </c>
      <c r="C1752" s="2" t="s">
        <v>594</v>
      </c>
      <c r="D1752" s="2" t="str">
        <f t="shared" si="26"/>
        <v>Error?</v>
      </c>
    </row>
    <row r="1753" spans="1:5" x14ac:dyDescent="0.2">
      <c r="A1753" s="5">
        <v>1692</v>
      </c>
      <c r="B1753" s="138">
        <f>'Tax Sched 23'!B12</f>
        <v>12398</v>
      </c>
      <c r="C1753" s="2" t="s">
        <v>594</v>
      </c>
      <c r="D1753" s="2" t="str">
        <f t="shared" si="26"/>
        <v>Error?</v>
      </c>
    </row>
    <row r="1754" spans="1:5" x14ac:dyDescent="0.2">
      <c r="A1754" s="5">
        <v>1693</v>
      </c>
      <c r="B1754" s="138">
        <f>'Tax Sched 23'!B14</f>
        <v>4875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685131</v>
      </c>
      <c r="C1759" s="2" t="s">
        <v>594</v>
      </c>
      <c r="D1759" s="2" t="str">
        <f t="shared" si="26"/>
        <v>Error?</v>
      </c>
    </row>
    <row r="1760" spans="1:5" x14ac:dyDescent="0.2">
      <c r="A1760" s="5">
        <v>1699</v>
      </c>
      <c r="B1760" s="138">
        <f>'Tax Sched 23'!D4</f>
        <v>368316</v>
      </c>
      <c r="C1760" s="2" t="s">
        <v>594</v>
      </c>
      <c r="D1760" s="2" t="str">
        <f t="shared" si="26"/>
        <v>Error?</v>
      </c>
    </row>
    <row r="1761" spans="1:5" x14ac:dyDescent="0.2">
      <c r="A1761" s="5">
        <v>1700</v>
      </c>
      <c r="B1761" s="138">
        <f>'Tax Sched 23'!D5</f>
        <v>63329</v>
      </c>
      <c r="C1761" s="2" t="s">
        <v>594</v>
      </c>
      <c r="D1761" s="2" t="str">
        <f t="shared" si="26"/>
        <v>Error?</v>
      </c>
    </row>
    <row r="1762" spans="1:5" s="8" customFormat="1" x14ac:dyDescent="0.2">
      <c r="A1762" s="5">
        <v>1701</v>
      </c>
      <c r="B1762" s="138">
        <f>'Tax Sched 23'!D6</f>
        <v>33153</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53497</v>
      </c>
      <c r="C1764" s="2" t="s">
        <v>594</v>
      </c>
      <c r="D1764" s="2" t="str">
        <f t="shared" si="26"/>
        <v>Error?</v>
      </c>
    </row>
    <row r="1765" spans="1:5" x14ac:dyDescent="0.2">
      <c r="A1765" s="5">
        <v>1704</v>
      </c>
      <c r="B1765" s="138">
        <f>'Tax Sched 23'!D10</f>
        <v>11422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97954</v>
      </c>
      <c r="C1768" s="2" t="s">
        <v>594</v>
      </c>
      <c r="D1768" s="2" t="str">
        <f t="shared" si="26"/>
        <v>Error?</v>
      </c>
    </row>
    <row r="1769" spans="1:5" x14ac:dyDescent="0.2">
      <c r="A1769" s="5">
        <v>1708</v>
      </c>
      <c r="B1769" s="138">
        <f>'Tax Sched 23'!D12</f>
        <v>12398</v>
      </c>
      <c r="C1769" s="2" t="s">
        <v>594</v>
      </c>
      <c r="D1769" s="2" t="str">
        <f t="shared" si="26"/>
        <v>Error?</v>
      </c>
    </row>
    <row r="1770" spans="1:5" x14ac:dyDescent="0.2">
      <c r="A1770" s="5">
        <v>1709</v>
      </c>
      <c r="B1770" s="138">
        <f>'Tax Sched 23'!D14</f>
        <v>4875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685131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390942</v>
      </c>
      <c r="C1792" s="2" t="s">
        <v>594</v>
      </c>
      <c r="D1792" s="2" t="str">
        <f t="shared" si="27"/>
        <v>Error?</v>
      </c>
    </row>
    <row r="1793" spans="1:4" x14ac:dyDescent="0.2">
      <c r="A1793" s="5">
        <v>1732</v>
      </c>
      <c r="B1793" s="138">
        <f>'Tax Sched 23'!F5</f>
        <v>67219</v>
      </c>
      <c r="C1793" s="2" t="s">
        <v>594</v>
      </c>
      <c r="D1793" s="2" t="str">
        <f t="shared" si="27"/>
        <v>Error?</v>
      </c>
    </row>
    <row r="1794" spans="1:4" x14ac:dyDescent="0.2">
      <c r="A1794" s="5">
        <v>1733</v>
      </c>
      <c r="B1794" s="138">
        <f>'Tax Sched 23'!F6</f>
        <v>32428</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57870</v>
      </c>
      <c r="C1796" s="2" t="s">
        <v>594</v>
      </c>
      <c r="D1796" s="2" t="str">
        <f t="shared" si="27"/>
        <v>Error?</v>
      </c>
    </row>
    <row r="1797" spans="1:4" x14ac:dyDescent="0.2">
      <c r="A1797" s="5">
        <v>1736</v>
      </c>
      <c r="B1797" s="138">
        <f>'Tax Sched 23'!F10</f>
        <v>12258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101676</v>
      </c>
      <c r="C1800" s="2" t="s">
        <v>594</v>
      </c>
      <c r="D1800" s="2" t="str">
        <f t="shared" si="27"/>
        <v>Error?</v>
      </c>
    </row>
    <row r="1801" spans="1:4" x14ac:dyDescent="0.2">
      <c r="A1801" s="5">
        <v>1740</v>
      </c>
      <c r="B1801" s="138">
        <f>'Tax Sched 23'!F12</f>
        <v>13161</v>
      </c>
      <c r="C1801" s="2" t="s">
        <v>594</v>
      </c>
      <c r="D1801" s="2" t="str">
        <f t="shared" si="27"/>
        <v>Error?</v>
      </c>
    </row>
    <row r="1802" spans="1:4" x14ac:dyDescent="0.2">
      <c r="A1802" s="5">
        <v>1741</v>
      </c>
      <c r="B1802" s="138">
        <f>'Tax Sched 23'!F14</f>
        <v>5176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719143</v>
      </c>
      <c r="C1807" s="2" t="s">
        <v>594</v>
      </c>
      <c r="D1807" s="2" t="str">
        <f t="shared" si="27"/>
        <v>Error?</v>
      </c>
    </row>
    <row r="1808" spans="1:4" x14ac:dyDescent="0.2">
      <c r="A1808" s="5">
        <v>1747</v>
      </c>
      <c r="B1808" s="138">
        <f>'Tax Sched 23'!E4</f>
        <v>390942</v>
      </c>
      <c r="D1808" s="2" t="str">
        <f t="shared" si="27"/>
        <v>Error?</v>
      </c>
    </row>
    <row r="1809" spans="1:4" x14ac:dyDescent="0.2">
      <c r="A1809" s="5">
        <v>1748</v>
      </c>
      <c r="B1809" s="138">
        <f>'Tax Sched 23'!E5</f>
        <v>67219</v>
      </c>
      <c r="D1809" s="2" t="str">
        <f t="shared" si="27"/>
        <v>Error?</v>
      </c>
    </row>
    <row r="1810" spans="1:4" x14ac:dyDescent="0.2">
      <c r="A1810" s="5">
        <v>1749</v>
      </c>
      <c r="B1810" s="138">
        <f>'Tax Sched 23'!E6</f>
        <v>32428</v>
      </c>
      <c r="D1810" s="2" t="str">
        <f t="shared" si="27"/>
        <v>Error?</v>
      </c>
    </row>
    <row r="1811" spans="1:4" x14ac:dyDescent="0.2">
      <c r="A1811" s="5">
        <v>1750</v>
      </c>
      <c r="B1811" s="138">
        <f>'Tax Sched 23'!E7</f>
        <v>0</v>
      </c>
      <c r="D1811" s="2" t="str">
        <f t="shared" si="27"/>
        <v>Error?</v>
      </c>
    </row>
    <row r="1812" spans="1:4" x14ac:dyDescent="0.2">
      <c r="A1812" s="5">
        <v>1751</v>
      </c>
      <c r="B1812" s="138">
        <f>'Tax Sched 23'!E8</f>
        <v>57870</v>
      </c>
      <c r="D1812" s="2" t="str">
        <f t="shared" si="27"/>
        <v>Error?</v>
      </c>
    </row>
    <row r="1813" spans="1:4" x14ac:dyDescent="0.2">
      <c r="A1813" s="5">
        <v>1752</v>
      </c>
      <c r="B1813" s="138">
        <f>'Tax Sched 23'!E10</f>
        <v>12258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101676</v>
      </c>
      <c r="D1816" s="2" t="str">
        <f t="shared" si="27"/>
        <v>Error?</v>
      </c>
    </row>
    <row r="1817" spans="1:4" x14ac:dyDescent="0.2">
      <c r="A1817" s="5">
        <v>1756</v>
      </c>
      <c r="B1817" s="138">
        <f>'Tax Sched 23'!E12</f>
        <v>13161</v>
      </c>
      <c r="D1817" s="2" t="str">
        <f t="shared" si="27"/>
        <v>Error?</v>
      </c>
    </row>
    <row r="1818" spans="1:4" x14ac:dyDescent="0.2">
      <c r="A1818" s="5">
        <v>1757</v>
      </c>
      <c r="B1818" s="138">
        <f>'Tax Sched 23'!E14</f>
        <v>5176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719143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4875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4875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4875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61666</v>
      </c>
      <c r="D2008" s="2" t="str">
        <f t="shared" si="30"/>
        <v>Error?</v>
      </c>
    </row>
    <row r="2009" spans="1:4" x14ac:dyDescent="0.2">
      <c r="A2009" s="5">
        <v>1948</v>
      </c>
      <c r="B2009" s="138">
        <f>'Cap Outlay Deprec 26'!C8</f>
        <v>3526690</v>
      </c>
      <c r="D2009" s="2" t="str">
        <f t="shared" si="30"/>
        <v>Error?</v>
      </c>
    </row>
    <row r="2010" spans="1:4" x14ac:dyDescent="0.2">
      <c r="A2010" s="5">
        <v>1949</v>
      </c>
      <c r="B2010" s="138">
        <f>'Cap Outlay Deprec 26'!C10</f>
        <v>81416</v>
      </c>
      <c r="D2010" s="2" t="str">
        <f t="shared" si="30"/>
        <v>Error?</v>
      </c>
    </row>
    <row r="2011" spans="1:4" x14ac:dyDescent="0.2">
      <c r="A2011" s="5">
        <v>1950</v>
      </c>
      <c r="B2011" s="138">
        <f>'Cap Outlay Deprec 26'!C12</f>
        <v>339344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4009116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27673</v>
      </c>
      <c r="D2016" s="2" t="str">
        <f t="shared" si="30"/>
        <v>Error?</v>
      </c>
    </row>
    <row r="2017" spans="1:4" x14ac:dyDescent="0.2">
      <c r="A2017" s="5">
        <v>1956</v>
      </c>
      <c r="B2017" s="138">
        <f>'Cap Outlay Deprec 26'!D12</f>
        <v>8468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36141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61666</v>
      </c>
      <c r="C2026" s="2" t="s">
        <v>594</v>
      </c>
      <c r="D2026" s="2" t="str">
        <f t="shared" si="30"/>
        <v>Error?</v>
      </c>
    </row>
    <row r="2027" spans="1:4" x14ac:dyDescent="0.2">
      <c r="A2027" s="5">
        <v>1966</v>
      </c>
      <c r="B2027" s="138">
        <f>'Cap Outlay Deprec 26'!F8</f>
        <v>3526690</v>
      </c>
      <c r="C2027" s="2" t="s">
        <v>594</v>
      </c>
      <c r="D2027" s="2" t="str">
        <f t="shared" si="30"/>
        <v>Error?</v>
      </c>
    </row>
    <row r="2028" spans="1:4" x14ac:dyDescent="0.2">
      <c r="A2028" s="5">
        <v>1967</v>
      </c>
      <c r="B2028" s="138">
        <f>'Cap Outlay Deprec 26'!F10</f>
        <v>109089</v>
      </c>
      <c r="C2028" s="2" t="s">
        <v>594</v>
      </c>
      <c r="D2028" s="2" t="str">
        <f t="shared" si="30"/>
        <v>Error?</v>
      </c>
    </row>
    <row r="2029" spans="1:4" x14ac:dyDescent="0.2">
      <c r="A2029" s="5">
        <v>1968</v>
      </c>
      <c r="B2029" s="138">
        <f>'Cap Outlay Deprec 26'!F12</f>
        <v>347812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4045257</v>
      </c>
      <c r="C2031" s="2" t="s">
        <v>594</v>
      </c>
      <c r="D2031" s="2" t="str">
        <f t="shared" si="30"/>
        <v>Error?</v>
      </c>
    </row>
    <row r="2032" spans="1:4" x14ac:dyDescent="0.2">
      <c r="A2032" s="10">
        <v>1971</v>
      </c>
      <c r="D2032" s="2" t="str">
        <f t="shared" si="30"/>
        <v>OK</v>
      </c>
    </row>
    <row r="2033" spans="1:4" x14ac:dyDescent="0.2">
      <c r="A2033" s="5">
        <v>1972</v>
      </c>
      <c r="B2033" s="138">
        <f>'Cap Outlay Deprec 26'!H8</f>
        <v>1460049</v>
      </c>
      <c r="D2033" s="2" t="str">
        <f t="shared" si="30"/>
        <v>Error?</v>
      </c>
    </row>
    <row r="2034" spans="1:4" x14ac:dyDescent="0.2">
      <c r="A2034" s="5">
        <v>1973</v>
      </c>
      <c r="B2034" s="138">
        <f>'Cap Outlay Deprec 26'!H10</f>
        <v>81416</v>
      </c>
      <c r="D2034" s="2" t="str">
        <f t="shared" si="30"/>
        <v>Error?</v>
      </c>
    </row>
    <row r="2035" spans="1:4" x14ac:dyDescent="0.2">
      <c r="A2035" s="5">
        <v>1974</v>
      </c>
      <c r="B2035" s="138">
        <f>'Cap Outlay Deprec 26'!H12</f>
        <v>252048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1793513</v>
      </c>
      <c r="C2037" s="2" t="s">
        <v>594</v>
      </c>
      <c r="D2037" s="2" t="str">
        <f t="shared" si="30"/>
        <v>Error?</v>
      </c>
    </row>
    <row r="2038" spans="1:4" x14ac:dyDescent="0.2">
      <c r="A2038" s="10">
        <v>1977</v>
      </c>
      <c r="D2038" s="2" t="str">
        <f t="shared" si="30"/>
        <v>OK</v>
      </c>
    </row>
    <row r="2039" spans="1:4" x14ac:dyDescent="0.2">
      <c r="A2039" s="5">
        <v>1978</v>
      </c>
      <c r="B2039" s="138">
        <f>'Cap Outlay Deprec 26'!I8</f>
        <v>70534</v>
      </c>
      <c r="D2039" s="2" t="str">
        <f t="shared" si="30"/>
        <v>Error?</v>
      </c>
    </row>
    <row r="2040" spans="1:4" x14ac:dyDescent="0.2">
      <c r="A2040" s="5">
        <v>1979</v>
      </c>
      <c r="B2040" s="138">
        <f>'Cap Outlay Deprec 26'!I10</f>
        <v>1384</v>
      </c>
      <c r="D2040" s="2" t="str">
        <f t="shared" si="30"/>
        <v>Error?</v>
      </c>
    </row>
    <row r="2041" spans="1:4" x14ac:dyDescent="0.2">
      <c r="A2041" s="5">
        <v>1980</v>
      </c>
      <c r="B2041" s="138">
        <f>'Cap Outlay Deprec 26'!I12</f>
        <v>12621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84539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1530583</v>
      </c>
      <c r="C2051" s="2" t="s">
        <v>594</v>
      </c>
      <c r="D2051" s="2" t="str">
        <f t="shared" si="31"/>
        <v>Error?</v>
      </c>
    </row>
    <row r="2052" spans="1:4" x14ac:dyDescent="0.2">
      <c r="A2052" s="5">
        <v>1991</v>
      </c>
      <c r="B2052" s="138">
        <f>'Cap Outlay Deprec 26'!K10</f>
        <v>82800</v>
      </c>
      <c r="C2052" s="2" t="s">
        <v>594</v>
      </c>
      <c r="D2052" s="2" t="str">
        <f t="shared" si="31"/>
        <v>Error?</v>
      </c>
    </row>
    <row r="2053" spans="1:4" x14ac:dyDescent="0.2">
      <c r="A2053" s="5">
        <v>1992</v>
      </c>
      <c r="B2053" s="138">
        <f>'Cap Outlay Deprec 26'!K12</f>
        <v>264669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1878052</v>
      </c>
      <c r="C2055" s="2" t="s">
        <v>594</v>
      </c>
      <c r="D2055" s="2" t="str">
        <f t="shared" si="31"/>
        <v>Error?</v>
      </c>
    </row>
    <row r="2056" spans="1:4" x14ac:dyDescent="0.2">
      <c r="A2056" s="5">
        <v>1995</v>
      </c>
      <c r="B2056" s="138">
        <f>'Cap Outlay Deprec 26'!L5</f>
        <v>61666</v>
      </c>
      <c r="C2056" s="2" t="s">
        <v>594</v>
      </c>
      <c r="D2056" s="2" t="str">
        <f t="shared" si="31"/>
        <v>Error?</v>
      </c>
    </row>
    <row r="2057" spans="1:4" x14ac:dyDescent="0.2">
      <c r="A2057" s="5">
        <v>1996</v>
      </c>
      <c r="B2057" s="138">
        <f>'Cap Outlay Deprec 26'!L8</f>
        <v>1996107</v>
      </c>
      <c r="C2057" s="2" t="s">
        <v>594</v>
      </c>
      <c r="D2057" s="2" t="str">
        <f t="shared" si="31"/>
        <v>Error?</v>
      </c>
    </row>
    <row r="2058" spans="1:4" x14ac:dyDescent="0.2">
      <c r="A2058" s="5">
        <v>1997</v>
      </c>
      <c r="B2058" s="138">
        <f>'Cap Outlay Deprec 26'!L10</f>
        <v>26289</v>
      </c>
      <c r="C2058" s="2" t="s">
        <v>594</v>
      </c>
      <c r="D2058" s="2" t="str">
        <f t="shared" si="31"/>
        <v>Error?</v>
      </c>
    </row>
    <row r="2059" spans="1:4" x14ac:dyDescent="0.2">
      <c r="A2059" s="5">
        <v>1998</v>
      </c>
      <c r="B2059" s="138">
        <f>'Cap Outlay Deprec 26'!L12</f>
        <v>83143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2167205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69846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69846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60000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518732</v>
      </c>
      <c r="C2551" s="2" t="s">
        <v>594</v>
      </c>
      <c r="D2551" s="2" t="str">
        <f t="shared" si="38"/>
        <v>Error?</v>
      </c>
    </row>
    <row r="2552" spans="1:4" x14ac:dyDescent="0.2">
      <c r="A2552" s="10">
        <v>2491</v>
      </c>
      <c r="D2552" s="2" t="str">
        <f t="shared" si="38"/>
        <v>OK</v>
      </c>
    </row>
    <row r="2553" spans="1:4" x14ac:dyDescent="0.2">
      <c r="A2553" s="5">
        <v>2492</v>
      </c>
      <c r="B2553" s="138">
        <f>'Acct Summary 7-8'!C6</f>
        <v>1251735</v>
      </c>
      <c r="C2553" s="2" t="s">
        <v>594</v>
      </c>
      <c r="D2553" s="2" t="str">
        <f t="shared" si="38"/>
        <v>Error?</v>
      </c>
    </row>
    <row r="2554" spans="1:4" x14ac:dyDescent="0.2">
      <c r="A2554" s="5">
        <v>2493</v>
      </c>
      <c r="B2554" s="138">
        <f>'Acct Summary 7-8'!C7</f>
        <v>242204</v>
      </c>
      <c r="C2554" s="2" t="s">
        <v>594</v>
      </c>
      <c r="D2554" s="2" t="str">
        <f t="shared" si="38"/>
        <v>Error?</v>
      </c>
    </row>
    <row r="2555" spans="1:4" x14ac:dyDescent="0.2">
      <c r="A2555" s="5">
        <v>2494</v>
      </c>
      <c r="B2555" s="138">
        <f>'Acct Summary 7-8'!C8</f>
        <v>2012671</v>
      </c>
      <c r="C2555" s="2" t="s">
        <v>594</v>
      </c>
      <c r="D2555" s="2" t="str">
        <f t="shared" si="38"/>
        <v>Error?</v>
      </c>
    </row>
    <row r="2556" spans="1:4" x14ac:dyDescent="0.2">
      <c r="A2556" s="5">
        <v>2495</v>
      </c>
      <c r="B2556" s="138">
        <f>'Acct Summary 7-8'!C12</f>
        <v>1279634</v>
      </c>
      <c r="C2556" s="2" t="s">
        <v>594</v>
      </c>
      <c r="D2556" s="2" t="str">
        <f t="shared" si="38"/>
        <v>Error?</v>
      </c>
    </row>
    <row r="2557" spans="1:4" x14ac:dyDescent="0.2">
      <c r="A2557" s="5">
        <v>2496</v>
      </c>
      <c r="B2557" s="138">
        <f>'Acct Summary 7-8'!C13</f>
        <v>410549</v>
      </c>
      <c r="C2557" s="2" t="s">
        <v>594</v>
      </c>
      <c r="D2557" s="2" t="str">
        <f t="shared" si="38"/>
        <v>Error?</v>
      </c>
    </row>
    <row r="2558" spans="1:4" x14ac:dyDescent="0.2">
      <c r="A2558" s="5">
        <v>2497</v>
      </c>
      <c r="B2558" s="138">
        <f>'Acct Summary 7-8'!C14</f>
        <v>1122</v>
      </c>
      <c r="C2558" s="2" t="s">
        <v>594</v>
      </c>
      <c r="D2558" s="2" t="str">
        <f t="shared" si="38"/>
        <v>Error?</v>
      </c>
    </row>
    <row r="2559" spans="1:4" x14ac:dyDescent="0.2">
      <c r="A2559" s="5">
        <v>2498</v>
      </c>
      <c r="B2559" s="138">
        <f>'Acct Summary 7-8'!C15</f>
        <v>69846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1761151</v>
      </c>
      <c r="C2561" s="2" t="s">
        <v>594</v>
      </c>
      <c r="D2561" s="2" t="str">
        <f t="shared" si="39"/>
        <v>Error?</v>
      </c>
    </row>
    <row r="2562" spans="1:4" x14ac:dyDescent="0.2">
      <c r="A2562" s="5">
        <v>2501</v>
      </c>
      <c r="B2562" s="138">
        <f>'Acct Summary 7-8'!C20</f>
        <v>251520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96356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96356</v>
      </c>
      <c r="C2568" s="2" t="s">
        <v>594</v>
      </c>
      <c r="D2568" s="2" t="str">
        <f t="shared" si="39"/>
        <v>Error?</v>
      </c>
    </row>
    <row r="2569" spans="1:4" x14ac:dyDescent="0.2">
      <c r="A2569" s="5">
        <v>2508</v>
      </c>
      <c r="B2569" s="138">
        <f>'Acct Summary 7-8'!D13</f>
        <v>85329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85329</v>
      </c>
      <c r="C2573" s="2" t="s">
        <v>594</v>
      </c>
      <c r="D2573" s="2" t="str">
        <f t="shared" si="39"/>
        <v>Error?</v>
      </c>
    </row>
    <row r="2574" spans="1:4" x14ac:dyDescent="0.2">
      <c r="A2574" s="5">
        <v>2513</v>
      </c>
      <c r="B2574" s="138">
        <f>'Acct Summary 7-8'!D20</f>
        <v>11027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7310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7310</v>
      </c>
      <c r="C2595" s="2" t="s">
        <v>594</v>
      </c>
      <c r="D2595" s="2" t="str">
        <f t="shared" si="39"/>
        <v>Error?</v>
      </c>
    </row>
    <row r="2596" spans="1:4" x14ac:dyDescent="0.2">
      <c r="A2596" s="5">
        <v>2535</v>
      </c>
      <c r="B2596" s="138">
        <f>'Acct Summary 7-8'!F13</f>
        <v>5680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5680</v>
      </c>
      <c r="C2600" s="2" t="s">
        <v>594</v>
      </c>
      <c r="D2600" s="2" t="str">
        <f t="shared" si="39"/>
        <v>Error?</v>
      </c>
    </row>
    <row r="2601" spans="1:4" x14ac:dyDescent="0.2">
      <c r="A2601" s="5">
        <v>2540</v>
      </c>
      <c r="B2601" s="138">
        <f>'Acct Summary 7-8'!F20</f>
        <v>1630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94457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94457</v>
      </c>
      <c r="C2606" s="2" t="s">
        <v>594</v>
      </c>
      <c r="D2606" s="2" t="str">
        <f t="shared" si="39"/>
        <v>Error?</v>
      </c>
    </row>
    <row r="2607" spans="1:4" x14ac:dyDescent="0.2">
      <c r="A2607" s="5">
        <v>2546</v>
      </c>
      <c r="B2607" s="138">
        <f>'Acct Summary 7-8'!G12</f>
        <v>45576</v>
      </c>
      <c r="C2607" s="2" t="s">
        <v>594</v>
      </c>
      <c r="D2607" s="2" t="str">
        <f t="shared" si="39"/>
        <v>Error?</v>
      </c>
    </row>
    <row r="2608" spans="1:4" x14ac:dyDescent="0.2">
      <c r="A2608" s="5">
        <v>2547</v>
      </c>
      <c r="B2608" s="138">
        <f>'Acct Summary 7-8'!G13</f>
        <v>56045</v>
      </c>
      <c r="C2608" s="2" t="s">
        <v>594</v>
      </c>
      <c r="D2608" s="2" t="str">
        <f t="shared" si="39"/>
        <v>Error?</v>
      </c>
    </row>
    <row r="2609" spans="1:4" x14ac:dyDescent="0.2">
      <c r="A2609" s="5">
        <v>2548</v>
      </c>
      <c r="B2609" s="138">
        <f>'Acct Summary 7-8'!G14</f>
        <v>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101629</v>
      </c>
      <c r="C2612" s="2" t="s">
        <v>594</v>
      </c>
      <c r="D2612" s="2" t="str">
        <f t="shared" si="39"/>
        <v>Error?</v>
      </c>
    </row>
    <row r="2613" spans="1:4" x14ac:dyDescent="0.2">
      <c r="A2613" s="5">
        <v>2552</v>
      </c>
      <c r="B2613" s="138">
        <f>'Acct Summary 7-8'!G20</f>
        <v>-7172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33249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33249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34655</v>
      </c>
      <c r="C2634" s="2" t="s">
        <v>594</v>
      </c>
      <c r="D2634" s="2" t="str">
        <f t="shared" si="40"/>
        <v>Error?</v>
      </c>
    </row>
    <row r="2635" spans="1:4" x14ac:dyDescent="0.2">
      <c r="A2635" s="5">
        <v>2574</v>
      </c>
      <c r="B2635" s="138">
        <f>'Acct Summary 7-8'!E17</f>
        <v>34655</v>
      </c>
      <c r="C2635" s="2" t="s">
        <v>594</v>
      </c>
      <c r="D2635" s="2" t="str">
        <f t="shared" si="40"/>
        <v>Error?</v>
      </c>
    </row>
    <row r="2636" spans="1:4" x14ac:dyDescent="0.2">
      <c r="A2636" s="5">
        <v>2575</v>
      </c>
      <c r="B2636" s="138">
        <f>'Acct Summary 7-8'!E20</f>
        <v>-1406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18482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11867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18482</v>
      </c>
      <c r="D2912" s="2" t="str">
        <f t="shared" si="44"/>
        <v>Error?</v>
      </c>
    </row>
    <row r="2913" spans="1:4" x14ac:dyDescent="0.2">
      <c r="A2913" s="5">
        <v>2852</v>
      </c>
      <c r="B2913" s="138">
        <f>'Assets-Liab 5-6'!I41</f>
        <v>18482</v>
      </c>
      <c r="C2913" s="2" t="s">
        <v>594</v>
      </c>
      <c r="D2913" s="2" t="str">
        <f t="shared" si="44"/>
        <v>Error?</v>
      </c>
    </row>
    <row r="2914" spans="1:4" x14ac:dyDescent="0.2">
      <c r="A2914" s="5">
        <v>2853</v>
      </c>
      <c r="B2914" s="138">
        <f>'Assets-Liab 5-6'!L33</f>
        <v>11867</v>
      </c>
      <c r="D2914" s="2" t="str">
        <f t="shared" si="44"/>
        <v>Error?</v>
      </c>
    </row>
    <row r="2915" spans="1:4" x14ac:dyDescent="0.2">
      <c r="A2915" s="10">
        <v>2854</v>
      </c>
      <c r="D2915" s="2" t="str">
        <f t="shared" si="44"/>
        <v>OK</v>
      </c>
    </row>
    <row r="2916" spans="1:4" x14ac:dyDescent="0.2">
      <c r="A2916" s="5">
        <v>2855</v>
      </c>
      <c r="B2916" s="138">
        <f>'Assets-Liab 5-6'!L34</f>
        <v>11867</v>
      </c>
      <c r="C2916" s="2" t="s">
        <v>594</v>
      </c>
      <c r="D2916" s="2" t="str">
        <f t="shared" si="44"/>
        <v>Error?</v>
      </c>
    </row>
    <row r="2917" spans="1:4" x14ac:dyDescent="0.2">
      <c r="A2917" s="5">
        <v>2856</v>
      </c>
      <c r="B2917" s="138">
        <f>'Assets-Liab 5-6'!L41</f>
        <v>11867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69846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69846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17601</v>
      </c>
      <c r="D3055" s="2" t="str">
        <f t="shared" si="46"/>
        <v>Error?</v>
      </c>
    </row>
    <row r="3056" spans="1:4" x14ac:dyDescent="0.2">
      <c r="A3056" s="5">
        <v>2995</v>
      </c>
      <c r="B3056" s="138">
        <f>'Expenditures 15-22'!D10</f>
        <v>5863</v>
      </c>
      <c r="D3056" s="2" t="str">
        <f t="shared" si="46"/>
        <v>Error?</v>
      </c>
    </row>
    <row r="3057" spans="1:4" x14ac:dyDescent="0.2">
      <c r="A3057" s="5">
        <v>2996</v>
      </c>
      <c r="B3057" s="138">
        <f>'Expenditures 15-22'!E10</f>
        <v>4777</v>
      </c>
      <c r="D3057" s="2" t="str">
        <f t="shared" si="46"/>
        <v>Error?</v>
      </c>
    </row>
    <row r="3058" spans="1:4" x14ac:dyDescent="0.2">
      <c r="A3058" s="5">
        <v>2997</v>
      </c>
      <c r="B3058" s="138">
        <f>'Expenditures 15-22'!F10</f>
        <v>40900</v>
      </c>
      <c r="D3058" s="2" t="str">
        <f t="shared" si="46"/>
        <v>Error?</v>
      </c>
    </row>
    <row r="3059" spans="1:4" x14ac:dyDescent="0.2">
      <c r="A3059" s="5">
        <v>2998</v>
      </c>
      <c r="B3059" s="138">
        <f>'Expenditures 15-22'!G10</f>
        <v>5327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74468</v>
      </c>
      <c r="C3062" s="2" t="s">
        <v>594</v>
      </c>
      <c r="D3062" s="2" t="str">
        <f t="shared" si="46"/>
        <v>Error?</v>
      </c>
    </row>
    <row r="3063" spans="1:4" x14ac:dyDescent="0.2">
      <c r="A3063" s="10">
        <v>3002</v>
      </c>
      <c r="D3063" s="2" t="str">
        <f t="shared" si="46"/>
        <v>OK</v>
      </c>
    </row>
    <row r="3064" spans="1:4" x14ac:dyDescent="0.2">
      <c r="A3064" s="5">
        <v>3003</v>
      </c>
      <c r="B3064" s="138">
        <f>'Expenditures 15-22'!D219</f>
        <v>3089</v>
      </c>
      <c r="D3064" s="2" t="str">
        <f t="shared" si="46"/>
        <v>Error?</v>
      </c>
    </row>
    <row r="3065" spans="1:4" x14ac:dyDescent="0.2">
      <c r="A3065" s="5">
        <v>3004</v>
      </c>
      <c r="B3065" s="138">
        <f>'Expenditures 15-22'!K219</f>
        <v>3089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11455</v>
      </c>
      <c r="C3225" s="2" t="s">
        <v>594</v>
      </c>
      <c r="D3225" s="2" t="str">
        <f t="shared" si="49"/>
        <v>Error?</v>
      </c>
    </row>
    <row r="3226" spans="1:4" x14ac:dyDescent="0.2">
      <c r="A3226" s="5">
        <v>3165</v>
      </c>
      <c r="B3226" s="138">
        <f>'Acct Summary 7-8'!I8</f>
        <v>11455</v>
      </c>
      <c r="C3226" s="2" t="s">
        <v>594</v>
      </c>
      <c r="D3226" s="2" t="str">
        <f t="shared" si="49"/>
        <v>Error?</v>
      </c>
    </row>
    <row r="3227" spans="1:4" x14ac:dyDescent="0.2">
      <c r="A3227" s="5">
        <v>3166</v>
      </c>
      <c r="B3227" s="138">
        <f>'Acct Summary 7-8'!I20</f>
        <v>11455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251520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11027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1630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60000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60000</v>
      </c>
      <c r="C3261" s="2" t="s">
        <v>594</v>
      </c>
      <c r="D3261" s="2" t="str">
        <f t="shared" si="49"/>
        <v>Error?</v>
      </c>
    </row>
    <row r="3262" spans="1:4" x14ac:dyDescent="0.2">
      <c r="A3262" s="5">
        <v>3201</v>
      </c>
      <c r="B3262" s="138">
        <f>'Acct Summary 7-8'!G78</f>
        <v>52828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-1406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60000</v>
      </c>
      <c r="C3318" s="2" t="s">
        <v>594</v>
      </c>
      <c r="D3318" s="2" t="str">
        <f t="shared" si="50"/>
        <v>Error?</v>
      </c>
    </row>
    <row r="3319" spans="1:4" x14ac:dyDescent="0.2">
      <c r="A3319" s="5">
        <v>3258</v>
      </c>
      <c r="B3319" s="138">
        <f>'Acct Summary 7-8'!I77</f>
        <v>-60000</v>
      </c>
      <c r="C3319" s="2" t="s">
        <v>594</v>
      </c>
      <c r="D3319" s="2" t="str">
        <f t="shared" si="50"/>
        <v>Error?</v>
      </c>
    </row>
    <row r="3320" spans="1:4" x14ac:dyDescent="0.2">
      <c r="A3320" s="5">
        <v>3259</v>
      </c>
      <c r="B3320" s="138">
        <f>'Acct Summary 7-8'!I78</f>
        <v>-48545</v>
      </c>
      <c r="C3320" s="2" t="s">
        <v>594</v>
      </c>
      <c r="D3320" s="2" t="str">
        <f t="shared" si="50"/>
        <v>Error?</v>
      </c>
    </row>
    <row r="3321" spans="1:4" x14ac:dyDescent="0.2">
      <c r="A3321" s="5">
        <v>3260</v>
      </c>
      <c r="B3321" s="138">
        <f>'Acct Summary 7-8'!I79</f>
        <v>67027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18482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172557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52328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224923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16974</v>
      </c>
      <c r="D3387" s="2" t="str">
        <f t="shared" si="51"/>
        <v>Error?</v>
      </c>
    </row>
    <row r="3388" spans="1:4" x14ac:dyDescent="0.2">
      <c r="A3388" s="5">
        <v>3327</v>
      </c>
      <c r="B3388" s="138">
        <f>'Expenditures 15-22'!D217</f>
        <v>24770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16974</v>
      </c>
      <c r="C3390" s="2" t="s">
        <v>594</v>
      </c>
      <c r="D3390" s="2" t="str">
        <f t="shared" si="51"/>
        <v>Error?</v>
      </c>
    </row>
    <row r="3391" spans="1:4" x14ac:dyDescent="0.2">
      <c r="A3391" s="5">
        <v>3330</v>
      </c>
      <c r="B3391" s="138">
        <f>'Expenditures 15-22'!K217</f>
        <v>24770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1455657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116934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6113</v>
      </c>
      <c r="D3417" s="2" t="str">
        <f t="shared" si="52"/>
        <v>Error?</v>
      </c>
    </row>
    <row r="3418" spans="1:4" x14ac:dyDescent="0.2">
      <c r="A3418" s="10">
        <v>3357</v>
      </c>
      <c r="D3418" s="2" t="str">
        <f t="shared" si="52"/>
        <v>OK</v>
      </c>
    </row>
    <row r="3419" spans="1:4" x14ac:dyDescent="0.2">
      <c r="A3419" s="5">
        <v>3358</v>
      </c>
      <c r="B3419" s="138">
        <f>'Assets-Liab 5-6'!F4</f>
        <v>9873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37257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18482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11867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40187</v>
      </c>
      <c r="C3446" s="2" t="s">
        <v>594</v>
      </c>
      <c r="D3446" s="2" t="str">
        <f t="shared" si="52"/>
        <v>Error?</v>
      </c>
    </row>
    <row r="3447" spans="1:4" x14ac:dyDescent="0.2">
      <c r="A3447" s="5">
        <v>3386</v>
      </c>
      <c r="B3447" s="138">
        <f>'Tax Sched 23'!D16</f>
        <v>40187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38413</v>
      </c>
      <c r="C3449" s="2" t="s">
        <v>594</v>
      </c>
      <c r="D3449" s="2" t="str">
        <f t="shared" si="52"/>
        <v>Error?</v>
      </c>
    </row>
    <row r="3450" spans="1:4" x14ac:dyDescent="0.2">
      <c r="A3450" s="5">
        <v>3389</v>
      </c>
      <c r="B3450" s="138">
        <f>'Tax Sched 23'!E16</f>
        <v>38413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60000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26903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26903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26903</v>
      </c>
      <c r="D3567" s="2" t="str">
        <f t="shared" si="54"/>
        <v>Error?</v>
      </c>
    </row>
    <row r="3568" spans="1:4" x14ac:dyDescent="0.2">
      <c r="A3568" s="5">
        <v>3507</v>
      </c>
      <c r="B3568" s="138">
        <f>'Assets-Liab 5-6'!K41</f>
        <v>26903</v>
      </c>
      <c r="C3568" s="2" t="s">
        <v>594</v>
      </c>
      <c r="D3568" s="2" t="str">
        <f t="shared" si="54"/>
        <v>Error?</v>
      </c>
    </row>
    <row r="3569" spans="1:4" x14ac:dyDescent="0.2">
      <c r="A3569" s="5">
        <v>3508</v>
      </c>
      <c r="B3569" s="138">
        <f>'Acct Summary 7-8'!K4</f>
        <v>12434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12434</v>
      </c>
      <c r="C3571" s="2" t="s">
        <v>594</v>
      </c>
      <c r="D3571" s="2" t="str">
        <f t="shared" si="54"/>
        <v>Error?</v>
      </c>
    </row>
    <row r="3572" spans="1:4" x14ac:dyDescent="0.2">
      <c r="A3572" s="5">
        <v>3511</v>
      </c>
      <c r="B3572" s="138">
        <f>'Acct Summary 7-8'!K13</f>
        <v>27673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27673</v>
      </c>
      <c r="C3575" s="2" t="s">
        <v>594</v>
      </c>
      <c r="D3575" s="2" t="str">
        <f t="shared" si="54"/>
        <v>Error?</v>
      </c>
    </row>
    <row r="3576" spans="1:4" x14ac:dyDescent="0.2">
      <c r="A3576" s="5">
        <v>3515</v>
      </c>
      <c r="B3576" s="138">
        <f>'Acct Summary 7-8'!K20</f>
        <v>-15239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-15239</v>
      </c>
      <c r="C3588" s="2" t="s">
        <v>594</v>
      </c>
      <c r="D3588" s="2" t="str">
        <f t="shared" si="55"/>
        <v>Error?</v>
      </c>
    </row>
    <row r="3589" spans="1:4" x14ac:dyDescent="0.2">
      <c r="A3589" s="5">
        <v>3528</v>
      </c>
      <c r="B3589" s="138">
        <f>'Acct Summary 7-8'!K79</f>
        <v>42142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26903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27673</v>
      </c>
      <c r="D3639" s="2" t="str">
        <f t="shared" si="55"/>
        <v>Error?</v>
      </c>
    </row>
    <row r="3640" spans="1:4" x14ac:dyDescent="0.2">
      <c r="A3640" s="5">
        <v>3579</v>
      </c>
      <c r="B3640" s="138">
        <f>'Expenditures 15-22'!F350</f>
        <v>27673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27673</v>
      </c>
      <c r="C3642" s="2" t="s">
        <v>594</v>
      </c>
      <c r="D3642" s="2" t="str">
        <f t="shared" si="55"/>
        <v>Error?</v>
      </c>
    </row>
    <row r="3643" spans="1:4" x14ac:dyDescent="0.2">
      <c r="A3643" s="5">
        <v>3582</v>
      </c>
      <c r="B3643" s="138">
        <f>'Expenditures 15-22'!F367</f>
        <v>27673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27673</v>
      </c>
      <c r="C3669" s="2" t="s">
        <v>594</v>
      </c>
      <c r="D3669" s="2" t="str">
        <f t="shared" si="56"/>
        <v>Error?</v>
      </c>
    </row>
    <row r="3670" spans="1:4" x14ac:dyDescent="0.2">
      <c r="A3670" s="5">
        <v>3609</v>
      </c>
      <c r="B3670" s="138">
        <f>'Expenditures 15-22'!K350</f>
        <v>27673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27673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27673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-15239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48219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119558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2132229</v>
      </c>
      <c r="C4122" s="2" t="s">
        <v>594</v>
      </c>
      <c r="D4122" s="2" t="str">
        <f t="shared" si="63"/>
        <v>Error?</v>
      </c>
    </row>
    <row r="4123" spans="1:4" x14ac:dyDescent="0.2">
      <c r="A4123" s="5">
        <v>4062</v>
      </c>
      <c r="B4123" s="138">
        <f>'Acct Summary 7-8'!D10</f>
        <v>96356</v>
      </c>
      <c r="C4123" s="2" t="s">
        <v>594</v>
      </c>
      <c r="D4123" s="2" t="str">
        <f t="shared" si="63"/>
        <v>Error?</v>
      </c>
    </row>
    <row r="4124" spans="1:4" x14ac:dyDescent="0.2">
      <c r="A4124" s="5">
        <v>4063</v>
      </c>
      <c r="B4124" s="138">
        <f>'Acct Summary 7-8'!E10</f>
        <v>33249</v>
      </c>
      <c r="C4124" s="2" t="s">
        <v>594</v>
      </c>
      <c r="D4124" s="2" t="str">
        <f t="shared" si="63"/>
        <v>Error?</v>
      </c>
    </row>
    <row r="4125" spans="1:4" x14ac:dyDescent="0.2">
      <c r="A4125" s="5">
        <v>4064</v>
      </c>
      <c r="B4125" s="138">
        <f>'Acct Summary 7-8'!F10</f>
        <v>7310</v>
      </c>
      <c r="C4125" s="2" t="s">
        <v>594</v>
      </c>
      <c r="D4125" s="2" t="str">
        <f t="shared" si="63"/>
        <v>Error?</v>
      </c>
    </row>
    <row r="4126" spans="1:4" x14ac:dyDescent="0.2">
      <c r="A4126" s="5">
        <v>4065</v>
      </c>
      <c r="B4126" s="138">
        <f>'Acct Summary 7-8'!G10</f>
        <v>94457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11455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12434</v>
      </c>
      <c r="C4130" s="2" t="s">
        <v>594</v>
      </c>
      <c r="D4130" s="2" t="str">
        <f t="shared" si="63"/>
        <v>Error?</v>
      </c>
    </row>
    <row r="4131" spans="1:4" x14ac:dyDescent="0.2">
      <c r="A4131" s="5">
        <v>4070</v>
      </c>
      <c r="B4131" s="138">
        <f>'Acct Summary 7-8'!C18</f>
        <v>119558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1880709</v>
      </c>
      <c r="C4136" s="2" t="s">
        <v>594</v>
      </c>
      <c r="D4136" s="2" t="str">
        <f t="shared" si="63"/>
        <v>Error?</v>
      </c>
    </row>
    <row r="4137" spans="1:4" x14ac:dyDescent="0.2">
      <c r="A4137" s="5">
        <v>4076</v>
      </c>
      <c r="B4137" s="138">
        <f>'Acct Summary 7-8'!D19</f>
        <v>85329</v>
      </c>
      <c r="C4137" s="2" t="s">
        <v>594</v>
      </c>
      <c r="D4137" s="2" t="str">
        <f t="shared" si="63"/>
        <v>Error?</v>
      </c>
    </row>
    <row r="4138" spans="1:4" x14ac:dyDescent="0.2">
      <c r="A4138" s="5">
        <v>4077</v>
      </c>
      <c r="B4138" s="138">
        <f>'Acct Summary 7-8'!E19</f>
        <v>34655</v>
      </c>
      <c r="C4138" s="2" t="s">
        <v>594</v>
      </c>
      <c r="D4138" s="2" t="str">
        <f t="shared" si="63"/>
        <v>Error?</v>
      </c>
    </row>
    <row r="4139" spans="1:4" x14ac:dyDescent="0.2">
      <c r="A4139" s="5">
        <v>4078</v>
      </c>
      <c r="B4139" s="138">
        <f>'Acct Summary 7-8'!F19</f>
        <v>5680</v>
      </c>
      <c r="C4139" s="2" t="s">
        <v>594</v>
      </c>
      <c r="D4139" s="2" t="str">
        <f t="shared" si="63"/>
        <v>Error?</v>
      </c>
    </row>
    <row r="4140" spans="1:4" x14ac:dyDescent="0.2">
      <c r="A4140" s="5">
        <v>4079</v>
      </c>
      <c r="B4140" s="138">
        <f>'Acct Summary 7-8'!G19</f>
        <v>101629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27673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65000</v>
      </c>
      <c r="C4171" s="2" t="s">
        <v>594</v>
      </c>
      <c r="D4171" s="2" t="str">
        <f t="shared" si="64"/>
        <v>Error?</v>
      </c>
    </row>
    <row r="4172" spans="1:4" x14ac:dyDescent="0.2">
      <c r="A4172" s="5">
        <v>4111</v>
      </c>
      <c r="B4172" s="138">
        <f>'Short-Term Long-Term Debt 24'!J49</f>
        <v>58887</v>
      </c>
      <c r="C4172" s="2" t="s">
        <v>594</v>
      </c>
      <c r="D4172" s="2" t="str">
        <f t="shared" si="64"/>
        <v>Error?</v>
      </c>
    </row>
    <row r="4173" spans="1:4" x14ac:dyDescent="0.2">
      <c r="A4173" s="5">
        <v>4112</v>
      </c>
      <c r="B4173" s="138">
        <f>'Short-Term Long-Term Debt 24'!H49</f>
        <v>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1567.22</v>
      </c>
      <c r="C4265" s="2" t="s">
        <v>594</v>
      </c>
      <c r="D4265" s="2" t="str">
        <f t="shared" si="65"/>
        <v>Error?</v>
      </c>
      <c r="E4265" s="128"/>
    </row>
    <row r="4266" spans="1:5" x14ac:dyDescent="0.2">
      <c r="A4266" s="12">
        <v>4205</v>
      </c>
      <c r="B4266" s="138">
        <f>('FP Info 3'!F10)*100000</f>
        <v>269.46999999999997</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1837</v>
      </c>
      <c r="C4268" s="2" t="s">
        <v>594</v>
      </c>
      <c r="D4268" s="2" t="str">
        <f t="shared" si="65"/>
        <v>Error?</v>
      </c>
    </row>
    <row r="4269" spans="1:5" x14ac:dyDescent="0.2">
      <c r="A4269" s="12">
        <v>4208</v>
      </c>
      <c r="B4269" s="138">
        <f>'FP Info 3'!J16</f>
        <v>1600946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9475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6345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664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664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9337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24944927</v>
      </c>
      <c r="D4995" s="2" t="str">
        <f t="shared" si="77"/>
        <v>Error?</v>
      </c>
    </row>
    <row r="4996" spans="1:4" x14ac:dyDescent="0.2">
      <c r="A4996" s="12">
        <v>4935</v>
      </c>
      <c r="B4996" s="138">
        <f>'FP Info 3'!H31</f>
        <v>1721199.9630000002</v>
      </c>
      <c r="D4996" s="2" t="str">
        <f t="shared" si="77"/>
        <v>Error?</v>
      </c>
    </row>
    <row r="4997" spans="1:4" x14ac:dyDescent="0.2">
      <c r="A4997" s="12">
        <v>4936</v>
      </c>
      <c r="B4997" s="138">
        <f>'FP Info 3'!H37</f>
        <v>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368316</v>
      </c>
      <c r="D5061" s="2" t="str">
        <f t="shared" si="78"/>
        <v>Error?</v>
      </c>
    </row>
    <row r="5062" spans="1:4" x14ac:dyDescent="0.2">
      <c r="A5062" s="10">
        <v>5001</v>
      </c>
      <c r="D5062" s="2" t="str">
        <f t="shared" si="78"/>
        <v>OK</v>
      </c>
    </row>
    <row r="5063" spans="1:4" x14ac:dyDescent="0.2">
      <c r="A5063" s="5">
        <v>5002</v>
      </c>
      <c r="B5063" s="138">
        <f>'Revenues 9-14'!C7</f>
        <v>4875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373191</v>
      </c>
      <c r="C5066" s="2" t="s">
        <v>594</v>
      </c>
      <c r="D5066" s="2" t="str">
        <f t="shared" si="78"/>
        <v>Error?</v>
      </c>
    </row>
    <row r="5067" spans="1:4" x14ac:dyDescent="0.2">
      <c r="A5067" s="5">
        <v>5006</v>
      </c>
      <c r="B5067" s="138">
        <f>'Revenues 9-14'!C14</f>
        <v>1087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23269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24356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23245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23245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6691</v>
      </c>
      <c r="C5096" s="2" t="s">
        <v>594</v>
      </c>
      <c r="D5096" s="2" t="str">
        <f t="shared" si="78"/>
        <v>Error?</v>
      </c>
    </row>
    <row r="5097" spans="1:4" x14ac:dyDescent="0.2">
      <c r="A5097" s="5">
        <v>5036</v>
      </c>
      <c r="B5097" s="138">
        <f>'Revenues 9-14'!C77</f>
        <v>15718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17247</v>
      </c>
      <c r="D5101" s="2" t="str">
        <f t="shared" si="78"/>
        <v>Error?</v>
      </c>
    </row>
    <row r="5102" spans="1:4" x14ac:dyDescent="0.2">
      <c r="A5102" s="5">
        <v>5041</v>
      </c>
      <c r="B5102" s="138">
        <f>'Revenues 9-14'!C82</f>
        <v>33629</v>
      </c>
      <c r="C5102" s="2" t="s">
        <v>594</v>
      </c>
      <c r="D5102" s="2" t="str">
        <f t="shared" si="78"/>
        <v>Error?</v>
      </c>
    </row>
    <row r="5103" spans="1:4" x14ac:dyDescent="0.2">
      <c r="A5103" s="5">
        <v>5042</v>
      </c>
      <c r="B5103" s="138">
        <f>'Revenues 9-14'!C84</f>
        <v>7770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7770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2763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14045</v>
      </c>
      <c r="D5116" s="2" t="str">
        <f t="shared" si="78"/>
        <v>Error?</v>
      </c>
    </row>
    <row r="5117" spans="1:4" x14ac:dyDescent="0.2">
      <c r="A5117" s="5">
        <v>5056</v>
      </c>
      <c r="B5117" s="138">
        <f>'Revenues 9-14'!C105</f>
        <v>450</v>
      </c>
      <c r="D5117" s="2" t="str">
        <f t="shared" si="78"/>
        <v>Error?</v>
      </c>
    </row>
    <row r="5118" spans="1:4" x14ac:dyDescent="0.2">
      <c r="A5118" s="5">
        <v>5057</v>
      </c>
      <c r="B5118" s="138">
        <f>'Revenues 9-14'!C106</f>
        <v>32065</v>
      </c>
      <c r="D5118" s="2" t="str">
        <f t="shared" si="78"/>
        <v>Error?</v>
      </c>
    </row>
    <row r="5119" spans="1:4" x14ac:dyDescent="0.2">
      <c r="A5119" s="5">
        <v>5058</v>
      </c>
      <c r="B5119" s="138">
        <f>'Revenues 9-14'!C107</f>
        <v>527</v>
      </c>
      <c r="D5119" s="2" t="str">
        <f t="shared" ref="D5119:D5182" si="79">IF(ISBLANK(B5119),"OK",IF(A5119-B5119=0,"OK","Error?"))</f>
        <v>Error?</v>
      </c>
    </row>
    <row r="5120" spans="1:4" x14ac:dyDescent="0.2">
      <c r="A5120" s="5">
        <v>5059</v>
      </c>
      <c r="B5120" s="138">
        <f>'Revenues 9-14'!C108</f>
        <v>49850</v>
      </c>
      <c r="C5120" s="2" t="s">
        <v>594</v>
      </c>
      <c r="D5120" s="2" t="str">
        <f t="shared" si="79"/>
        <v>Error?</v>
      </c>
    </row>
    <row r="5121" spans="1:4" x14ac:dyDescent="0.2">
      <c r="A5121" s="5">
        <v>5060</v>
      </c>
      <c r="B5121" s="138">
        <f>'Revenues 9-14'!C109</f>
        <v>518732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1212390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1212390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17644</v>
      </c>
      <c r="D5134" s="2" t="str">
        <f t="shared" si="79"/>
        <v>Error?</v>
      </c>
    </row>
    <row r="5135" spans="1:4" x14ac:dyDescent="0.2">
      <c r="A5135" s="5">
        <v>5074</v>
      </c>
      <c r="B5135" s="138">
        <f>'Revenues 9-14'!C126</f>
        <v>18625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36269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1576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39345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1251735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80938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20601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101539</v>
      </c>
      <c r="C5246" s="2" t="s">
        <v>594</v>
      </c>
      <c r="D5246" s="2" t="str">
        <f t="shared" si="80"/>
        <v>Error?</v>
      </c>
    </row>
    <row r="5247" spans="1:4" x14ac:dyDescent="0.2">
      <c r="A5247" s="5">
        <v>5186</v>
      </c>
      <c r="B5247" s="138">
        <f>'Revenues 9-14'!C203</f>
        <v>92400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92400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22444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22444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242204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242204</v>
      </c>
      <c r="C5326" s="2" t="s">
        <v>594</v>
      </c>
      <c r="D5326" s="2" t="str">
        <f t="shared" si="82"/>
        <v>Error?</v>
      </c>
    </row>
    <row r="5327" spans="1:4" x14ac:dyDescent="0.2">
      <c r="A5327" s="5">
        <v>5266</v>
      </c>
      <c r="B5327" s="138">
        <f>'Revenues 9-14'!C275</f>
        <v>2012671</v>
      </c>
      <c r="C5327" s="2" t="s">
        <v>594</v>
      </c>
      <c r="D5327" s="2" t="str">
        <f t="shared" si="82"/>
        <v>Error?</v>
      </c>
    </row>
    <row r="5328" spans="1:4" x14ac:dyDescent="0.2">
      <c r="A5328" s="5">
        <v>5267</v>
      </c>
      <c r="B5328" s="138">
        <f>'Revenues 9-14'!D5</f>
        <v>63329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63329</v>
      </c>
      <c r="C5334" s="2" t="s">
        <v>594</v>
      </c>
      <c r="D5334" s="2" t="str">
        <f t="shared" si="82"/>
        <v>Error?</v>
      </c>
    </row>
    <row r="5335" spans="1:4" x14ac:dyDescent="0.2">
      <c r="A5335" s="5">
        <v>5274</v>
      </c>
      <c r="B5335" s="138">
        <f>'Revenues 9-14'!D14</f>
        <v>185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185</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32842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32842</v>
      </c>
      <c r="C5355" s="2" t="s">
        <v>594</v>
      </c>
      <c r="D5355" s="2" t="str">
        <f t="shared" si="82"/>
        <v>Error?</v>
      </c>
    </row>
    <row r="5356" spans="1:4" x14ac:dyDescent="0.2">
      <c r="A5356" s="5">
        <v>5295</v>
      </c>
      <c r="B5356" s="138">
        <f>'Revenues 9-14'!D109</f>
        <v>96356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96356</v>
      </c>
      <c r="C5508" s="2" t="s">
        <v>594</v>
      </c>
      <c r="D5508" s="2" t="str">
        <f t="shared" si="85"/>
        <v>Error?</v>
      </c>
    </row>
    <row r="5509" spans="1:4" x14ac:dyDescent="0.2">
      <c r="A5509" s="5">
        <v>5448</v>
      </c>
      <c r="B5509" s="138">
        <f>'Revenues 9-14'!E5</f>
        <v>33153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33153</v>
      </c>
      <c r="C5513" s="2" t="s">
        <v>594</v>
      </c>
      <c r="D5513" s="2" t="str">
        <f t="shared" si="85"/>
        <v>Error?</v>
      </c>
    </row>
    <row r="5514" spans="1:4" x14ac:dyDescent="0.2">
      <c r="A5514" s="5">
        <v>5453</v>
      </c>
      <c r="B5514" s="138">
        <f>'Revenues 9-14'!E14</f>
        <v>96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96</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33249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33249</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7310</v>
      </c>
      <c r="D5617" s="2" t="str">
        <f t="shared" si="86"/>
        <v>Error?</v>
      </c>
    </row>
    <row r="5618" spans="1:4" x14ac:dyDescent="0.2">
      <c r="A5618" s="5">
        <v>5557</v>
      </c>
      <c r="B5618" s="138">
        <f>'Revenues 9-14'!F154</f>
        <v>7310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7310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7310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7310</v>
      </c>
      <c r="C5720" s="2" t="s">
        <v>594</v>
      </c>
      <c r="D5720" s="2" t="str">
        <f t="shared" si="88"/>
        <v>Error?</v>
      </c>
    </row>
    <row r="5721" spans="1:4" x14ac:dyDescent="0.2">
      <c r="A5721" s="5">
        <v>5660</v>
      </c>
      <c r="B5721" s="138">
        <f>'Revenues 9-14'!G5</f>
        <v>53497</v>
      </c>
      <c r="D5721" s="2" t="str">
        <f t="shared" si="88"/>
        <v>Error?</v>
      </c>
    </row>
    <row r="5722" spans="1:4" x14ac:dyDescent="0.2">
      <c r="A5722" s="5">
        <v>5661</v>
      </c>
      <c r="B5722" s="138">
        <f>'Revenues 9-14'!G7</f>
        <v>0</v>
      </c>
      <c r="D5722" s="2" t="str">
        <f t="shared" si="88"/>
        <v>Error?</v>
      </c>
    </row>
    <row r="5723" spans="1:4" x14ac:dyDescent="0.2">
      <c r="A5723" s="5">
        <v>5662</v>
      </c>
      <c r="B5723" s="138">
        <f>'Revenues 9-14'!G8</f>
        <v>40187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93684</v>
      </c>
      <c r="C5725" s="2" t="s">
        <v>594</v>
      </c>
      <c r="D5725" s="2" t="str">
        <f t="shared" si="88"/>
        <v>Error?</v>
      </c>
    </row>
    <row r="5726" spans="1:4" x14ac:dyDescent="0.2">
      <c r="A5726" s="5">
        <v>5665</v>
      </c>
      <c r="B5726" s="138">
        <f>'Revenues 9-14'!G14</f>
        <v>273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773</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94457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11422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11422</v>
      </c>
      <c r="C5918" s="2" t="s">
        <v>594</v>
      </c>
      <c r="D5918" s="2" t="str">
        <f t="shared" si="91"/>
        <v>Error?</v>
      </c>
    </row>
    <row r="5919" spans="1:4" x14ac:dyDescent="0.2">
      <c r="A5919" s="5">
        <v>5858</v>
      </c>
      <c r="B5919" s="138">
        <f>'Revenues 9-14'!I14</f>
        <v>33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33</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11455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12398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12398</v>
      </c>
      <c r="C5987" s="2" t="s">
        <v>594</v>
      </c>
      <c r="D5987" s="2" t="str">
        <f t="shared" si="92"/>
        <v>Error?</v>
      </c>
    </row>
    <row r="5988" spans="1:4" x14ac:dyDescent="0.2">
      <c r="A5988" s="5">
        <v>5927</v>
      </c>
      <c r="B5988" s="138">
        <f>'Revenues 9-14'!K14</f>
        <v>36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36</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12434</v>
      </c>
      <c r="C6023" s="2" t="s">
        <v>594</v>
      </c>
      <c r="D6023" s="2" t="str">
        <f t="shared" si="93"/>
        <v>Error?</v>
      </c>
    </row>
    <row r="6024" spans="1:5" x14ac:dyDescent="0.2">
      <c r="A6024" s="5">
        <v>5963</v>
      </c>
      <c r="B6024" s="138">
        <f>'Revenues 9-14'!G109</f>
        <v>94457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11455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12434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6691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9830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248.48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55063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55063</v>
      </c>
      <c r="D6215" s="2" t="str">
        <f t="shared" si="96"/>
        <v>Error?</v>
      </c>
      <c r="E6215" s="2" t="s">
        <v>199</v>
      </c>
    </row>
    <row r="6216" spans="1:5" x14ac:dyDescent="0.2">
      <c r="A6216">
        <v>6155</v>
      </c>
      <c r="B6216" s="138">
        <f>'Assets-Liab 5-6'!J41</f>
        <v>55063</v>
      </c>
      <c r="D6216" s="2" t="str">
        <f t="shared" si="96"/>
        <v>Error?</v>
      </c>
      <c r="E6216" s="2" t="s">
        <v>199</v>
      </c>
    </row>
    <row r="6217" spans="1:5" x14ac:dyDescent="0.2">
      <c r="A6217">
        <v>6156</v>
      </c>
      <c r="B6217" s="138">
        <f>'Assets-Liab 5-6'!J4</f>
        <v>55063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98239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98239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98239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104299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104299</v>
      </c>
      <c r="D6229" s="2" t="str">
        <f t="shared" si="96"/>
        <v>Error?</v>
      </c>
      <c r="E6229" s="2" t="s">
        <v>199</v>
      </c>
    </row>
    <row r="6230" spans="1:5" x14ac:dyDescent="0.2">
      <c r="A6230">
        <v>6169</v>
      </c>
      <c r="B6230" s="138">
        <f>'Acct Summary 7-8'!J20</f>
        <v>-6060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-6060</v>
      </c>
      <c r="D6263" s="2" t="str">
        <f t="shared" si="96"/>
        <v>Error?</v>
      </c>
      <c r="E6263" s="2" t="s">
        <v>199</v>
      </c>
    </row>
    <row r="6264" spans="1:5" x14ac:dyDescent="0.2">
      <c r="A6264">
        <v>6203</v>
      </c>
      <c r="B6264" s="138">
        <f>'Acct Summary 7-8'!J79</f>
        <v>61123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55063</v>
      </c>
      <c r="D6266" s="2" t="str">
        <f t="shared" si="96"/>
        <v>Error?</v>
      </c>
      <c r="E6266" s="2" t="s">
        <v>199</v>
      </c>
    </row>
    <row r="6267" spans="1:5" x14ac:dyDescent="0.2">
      <c r="A6267">
        <v>6206</v>
      </c>
      <c r="B6267" s="138">
        <f>'Acct Summary 7-8'!C82</f>
        <v>251520</v>
      </c>
      <c r="D6267" s="2" t="str">
        <f t="shared" si="96"/>
        <v>Error?</v>
      </c>
      <c r="E6267" s="2" t="s">
        <v>199</v>
      </c>
    </row>
    <row r="6268" spans="1:5" x14ac:dyDescent="0.2">
      <c r="A6268">
        <v>6207</v>
      </c>
      <c r="B6268" s="138">
        <f>'Acct Summary 7-8'!D82</f>
        <v>11027</v>
      </c>
      <c r="D6268" s="2" t="str">
        <f t="shared" si="96"/>
        <v>Error?</v>
      </c>
      <c r="E6268" s="2" t="s">
        <v>199</v>
      </c>
    </row>
    <row r="6269" spans="1:5" x14ac:dyDescent="0.2">
      <c r="A6269">
        <v>6208</v>
      </c>
      <c r="B6269" s="138">
        <f>'Acct Summary 7-8'!E82</f>
        <v>-1406</v>
      </c>
      <c r="D6269" s="2" t="str">
        <f t="shared" si="96"/>
        <v>Error?</v>
      </c>
      <c r="E6269" s="2" t="s">
        <v>199</v>
      </c>
    </row>
    <row r="6270" spans="1:5" x14ac:dyDescent="0.2">
      <c r="A6270">
        <v>6209</v>
      </c>
      <c r="B6270" s="138">
        <f>'Acct Summary 7-8'!F82</f>
        <v>1630</v>
      </c>
      <c r="D6270" s="2" t="str">
        <f t="shared" si="96"/>
        <v>Error?</v>
      </c>
      <c r="E6270" s="2" t="s">
        <v>199</v>
      </c>
    </row>
    <row r="6271" spans="1:5" x14ac:dyDescent="0.2">
      <c r="A6271">
        <v>6210</v>
      </c>
      <c r="B6271" s="138">
        <f>'Acct Summary 7-8'!G82</f>
        <v>52828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-48545</v>
      </c>
      <c r="D6273" s="2" t="str">
        <f t="shared" si="97"/>
        <v>Error?</v>
      </c>
      <c r="E6273" s="2" t="s">
        <v>199</v>
      </c>
    </row>
    <row r="6274" spans="1:5" x14ac:dyDescent="0.2">
      <c r="A6274">
        <v>6213</v>
      </c>
      <c r="B6274" s="138">
        <f>'Acct Summary 7-8'!J82</f>
        <v>-6060</v>
      </c>
      <c r="D6274" s="2" t="str">
        <f t="shared" si="97"/>
        <v>Error?</v>
      </c>
      <c r="E6274" s="2" t="s">
        <v>199</v>
      </c>
    </row>
    <row r="6275" spans="1:5" x14ac:dyDescent="0.2">
      <c r="A6275">
        <v>6214</v>
      </c>
      <c r="B6275" s="138">
        <f>'Acct Summary 7-8'!K82</f>
        <v>-15239</v>
      </c>
      <c r="D6275" s="2" t="str">
        <f t="shared" si="97"/>
        <v>Error?</v>
      </c>
      <c r="E6275" s="2" t="s">
        <v>199</v>
      </c>
    </row>
    <row r="6276" spans="1:5" x14ac:dyDescent="0.2">
      <c r="A6276">
        <v>6215</v>
      </c>
      <c r="B6276" s="138">
        <f>'Acct Summary 7-8'!C83</f>
        <v>0.17278795760264953</v>
      </c>
      <c r="D6276" s="2" t="str">
        <f t="shared" si="97"/>
        <v>Error?</v>
      </c>
      <c r="E6276" s="2" t="s">
        <v>199</v>
      </c>
    </row>
    <row r="6277" spans="1:5" x14ac:dyDescent="0.2">
      <c r="A6277">
        <v>6216</v>
      </c>
      <c r="B6277" s="138">
        <f>'Acct Summary 7-8'!D83</f>
        <v>9.4301058716883032E-2</v>
      </c>
      <c r="D6277" s="2" t="str">
        <f t="shared" si="97"/>
        <v>Error?</v>
      </c>
      <c r="E6277" s="2" t="s">
        <v>199</v>
      </c>
    </row>
    <row r="6278" spans="1:5" x14ac:dyDescent="0.2">
      <c r="A6278">
        <v>6217</v>
      </c>
      <c r="B6278" s="138">
        <f>'Acct Summary 7-8'!E83</f>
        <v>-0.23000163585800754</v>
      </c>
      <c r="D6278" s="2" t="str">
        <f t="shared" si="97"/>
        <v>Error?</v>
      </c>
      <c r="E6278" s="2" t="s">
        <v>199</v>
      </c>
    </row>
    <row r="6279" spans="1:5" x14ac:dyDescent="0.2">
      <c r="A6279">
        <v>6218</v>
      </c>
      <c r="B6279" s="138">
        <f>'Acct Summary 7-8'!F83</f>
        <v>0.16509672845133191</v>
      </c>
      <c r="D6279" s="2" t="str">
        <f t="shared" si="97"/>
        <v>Error?</v>
      </c>
      <c r="E6279" s="2" t="s">
        <v>199</v>
      </c>
    </row>
    <row r="6280" spans="1:5" x14ac:dyDescent="0.2">
      <c r="A6280">
        <v>6219</v>
      </c>
      <c r="B6280" s="138">
        <f>'Acct Summary 7-8'!G83</f>
        <v>1.41793488471965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-2.6266096742776757</v>
      </c>
      <c r="D6282" s="2" t="str">
        <f t="shared" si="97"/>
        <v>Error?</v>
      </c>
      <c r="E6282" s="2" t="s">
        <v>199</v>
      </c>
    </row>
    <row r="6283" spans="1:5" x14ac:dyDescent="0.2">
      <c r="A6283">
        <v>6222</v>
      </c>
      <c r="B6283" s="138">
        <f>'Acct Summary 7-8'!J83</f>
        <v>-0.11005575431778145</v>
      </c>
      <c r="D6283" s="2" t="str">
        <f t="shared" si="97"/>
        <v>Error?</v>
      </c>
      <c r="E6283" s="2" t="s">
        <v>199</v>
      </c>
    </row>
    <row r="6284" spans="1:5" x14ac:dyDescent="0.2">
      <c r="A6284">
        <v>6223</v>
      </c>
      <c r="B6284" s="138">
        <f>'Acct Summary 7-8'!K83</f>
        <v>-0.56644240419284098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97954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97954</v>
      </c>
      <c r="D6301" s="2" t="str">
        <f t="shared" si="97"/>
        <v>Error?</v>
      </c>
      <c r="E6301" s="2" t="s">
        <v>199</v>
      </c>
    </row>
    <row r="6302" spans="1:5" x14ac:dyDescent="0.2">
      <c r="A6302">
        <v>6241</v>
      </c>
      <c r="B6302" s="138">
        <f>'Revenues 9-14'!J14</f>
        <v>285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285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98239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104299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98239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8106</v>
      </c>
      <c r="D7093" s="2" t="str">
        <f t="shared" si="109"/>
        <v>Error?</v>
      </c>
    </row>
    <row r="7094" spans="1:4" x14ac:dyDescent="0.2">
      <c r="A7094">
        <v>7033</v>
      </c>
      <c r="B7094" s="138">
        <f>'Expenditures 15-22'!K254</f>
        <v>8106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8586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24572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24572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68172</v>
      </c>
      <c r="D7172" s="2" t="str">
        <f t="shared" si="111"/>
        <v>Error?</v>
      </c>
    </row>
    <row r="7173" spans="1:4" x14ac:dyDescent="0.2">
      <c r="A7173">
        <v>7112</v>
      </c>
      <c r="B7173" s="138">
        <f>'Expenditures 15-22'!D325</f>
        <v>863</v>
      </c>
      <c r="D7173" s="2" t="str">
        <f t="shared" si="111"/>
        <v>Error?</v>
      </c>
    </row>
    <row r="7174" spans="1:4" x14ac:dyDescent="0.2">
      <c r="A7174">
        <v>7113</v>
      </c>
      <c r="B7174" s="138">
        <f>'Expenditures 15-22'!E325</f>
        <v>2048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71083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58</v>
      </c>
      <c r="D7198" s="2" t="str">
        <f t="shared" si="111"/>
        <v>Error?</v>
      </c>
    </row>
    <row r="7199" spans="1:4" x14ac:dyDescent="0.2">
      <c r="A7199">
        <v>7138</v>
      </c>
      <c r="B7199" s="138">
        <f>'Expenditures 15-22'!C330</f>
        <v>68172</v>
      </c>
      <c r="D7199" s="2" t="str">
        <f t="shared" si="111"/>
        <v>Error?</v>
      </c>
    </row>
    <row r="7200" spans="1:4" x14ac:dyDescent="0.2">
      <c r="A7200">
        <v>7139</v>
      </c>
      <c r="B7200" s="138">
        <f>'Expenditures 15-22'!D330</f>
        <v>863</v>
      </c>
      <c r="D7200" s="2" t="str">
        <f t="shared" si="111"/>
        <v>Error?</v>
      </c>
    </row>
    <row r="7201" spans="1:4" x14ac:dyDescent="0.2">
      <c r="A7201">
        <v>7140</v>
      </c>
      <c r="B7201" s="138">
        <f>'Expenditures 15-22'!E330</f>
        <v>35264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104299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68172</v>
      </c>
      <c r="D7216" s="2" t="str">
        <f t="shared" si="111"/>
        <v>Error?</v>
      </c>
    </row>
    <row r="7217" spans="1:4" x14ac:dyDescent="0.2">
      <c r="A7217">
        <v>7156</v>
      </c>
      <c r="B7217" s="138">
        <f>'Expenditures 15-22'!D342</f>
        <v>863</v>
      </c>
      <c r="D7217" s="2" t="str">
        <f t="shared" si="111"/>
        <v>Error?</v>
      </c>
    </row>
    <row r="7218" spans="1:4" x14ac:dyDescent="0.2">
      <c r="A7218">
        <v>7157</v>
      </c>
      <c r="B7218" s="138">
        <f>'Expenditures 15-22'!E342</f>
        <v>35264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104299</v>
      </c>
      <c r="D7224" s="2" t="str">
        <f t="shared" si="111"/>
        <v>Error?</v>
      </c>
    </row>
    <row r="7225" spans="1:4" x14ac:dyDescent="0.2">
      <c r="A7225">
        <v>7164</v>
      </c>
      <c r="B7225" s="138">
        <f>'Expenditures 15-22'!K343</f>
        <v>-6060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84539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4875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29'!D26</f>
        <v>80081</v>
      </c>
      <c r="D7797" s="2" t="str">
        <f t="shared" si="127"/>
        <v>Error?</v>
      </c>
      <c r="E7797" s="4" t="s">
        <v>2016</v>
      </c>
    </row>
    <row r="7798" spans="1:5" x14ac:dyDescent="0.2">
      <c r="A7798">
        <v>7737</v>
      </c>
      <c r="B7798" s="138">
        <f>'Contracts Paid in CY 29'!F26</f>
        <v>49358</v>
      </c>
      <c r="D7798" s="2" t="str">
        <f t="shared" si="127"/>
        <v>Error?</v>
      </c>
      <c r="E7798" s="4" t="s">
        <v>2016</v>
      </c>
    </row>
    <row r="7799" spans="1:5" x14ac:dyDescent="0.2">
      <c r="A7799">
        <v>7738</v>
      </c>
      <c r="B7799" s="138">
        <f>'Contracts Paid in CY 29'!G26</f>
        <v>30723</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I33" sqref="I3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88" t="str">
        <f>'Single Audit Cover'!A7</f>
        <v>Summersville Grade School #79</v>
      </c>
      <c r="C1" s="2389"/>
      <c r="D1" s="2389"/>
      <c r="E1" s="2389"/>
      <c r="F1" s="2389"/>
      <c r="G1" s="2389"/>
      <c r="H1" s="2389"/>
      <c r="I1" s="2389"/>
      <c r="J1" s="1421"/>
    </row>
    <row r="2" spans="2:10" s="317" customFormat="1" ht="12.75" customHeight="1" x14ac:dyDescent="0.2">
      <c r="B2" s="2390">
        <f>'Single Audit Cover'!E7</f>
        <v>13041079002</v>
      </c>
      <c r="C2" s="2391"/>
      <c r="D2" s="2391"/>
      <c r="E2" s="2391"/>
      <c r="F2" s="2391"/>
      <c r="G2" s="2391"/>
      <c r="H2" s="2391"/>
      <c r="I2" s="2391"/>
      <c r="J2" s="1421"/>
    </row>
    <row r="3" spans="2:10" s="317" customFormat="1" ht="12.75" customHeight="1" x14ac:dyDescent="0.2">
      <c r="B3" s="2392" t="s">
        <v>1347</v>
      </c>
      <c r="C3" s="2393"/>
      <c r="D3" s="2393"/>
      <c r="E3" s="2393"/>
      <c r="F3" s="2393"/>
      <c r="G3" s="2393"/>
      <c r="H3" s="2393"/>
      <c r="I3" s="2393"/>
      <c r="J3" s="1422"/>
    </row>
    <row r="4" spans="2:10" s="317" customFormat="1" ht="12.75" customHeight="1" x14ac:dyDescent="0.2">
      <c r="B4" s="2392" t="str">
        <f>'Single Audit Cover'!A4</f>
        <v>Year Ending June 30, 2018</v>
      </c>
      <c r="C4" s="2393"/>
      <c r="D4" s="2393"/>
      <c r="E4" s="2393"/>
      <c r="F4" s="2393"/>
      <c r="G4" s="2393"/>
      <c r="H4" s="2393"/>
      <c r="I4" s="2393"/>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392" t="s">
        <v>1346</v>
      </c>
      <c r="C7" s="2393"/>
      <c r="D7" s="2393"/>
      <c r="E7" s="2393"/>
      <c r="F7" s="2393"/>
      <c r="G7" s="2393"/>
      <c r="H7" s="2393"/>
      <c r="I7" s="2393"/>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394" t="s">
        <v>1226</v>
      </c>
      <c r="D11" s="2394"/>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2073</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t="s">
        <v>2073</v>
      </c>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2073</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395"/>
      <c r="E29" s="2395"/>
      <c r="F29" s="2395"/>
      <c r="G29" s="2395"/>
      <c r="H29" s="2395"/>
      <c r="I29" s="2395"/>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396" t="s">
        <v>1851</v>
      </c>
      <c r="D37" s="2397"/>
      <c r="E37" s="2397"/>
      <c r="F37" s="2398"/>
      <c r="G37" s="2396" t="s">
        <v>1674</v>
      </c>
      <c r="H37" s="2397"/>
      <c r="I37" s="2398"/>
    </row>
    <row r="38" spans="2:9" ht="16.5" customHeight="1" x14ac:dyDescent="0.2">
      <c r="B38" s="1443"/>
      <c r="C38" s="2384"/>
      <c r="D38" s="2385"/>
      <c r="E38" s="2385"/>
      <c r="F38" s="2386"/>
      <c r="G38" s="2399"/>
      <c r="H38" s="2400"/>
      <c r="I38" s="2401"/>
    </row>
    <row r="39" spans="2:9" ht="16.5" customHeight="1" x14ac:dyDescent="0.2">
      <c r="B39" s="1443"/>
      <c r="C39" s="2384"/>
      <c r="D39" s="2385"/>
      <c r="E39" s="2385"/>
      <c r="F39" s="2386"/>
      <c r="G39" s="2387"/>
      <c r="H39" s="2387"/>
      <c r="I39" s="2387"/>
    </row>
    <row r="40" spans="2:9" ht="16.5" customHeight="1" x14ac:dyDescent="0.2">
      <c r="B40" s="1443"/>
      <c r="C40" s="2384"/>
      <c r="D40" s="2385"/>
      <c r="E40" s="2385"/>
      <c r="F40" s="2386"/>
      <c r="G40" s="2387"/>
      <c r="H40" s="2387"/>
      <c r="I40" s="2387"/>
    </row>
    <row r="41" spans="2:9" ht="16.5" customHeight="1" x14ac:dyDescent="0.2">
      <c r="B41" s="1443"/>
      <c r="C41" s="2384"/>
      <c r="D41" s="2385"/>
      <c r="E41" s="2385"/>
      <c r="F41" s="2386"/>
      <c r="G41" s="2387"/>
      <c r="H41" s="2387"/>
      <c r="I41" s="2387"/>
    </row>
    <row r="42" spans="2:9" ht="16.5" customHeight="1" x14ac:dyDescent="0.2">
      <c r="B42" s="1443"/>
      <c r="C42" s="2384"/>
      <c r="D42" s="2385"/>
      <c r="E42" s="2385"/>
      <c r="F42" s="2386"/>
      <c r="G42" s="2387"/>
      <c r="H42" s="2387"/>
      <c r="I42" s="2387"/>
    </row>
    <row r="43" spans="2:9" ht="16.5" customHeight="1" x14ac:dyDescent="0.2">
      <c r="B43" s="1443"/>
      <c r="C43" s="2377" t="s">
        <v>1675</v>
      </c>
      <c r="D43" s="2378"/>
      <c r="E43" s="2378"/>
      <c r="F43" s="2379"/>
      <c r="G43" s="2380">
        <f>SUM(G38:I42)</f>
        <v>0</v>
      </c>
      <c r="H43" s="2380"/>
      <c r="I43" s="2380"/>
    </row>
    <row r="44" spans="2:9" ht="12.75" customHeight="1" x14ac:dyDescent="0.2"/>
    <row r="45" spans="2:9" ht="12.75" customHeight="1" x14ac:dyDescent="0.2">
      <c r="B45" s="1434" t="s">
        <v>1948</v>
      </c>
      <c r="D45" s="2381">
        <v>0</v>
      </c>
      <c r="E45" s="2382"/>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383"/>
      <c r="F49" s="2383"/>
      <c r="G49" s="2383"/>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37"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 sqref="B3:K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8" t="str">
        <f>'Single Audit Cover'!A7</f>
        <v>Summersville Grade School #79</v>
      </c>
      <c r="C1" s="2388"/>
      <c r="D1" s="2388"/>
      <c r="E1" s="2388"/>
      <c r="F1" s="2388"/>
      <c r="G1" s="2388"/>
      <c r="H1" s="2388"/>
      <c r="I1" s="2388"/>
      <c r="J1" s="2388"/>
      <c r="K1" s="2388"/>
      <c r="L1" s="1373"/>
      <c r="M1" s="1373"/>
    </row>
    <row r="2" spans="1:13" ht="12" customHeight="1" x14ac:dyDescent="0.2">
      <c r="B2" s="2390">
        <f>'Single Audit Cover'!E7</f>
        <v>13041079002</v>
      </c>
      <c r="C2" s="2390"/>
      <c r="D2" s="2390"/>
      <c r="E2" s="2390"/>
      <c r="F2" s="2390"/>
      <c r="G2" s="2390"/>
      <c r="H2" s="2390"/>
      <c r="I2" s="2390"/>
      <c r="J2" s="2390"/>
      <c r="K2" s="2390"/>
      <c r="L2" s="1374"/>
      <c r="M2" s="1375"/>
    </row>
    <row r="3" spans="1:13" ht="15.75" customHeight="1" x14ac:dyDescent="0.2">
      <c r="B3" s="2404" t="s">
        <v>1347</v>
      </c>
      <c r="C3" s="2404"/>
      <c r="D3" s="2404"/>
      <c r="E3" s="2404"/>
      <c r="F3" s="2404"/>
      <c r="G3" s="2404"/>
      <c r="H3" s="2404"/>
      <c r="I3" s="2404"/>
      <c r="J3" s="2404"/>
      <c r="K3" s="2404"/>
      <c r="L3" s="1376"/>
      <c r="M3" s="1376"/>
    </row>
    <row r="4" spans="1:13" ht="14.25" customHeight="1" x14ac:dyDescent="0.2">
      <c r="B4" s="2405" t="str">
        <f>'Single Audit Cover'!A4</f>
        <v>Year Ending June 30, 2018</v>
      </c>
      <c r="C4" s="2405"/>
      <c r="D4" s="2405"/>
      <c r="E4" s="2405"/>
      <c r="F4" s="2405"/>
      <c r="G4" s="2405"/>
      <c r="H4" s="2405"/>
      <c r="I4" s="2405"/>
      <c r="J4" s="2405"/>
      <c r="K4" s="240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5" t="s">
        <v>1363</v>
      </c>
      <c r="C7" s="2405"/>
      <c r="D7" s="2406"/>
      <c r="E7" s="2406"/>
      <c r="F7" s="2406"/>
      <c r="G7" s="2406"/>
      <c r="H7" s="2406"/>
      <c r="I7" s="2406"/>
      <c r="J7" s="2406"/>
      <c r="K7" s="240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1</v>
      </c>
      <c r="E10" s="322"/>
      <c r="F10" s="1386" t="s">
        <v>1362</v>
      </c>
      <c r="G10" s="1387"/>
      <c r="H10" s="1388" t="s">
        <v>1361</v>
      </c>
      <c r="I10" s="1387" t="s">
        <v>2073</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28.5" customHeight="1" x14ac:dyDescent="0.2">
      <c r="B14" s="2407" t="s">
        <v>2087</v>
      </c>
      <c r="C14" s="2407"/>
      <c r="D14" s="2407"/>
      <c r="E14" s="2407"/>
      <c r="F14" s="2407"/>
      <c r="G14" s="2407"/>
      <c r="H14" s="2407"/>
      <c r="I14" s="2407"/>
      <c r="J14" s="2407"/>
      <c r="K14" s="2407"/>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03" t="s">
        <v>2088</v>
      </c>
      <c r="C17" s="2403"/>
      <c r="D17" s="2403"/>
      <c r="E17" s="2403"/>
      <c r="F17" s="2403"/>
      <c r="G17" s="2403"/>
      <c r="H17" s="2403"/>
      <c r="I17" s="2403"/>
      <c r="J17" s="2403"/>
      <c r="K17" s="2403"/>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9.1" customHeight="1" x14ac:dyDescent="0.2">
      <c r="B20" s="2408" t="s">
        <v>2089</v>
      </c>
      <c r="C20" s="2408"/>
      <c r="D20" s="2403"/>
      <c r="E20" s="2403"/>
      <c r="F20" s="2403"/>
      <c r="G20" s="2403"/>
      <c r="H20" s="2403"/>
      <c r="I20" s="2403"/>
      <c r="J20" s="2403"/>
      <c r="K20" s="240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3" t="s">
        <v>2090</v>
      </c>
      <c r="C23" s="2403"/>
      <c r="D23" s="2403"/>
      <c r="E23" s="2403"/>
      <c r="F23" s="2403"/>
      <c r="G23" s="2403"/>
      <c r="H23" s="2403"/>
      <c r="I23" s="2403"/>
      <c r="J23" s="2403"/>
      <c r="K23" s="240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9.1" customHeight="1" x14ac:dyDescent="0.2">
      <c r="B26" s="2403" t="s">
        <v>2091</v>
      </c>
      <c r="C26" s="2403"/>
      <c r="D26" s="2403"/>
      <c r="E26" s="2403"/>
      <c r="F26" s="2403"/>
      <c r="G26" s="2403"/>
      <c r="H26" s="2403"/>
      <c r="I26" s="2403"/>
      <c r="J26" s="2403"/>
      <c r="K26" s="240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02" t="s">
        <v>2092</v>
      </c>
      <c r="C29" s="2402"/>
      <c r="D29" s="2403"/>
      <c r="E29" s="2403"/>
      <c r="F29" s="2403"/>
      <c r="G29" s="2403"/>
      <c r="H29" s="2403"/>
      <c r="I29" s="2403"/>
      <c r="J29" s="2403"/>
      <c r="K29" s="240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5.1" customHeight="1" x14ac:dyDescent="0.2">
      <c r="B32" s="2402" t="s">
        <v>2093</v>
      </c>
      <c r="C32" s="2402"/>
      <c r="D32" s="2403"/>
      <c r="E32" s="2403"/>
      <c r="F32" s="2403"/>
      <c r="G32" s="2403"/>
      <c r="H32" s="2403"/>
      <c r="I32" s="2403"/>
      <c r="J32" s="2403"/>
      <c r="K32" s="240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8" orientation="portrait" useFirstPageNumber="1" r:id="rId1"/>
  <headerFooter alignWithMargins="0">
    <oddHeader>&amp;L&amp;8Page &amp;P&amp;R&amp;8Page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9" zoomScale="110" zoomScaleNormal="110" workbookViewId="0">
      <selection activeCell="B30" sqref="B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8" t="str">
        <f>'Single Audit Cover'!A7</f>
        <v>Summersville Grade School #79</v>
      </c>
      <c r="C1" s="2388"/>
      <c r="D1" s="2388"/>
      <c r="E1" s="2388"/>
      <c r="F1" s="2388"/>
      <c r="G1" s="2388"/>
      <c r="H1" s="2388"/>
      <c r="I1" s="2388"/>
      <c r="J1" s="2388"/>
      <c r="K1" s="2388"/>
      <c r="L1" s="1373"/>
      <c r="M1" s="1373"/>
    </row>
    <row r="2" spans="1:13" ht="12" customHeight="1" x14ac:dyDescent="0.2">
      <c r="B2" s="2390">
        <f>'Single Audit Cover'!E7</f>
        <v>13041079002</v>
      </c>
      <c r="C2" s="2390"/>
      <c r="D2" s="2390"/>
      <c r="E2" s="2390"/>
      <c r="F2" s="2390"/>
      <c r="G2" s="2390"/>
      <c r="H2" s="2390"/>
      <c r="I2" s="2390"/>
      <c r="J2" s="2390"/>
      <c r="K2" s="2390"/>
      <c r="L2" s="1374"/>
      <c r="M2" s="1375"/>
    </row>
    <row r="3" spans="1:13" ht="15.75" customHeight="1" x14ac:dyDescent="0.2">
      <c r="B3" s="2404" t="s">
        <v>1347</v>
      </c>
      <c r="C3" s="2404"/>
      <c r="D3" s="2404"/>
      <c r="E3" s="2404"/>
      <c r="F3" s="2404"/>
      <c r="G3" s="2404"/>
      <c r="H3" s="2404"/>
      <c r="I3" s="2404"/>
      <c r="J3" s="2404"/>
      <c r="K3" s="2404"/>
      <c r="L3" s="1947"/>
      <c r="M3" s="1947"/>
    </row>
    <row r="4" spans="1:13" ht="14.25" customHeight="1" x14ac:dyDescent="0.2">
      <c r="B4" s="2405" t="str">
        <f>'Single Audit Cover'!A4</f>
        <v>Year Ending June 30, 2018</v>
      </c>
      <c r="C4" s="2405"/>
      <c r="D4" s="2405"/>
      <c r="E4" s="2405"/>
      <c r="F4" s="2405"/>
      <c r="G4" s="2405"/>
      <c r="H4" s="2405"/>
      <c r="I4" s="2405"/>
      <c r="J4" s="2405"/>
      <c r="K4" s="240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5" t="s">
        <v>1363</v>
      </c>
      <c r="C7" s="2405"/>
      <c r="D7" s="2406"/>
      <c r="E7" s="2406"/>
      <c r="F7" s="2406"/>
      <c r="G7" s="2406"/>
      <c r="H7" s="2406"/>
      <c r="I7" s="2406"/>
      <c r="J7" s="2406"/>
      <c r="K7" s="240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2</v>
      </c>
      <c r="E10" s="322"/>
      <c r="F10" s="1386" t="s">
        <v>1362</v>
      </c>
      <c r="G10" s="1387"/>
      <c r="H10" s="1388" t="s">
        <v>1361</v>
      </c>
      <c r="I10" s="1387" t="s">
        <v>2073</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61.5" customHeight="1" x14ac:dyDescent="0.2">
      <c r="B14" s="2407" t="s">
        <v>2094</v>
      </c>
      <c r="C14" s="2407"/>
      <c r="D14" s="2407"/>
      <c r="E14" s="2407"/>
      <c r="F14" s="2407"/>
      <c r="G14" s="2407"/>
      <c r="H14" s="2407"/>
      <c r="I14" s="2407"/>
      <c r="J14" s="2407"/>
      <c r="K14" s="2407"/>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03" t="s">
        <v>2102</v>
      </c>
      <c r="C17" s="2403"/>
      <c r="D17" s="2403"/>
      <c r="E17" s="2403"/>
      <c r="F17" s="2403"/>
      <c r="G17" s="2403"/>
      <c r="H17" s="2403"/>
      <c r="I17" s="2403"/>
      <c r="J17" s="2403"/>
      <c r="K17" s="2403"/>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1.75" customHeight="1" x14ac:dyDescent="0.2">
      <c r="B20" s="2408" t="s">
        <v>2095</v>
      </c>
      <c r="C20" s="2408"/>
      <c r="D20" s="2403"/>
      <c r="E20" s="2403"/>
      <c r="F20" s="2403"/>
      <c r="G20" s="2403"/>
      <c r="H20" s="2403"/>
      <c r="I20" s="2403"/>
      <c r="J20" s="2403"/>
      <c r="K20" s="240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3" t="s">
        <v>2096</v>
      </c>
      <c r="C23" s="2403"/>
      <c r="D23" s="2403"/>
      <c r="E23" s="2403"/>
      <c r="F23" s="2403"/>
      <c r="G23" s="2403"/>
      <c r="H23" s="2403"/>
      <c r="I23" s="2403"/>
      <c r="J23" s="2403"/>
      <c r="K23" s="240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1.75" customHeight="1" x14ac:dyDescent="0.2">
      <c r="B26" s="2403" t="s">
        <v>2097</v>
      </c>
      <c r="C26" s="2403"/>
      <c r="D26" s="2403"/>
      <c r="E26" s="2403"/>
      <c r="F26" s="2403"/>
      <c r="G26" s="2403"/>
      <c r="H26" s="2403"/>
      <c r="I26" s="2403"/>
      <c r="J26" s="2403"/>
      <c r="K26" s="240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72.75" customHeight="1" x14ac:dyDescent="0.2">
      <c r="B29" s="2402" t="s">
        <v>2139</v>
      </c>
      <c r="C29" s="2402"/>
      <c r="D29" s="2403"/>
      <c r="E29" s="2403"/>
      <c r="F29" s="2403"/>
      <c r="G29" s="2403"/>
      <c r="H29" s="2403"/>
      <c r="I29" s="2403"/>
      <c r="J29" s="2403"/>
      <c r="K29" s="240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0" customHeight="1" x14ac:dyDescent="0.2">
      <c r="B32" s="2402" t="s">
        <v>2098</v>
      </c>
      <c r="C32" s="2402"/>
      <c r="D32" s="2403"/>
      <c r="E32" s="2403"/>
      <c r="F32" s="2403"/>
      <c r="G32" s="2403"/>
      <c r="H32" s="2403"/>
      <c r="I32" s="2403"/>
      <c r="J32" s="2403"/>
      <c r="K32" s="240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9" orientation="portrait" useFirstPageNumber="1" r:id="rId1"/>
  <headerFooter alignWithMargins="0">
    <oddHeader>&amp;L&amp;8Page &amp;P&amp;R&amp;8Page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80"/>
  <sheetViews>
    <sheetView showGridLines="0" zoomScale="110" zoomScaleNormal="110" workbookViewId="0">
      <selection activeCell="F25" sqref="F25"/>
    </sheetView>
  </sheetViews>
  <sheetFormatPr defaultColWidth="9.140625" defaultRowHeight="12.75" x14ac:dyDescent="0.2"/>
  <cols>
    <col min="1" max="1" width="1.5703125" style="317" customWidth="1"/>
    <col min="2" max="2" width="14.7109375" style="317" customWidth="1"/>
    <col min="3" max="3" width="40.7109375" style="317" customWidth="1"/>
    <col min="4" max="4" width="1.710937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388" t="str">
        <f>'Single Audit Cover'!A7</f>
        <v>Summersville Grade School #79</v>
      </c>
      <c r="C1" s="2388"/>
      <c r="D1" s="2388"/>
      <c r="E1" s="2388"/>
      <c r="F1" s="1490"/>
    </row>
    <row r="2" spans="2:6" s="1281" customFormat="1" ht="12.75" customHeight="1" x14ac:dyDescent="0.2">
      <c r="B2" s="2390">
        <f>'Single Audit Cover'!E7</f>
        <v>13041079002</v>
      </c>
      <c r="C2" s="2390"/>
      <c r="D2" s="2390"/>
      <c r="E2" s="2390"/>
      <c r="F2" s="1491"/>
    </row>
    <row r="3" spans="2:6" ht="12.75" customHeight="1" x14ac:dyDescent="0.2">
      <c r="B3" s="2404" t="s">
        <v>1866</v>
      </c>
      <c r="C3" s="2404"/>
      <c r="D3" s="2404"/>
      <c r="E3" s="2404"/>
      <c r="F3" s="1273"/>
    </row>
    <row r="4" spans="2:6" s="1281" customFormat="1" ht="12.75" customHeight="1" x14ac:dyDescent="0.2">
      <c r="B4" s="2411" t="str">
        <f>'Single Audit Cover'!A4</f>
        <v>Year Ending June 30, 2018</v>
      </c>
      <c r="C4" s="2411"/>
      <c r="D4" s="2411"/>
      <c r="E4" s="2411"/>
      <c r="F4" s="1492"/>
    </row>
    <row r="5" spans="2:6" s="1281" customFormat="1" ht="40.15" customHeight="1" x14ac:dyDescent="0.2">
      <c r="B5" s="1493"/>
      <c r="C5" s="328"/>
      <c r="D5" s="328"/>
      <c r="E5" s="328"/>
      <c r="F5" s="328"/>
    </row>
    <row r="6" spans="2:6" s="1281" customFormat="1" ht="13.5" customHeight="1" x14ac:dyDescent="0.2">
      <c r="B6" s="1494" t="s">
        <v>1382</v>
      </c>
      <c r="C6" s="1494" t="s">
        <v>1381</v>
      </c>
      <c r="D6" s="1494"/>
      <c r="E6" s="1494" t="s">
        <v>1867</v>
      </c>
    </row>
    <row r="7" spans="2:6" ht="13.5" customHeight="1" x14ac:dyDescent="0.2">
      <c r="B7" s="1495"/>
      <c r="C7" s="324"/>
      <c r="D7" s="324"/>
      <c r="E7" s="324"/>
      <c r="F7" s="324"/>
    </row>
    <row r="8" spans="2:6" ht="13.5" customHeight="1" x14ac:dyDescent="0.2">
      <c r="B8" s="1495" t="s">
        <v>2099</v>
      </c>
      <c r="C8" s="2410" t="s">
        <v>2101</v>
      </c>
      <c r="D8" s="1950"/>
      <c r="E8" s="2410" t="s">
        <v>2103</v>
      </c>
      <c r="F8" s="324"/>
    </row>
    <row r="9" spans="2:6" ht="13.5" customHeight="1" x14ac:dyDescent="0.2">
      <c r="B9" s="1495"/>
      <c r="C9" s="2410"/>
      <c r="D9" s="1950"/>
      <c r="E9" s="2410"/>
      <c r="F9" s="324"/>
    </row>
    <row r="10" spans="2:6" ht="13.5" customHeight="1" x14ac:dyDescent="0.2">
      <c r="B10" s="1495"/>
      <c r="C10" s="2410"/>
      <c r="D10" s="1950"/>
      <c r="E10" s="2410"/>
      <c r="F10" s="324"/>
    </row>
    <row r="11" spans="2:6" ht="13.5" customHeight="1" x14ac:dyDescent="0.2">
      <c r="B11" s="1495"/>
      <c r="C11" s="2410"/>
      <c r="D11" s="1950"/>
      <c r="E11" s="2410"/>
      <c r="F11" s="324"/>
    </row>
    <row r="12" spans="2:6" ht="13.5" customHeight="1" x14ac:dyDescent="0.2">
      <c r="B12" s="1495"/>
      <c r="C12" s="2410"/>
      <c r="D12" s="1950"/>
      <c r="E12" s="2410"/>
      <c r="F12" s="324"/>
    </row>
    <row r="13" spans="2:6" ht="13.5" customHeight="1" x14ac:dyDescent="0.2">
      <c r="B13" s="1496"/>
      <c r="C13" s="2410"/>
      <c r="D13" s="1950"/>
      <c r="E13" s="2410"/>
      <c r="F13" s="323"/>
    </row>
    <row r="14" spans="2:6" ht="13.5" customHeight="1" x14ac:dyDescent="0.2">
      <c r="B14" s="1496"/>
      <c r="C14" s="1950"/>
      <c r="D14" s="1950"/>
      <c r="E14" s="1952"/>
      <c r="F14" s="323"/>
    </row>
    <row r="15" spans="2:6" ht="13.5" customHeight="1" x14ac:dyDescent="0.2">
      <c r="B15" s="1496"/>
      <c r="C15" s="1950"/>
      <c r="D15" s="1950"/>
      <c r="E15" s="1952"/>
      <c r="F15" s="323"/>
    </row>
    <row r="16" spans="2:6" ht="13.5" customHeight="1" x14ac:dyDescent="0.2">
      <c r="B16" s="1496"/>
      <c r="C16" s="1950"/>
      <c r="D16" s="1950"/>
      <c r="E16" s="1952"/>
      <c r="F16" s="323"/>
    </row>
    <row r="17" spans="2:6" ht="13.5" customHeight="1" x14ac:dyDescent="0.2">
      <c r="B17" s="1495" t="s">
        <v>2100</v>
      </c>
      <c r="C17" s="2409" t="s">
        <v>2102</v>
      </c>
      <c r="D17" s="323"/>
      <c r="E17" s="2409" t="s">
        <v>2104</v>
      </c>
      <c r="F17" s="323"/>
    </row>
    <row r="18" spans="2:6" ht="13.5" customHeight="1" x14ac:dyDescent="0.2">
      <c r="B18" s="1495"/>
      <c r="C18" s="2409"/>
      <c r="D18" s="323"/>
      <c r="E18" s="2409"/>
      <c r="F18" s="323"/>
    </row>
    <row r="19" spans="2:6" ht="13.5" customHeight="1" x14ac:dyDescent="0.2">
      <c r="B19" s="1495"/>
      <c r="C19" s="2409"/>
      <c r="D19" s="323"/>
      <c r="E19" s="2409"/>
      <c r="F19" s="323"/>
    </row>
    <row r="20" spans="2:6" ht="13.5" customHeight="1" x14ac:dyDescent="0.2">
      <c r="B20" s="1495"/>
      <c r="C20" s="2409"/>
      <c r="D20" s="323"/>
      <c r="E20" s="2409"/>
      <c r="F20" s="323"/>
    </row>
    <row r="21" spans="2:6" ht="13.5" customHeight="1" x14ac:dyDescent="0.2">
      <c r="B21" s="1495"/>
      <c r="C21" s="323"/>
      <c r="D21" s="323"/>
      <c r="E21" s="2409"/>
      <c r="F21" s="323"/>
    </row>
    <row r="22" spans="2:6" ht="13.5" customHeight="1" x14ac:dyDescent="0.2">
      <c r="B22" s="1495"/>
      <c r="C22" s="323"/>
      <c r="D22" s="323"/>
      <c r="E22" s="2409"/>
      <c r="F22" s="323"/>
    </row>
    <row r="23" spans="2:6" ht="13.5" customHeight="1" x14ac:dyDescent="0.2">
      <c r="B23" s="1495"/>
      <c r="C23" s="323"/>
      <c r="D23" s="323"/>
      <c r="E23" s="2409"/>
      <c r="F23" s="323"/>
    </row>
    <row r="24" spans="2:6" ht="13.5" customHeight="1" x14ac:dyDescent="0.2">
      <c r="B24" s="1495"/>
      <c r="C24" s="323"/>
      <c r="D24" s="323"/>
      <c r="E24" s="1951"/>
      <c r="F24" s="323"/>
    </row>
    <row r="25" spans="2:6" ht="13.5" customHeight="1" x14ac:dyDescent="0.2">
      <c r="B25" s="1495"/>
      <c r="C25" s="323"/>
      <c r="D25" s="323"/>
      <c r="E25" s="323"/>
      <c r="F25" s="323"/>
    </row>
    <row r="26" spans="2:6" ht="13.5" customHeight="1" x14ac:dyDescent="0.2">
      <c r="B26" s="1495"/>
      <c r="C26" s="323"/>
      <c r="D26" s="323"/>
      <c r="E26" s="323"/>
      <c r="F26" s="323"/>
    </row>
    <row r="27" spans="2:6" ht="13.5" customHeight="1" x14ac:dyDescent="0.2">
      <c r="B27" s="1495"/>
      <c r="C27" s="323"/>
      <c r="D27" s="323"/>
      <c r="E27" s="323"/>
      <c r="F27" s="323"/>
    </row>
    <row r="28" spans="2:6" ht="13.5" customHeight="1" x14ac:dyDescent="0.2">
      <c r="B28" s="1495"/>
      <c r="C28" s="323"/>
      <c r="D28" s="323"/>
      <c r="E28" s="323"/>
      <c r="F28" s="323"/>
    </row>
    <row r="29" spans="2:6" ht="13.5" customHeight="1" x14ac:dyDescent="0.2">
      <c r="B29" s="1495"/>
      <c r="C29" s="323"/>
      <c r="D29" s="323"/>
      <c r="E29" s="323"/>
      <c r="F29" s="323"/>
    </row>
    <row r="30" spans="2:6" ht="13.5" customHeight="1" x14ac:dyDescent="0.2">
      <c r="B30" s="1495"/>
      <c r="C30" s="323"/>
      <c r="D30" s="323"/>
      <c r="E30" s="323"/>
      <c r="F30" s="323"/>
    </row>
    <row r="31" spans="2:6" ht="13.5" customHeight="1" x14ac:dyDescent="0.2">
      <c r="B31" s="1495"/>
      <c r="C31" s="323"/>
      <c r="D31" s="323"/>
      <c r="E31" s="323"/>
      <c r="F31" s="323"/>
    </row>
    <row r="32" spans="2:6" ht="13.5" customHeight="1" x14ac:dyDescent="0.2">
      <c r="B32" s="1495"/>
      <c r="C32" s="323"/>
      <c r="D32" s="323"/>
      <c r="E32" s="323"/>
      <c r="F32" s="323"/>
    </row>
    <row r="33" spans="2:6" ht="13.5" customHeight="1" x14ac:dyDescent="0.2">
      <c r="B33" s="1495"/>
      <c r="C33" s="323"/>
      <c r="D33" s="323"/>
      <c r="E33" s="323"/>
      <c r="F33" s="323"/>
    </row>
    <row r="34" spans="2:6" ht="13.5" customHeight="1" x14ac:dyDescent="0.2">
      <c r="B34" s="1495"/>
      <c r="C34" s="323"/>
      <c r="D34" s="323"/>
      <c r="E34" s="323"/>
      <c r="F34" s="323"/>
    </row>
    <row r="35" spans="2:6" ht="13.5" customHeight="1" x14ac:dyDescent="0.2">
      <c r="B35" s="1495"/>
      <c r="C35" s="323"/>
      <c r="D35" s="323"/>
      <c r="E35" s="323"/>
      <c r="F35" s="323"/>
    </row>
    <row r="36" spans="2:6" ht="13.5" customHeight="1" x14ac:dyDescent="0.2">
      <c r="B36" s="1495"/>
      <c r="C36" s="323"/>
      <c r="D36" s="323"/>
      <c r="E36" s="323"/>
      <c r="F36" s="323"/>
    </row>
    <row r="37" spans="2:6" ht="13.5" customHeight="1" x14ac:dyDescent="0.2">
      <c r="B37" s="1495"/>
      <c r="C37" s="323"/>
      <c r="D37" s="323"/>
      <c r="E37" s="323"/>
      <c r="F37" s="323"/>
    </row>
    <row r="38" spans="2:6" ht="13.5" customHeight="1" x14ac:dyDescent="0.2">
      <c r="B38" s="1495"/>
      <c r="C38" s="323"/>
      <c r="D38" s="323"/>
      <c r="E38" s="323"/>
      <c r="F38" s="323"/>
    </row>
    <row r="39" spans="2:6" ht="13.5" customHeight="1" x14ac:dyDescent="0.2">
      <c r="B39" s="1497"/>
      <c r="C39" s="323"/>
      <c r="D39" s="323"/>
      <c r="E39" s="323"/>
      <c r="F39" s="323"/>
    </row>
    <row r="40" spans="2:6" ht="13.5" customHeight="1" x14ac:dyDescent="0.2">
      <c r="B40" s="1498"/>
      <c r="C40" s="323"/>
      <c r="D40" s="323"/>
      <c r="E40" s="323"/>
      <c r="F40" s="323"/>
    </row>
    <row r="41" spans="2:6" ht="13.5" customHeight="1" x14ac:dyDescent="0.2">
      <c r="B41" s="1499"/>
      <c r="C41" s="323"/>
      <c r="D41" s="323"/>
      <c r="E41" s="323"/>
      <c r="F41" s="323"/>
    </row>
    <row r="42" spans="2:6" ht="13.5" customHeight="1" x14ac:dyDescent="0.2">
      <c r="B42" s="1498"/>
      <c r="C42" s="323"/>
      <c r="D42" s="323"/>
      <c r="E42" s="323"/>
      <c r="F42" s="323"/>
    </row>
    <row r="43" spans="2:6" ht="13.5" customHeight="1" x14ac:dyDescent="0.2">
      <c r="B43" s="1499"/>
      <c r="C43" s="323"/>
      <c r="D43" s="323"/>
      <c r="E43" s="323"/>
      <c r="F43" s="323"/>
    </row>
    <row r="44" spans="2:6" ht="13.5" customHeight="1" x14ac:dyDescent="0.2">
      <c r="B44" s="1499"/>
      <c r="C44" s="323"/>
      <c r="D44" s="323"/>
      <c r="E44" s="323"/>
      <c r="F44" s="323"/>
    </row>
    <row r="45" spans="2:6" ht="13.5" customHeight="1" x14ac:dyDescent="0.2">
      <c r="B45" s="1498"/>
      <c r="C45" s="323"/>
      <c r="D45" s="323"/>
      <c r="E45" s="323"/>
      <c r="F45" s="323"/>
    </row>
    <row r="46" spans="2:6" ht="13.5" customHeight="1" x14ac:dyDescent="0.2">
      <c r="B46" s="1499"/>
      <c r="C46" s="323"/>
      <c r="D46" s="323"/>
      <c r="E46" s="323"/>
      <c r="F46" s="323"/>
    </row>
    <row r="47" spans="2:6" ht="13.5" customHeight="1" x14ac:dyDescent="0.2">
      <c r="B47" s="1498"/>
      <c r="C47" s="323"/>
      <c r="D47" s="323"/>
      <c r="E47" s="323"/>
      <c r="F47" s="323"/>
    </row>
    <row r="48" spans="2:6" ht="13.5" customHeight="1" x14ac:dyDescent="0.2">
      <c r="B48" s="1500"/>
      <c r="C48" s="323"/>
      <c r="D48" s="323"/>
      <c r="E48" s="323"/>
      <c r="F48" s="323"/>
    </row>
    <row r="49" spans="2:6" ht="13.5" customHeight="1" x14ac:dyDescent="0.2">
      <c r="B49" s="1501"/>
      <c r="C49" s="323"/>
      <c r="D49" s="323"/>
      <c r="E49" s="323"/>
      <c r="F49" s="323"/>
    </row>
    <row r="50" spans="2:6" ht="12.75" customHeight="1" x14ac:dyDescent="0.2">
      <c r="B50" s="1502"/>
      <c r="C50" s="1503"/>
      <c r="D50" s="1503"/>
      <c r="E50" s="1503"/>
      <c r="F50" s="323"/>
    </row>
    <row r="51" spans="2:6" ht="12.2" customHeight="1" x14ac:dyDescent="0.2">
      <c r="B51" s="1256" t="s">
        <v>1380</v>
      </c>
      <c r="C51" s="322"/>
      <c r="D51" s="322"/>
    </row>
    <row r="52" spans="2:6" ht="12.2" customHeight="1" x14ac:dyDescent="0.2">
      <c r="B52" s="1504" t="s">
        <v>1868</v>
      </c>
    </row>
    <row r="53" spans="2:6" ht="12.2" customHeight="1" x14ac:dyDescent="0.2">
      <c r="B53" s="1504" t="s">
        <v>1869</v>
      </c>
    </row>
    <row r="54" spans="2:6" ht="12.2" customHeight="1" x14ac:dyDescent="0.2">
      <c r="B54" s="1505" t="s">
        <v>1379</v>
      </c>
    </row>
    <row r="55" spans="2:6" ht="12.2" customHeight="1" x14ac:dyDescent="0.2">
      <c r="B55" s="1505" t="s">
        <v>1378</v>
      </c>
    </row>
    <row r="56" spans="2:6" ht="12.2" customHeight="1" x14ac:dyDescent="0.2">
      <c r="B56" s="1505" t="s">
        <v>1377</v>
      </c>
    </row>
    <row r="57" spans="2:6" ht="12.2" customHeight="1" x14ac:dyDescent="0.2">
      <c r="B57" s="1505" t="s">
        <v>1376</v>
      </c>
    </row>
    <row r="60" spans="2:6" ht="12.75" customHeight="1" x14ac:dyDescent="0.2"/>
    <row r="61" spans="2:6" ht="12.75" customHeight="1" x14ac:dyDescent="0.2">
      <c r="B61" s="1266"/>
    </row>
    <row r="62" spans="2:6" ht="12.75" customHeight="1" x14ac:dyDescent="0.2"/>
    <row r="63" spans="2:6" ht="12.75" customHeight="1" x14ac:dyDescent="0.2">
      <c r="B63" s="322"/>
      <c r="C63" s="322"/>
      <c r="D63" s="322"/>
      <c r="E63" s="322"/>
      <c r="F63" s="322"/>
    </row>
    <row r="64" spans="2:6" ht="12.75" customHeight="1" x14ac:dyDescent="0.2">
      <c r="B64" s="322"/>
      <c r="C64" s="322"/>
      <c r="D64" s="322"/>
      <c r="E64" s="322"/>
      <c r="F64" s="322"/>
    </row>
    <row r="65" spans="2:6" ht="12.75" customHeight="1" x14ac:dyDescent="0.2">
      <c r="B65" s="322"/>
      <c r="C65" s="322"/>
      <c r="D65" s="322"/>
      <c r="E65" s="322"/>
      <c r="F65" s="322"/>
    </row>
    <row r="66" spans="2:6" ht="12.75" customHeight="1" x14ac:dyDescent="0.2">
      <c r="B66" s="322"/>
      <c r="C66" s="322"/>
      <c r="D66" s="322"/>
      <c r="E66" s="322"/>
      <c r="F66" s="322"/>
    </row>
    <row r="67" spans="2:6" ht="12.75" customHeight="1" x14ac:dyDescent="0.2">
      <c r="B67" s="322"/>
      <c r="C67" s="322"/>
      <c r="D67" s="322"/>
      <c r="E67" s="322"/>
      <c r="F67" s="322"/>
    </row>
    <row r="68" spans="2:6" ht="12.75" customHeight="1" x14ac:dyDescent="0.2">
      <c r="B68" s="322"/>
      <c r="C68" s="322"/>
      <c r="D68" s="322"/>
      <c r="E68" s="322"/>
      <c r="F68" s="322"/>
    </row>
    <row r="69" spans="2:6" ht="12.75" customHeight="1" x14ac:dyDescent="0.2">
      <c r="B69" s="322"/>
      <c r="C69" s="322"/>
      <c r="D69" s="322"/>
      <c r="E69" s="322"/>
      <c r="F69" s="322"/>
    </row>
    <row r="70" spans="2:6" ht="12.75" customHeight="1" x14ac:dyDescent="0.2">
      <c r="B70" s="322"/>
      <c r="C70" s="322"/>
      <c r="D70" s="322"/>
      <c r="E70" s="322"/>
      <c r="F70" s="322"/>
    </row>
    <row r="74" spans="2:6" x14ac:dyDescent="0.2">
      <c r="B74" s="1418"/>
    </row>
    <row r="75" spans="2:6" x14ac:dyDescent="0.2">
      <c r="B75" s="1299"/>
    </row>
    <row r="76" spans="2:6" x14ac:dyDescent="0.2">
      <c r="B76" s="1299"/>
    </row>
    <row r="77" spans="2:6" x14ac:dyDescent="0.2">
      <c r="B77" s="1419"/>
    </row>
    <row r="78" spans="2:6" x14ac:dyDescent="0.2">
      <c r="B78" s="1419"/>
    </row>
    <row r="79" spans="2:6" x14ac:dyDescent="0.2">
      <c r="B79" s="1419"/>
    </row>
    <row r="80" spans="2:6" x14ac:dyDescent="0.2">
      <c r="B80" s="1299"/>
    </row>
  </sheetData>
  <mergeCells count="8">
    <mergeCell ref="C17:C20"/>
    <mergeCell ref="E8:E13"/>
    <mergeCell ref="E17:E23"/>
    <mergeCell ref="B1:E1"/>
    <mergeCell ref="B2:E2"/>
    <mergeCell ref="B3:E3"/>
    <mergeCell ref="B4:E4"/>
    <mergeCell ref="C8:C13"/>
  </mergeCells>
  <printOptions horizontalCentered="1"/>
  <pageMargins left="0.32" right="0.27" top="0.52" bottom="0.57999999999999996" header="0.26" footer="0.26"/>
  <pageSetup scale="94" firstPageNumber="40" orientation="portrait" useFirstPageNumber="1" r:id="rId1"/>
  <headerFooter alignWithMargins="0">
    <oddHeader>&amp;L&amp;8Page &amp;P&amp;R&amp;8Page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K37" sqref="K3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5"/>
      <c r="B2" s="1916"/>
      <c r="C2" s="1917"/>
      <c r="D2" s="1918"/>
    </row>
    <row r="3" spans="1:4" ht="36" customHeight="1" x14ac:dyDescent="0.2">
      <c r="A3" s="2412" t="s">
        <v>686</v>
      </c>
      <c r="B3" s="2413"/>
      <c r="C3" s="2413"/>
      <c r="D3" s="2414"/>
    </row>
    <row r="4" spans="1:4" x14ac:dyDescent="0.2">
      <c r="A4" s="1152" t="s">
        <v>1793</v>
      </c>
      <c r="B4" s="1153"/>
      <c r="C4" s="1154"/>
      <c r="D4" s="1155"/>
    </row>
    <row r="5" spans="1:4" ht="21" customHeight="1" x14ac:dyDescent="0.2">
      <c r="A5" s="1148"/>
      <c r="B5" s="1149">
        <v>1</v>
      </c>
      <c r="C5" s="1150" t="s">
        <v>1942</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23" t="s">
        <v>1584</v>
      </c>
      <c r="D7" s="2424"/>
    </row>
    <row r="8" spans="1:4" s="669" customFormat="1" ht="12.75" x14ac:dyDescent="0.2">
      <c r="A8" s="1138"/>
      <c r="B8" s="1093"/>
      <c r="C8" s="1096" t="s">
        <v>1583</v>
      </c>
      <c r="D8" s="1097"/>
    </row>
    <row r="9" spans="1:4" s="669" customFormat="1" ht="14.25" customHeight="1" x14ac:dyDescent="0.2">
      <c r="A9" s="1138"/>
      <c r="B9" s="1093">
        <f>B7+1</f>
        <v>4</v>
      </c>
      <c r="C9" s="1094" t="s">
        <v>2045</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15" t="s">
        <v>1065</v>
      </c>
      <c r="B15" s="2416"/>
      <c r="C15" s="2416"/>
      <c r="D15" s="2417"/>
    </row>
    <row r="16" spans="1:4" s="669" customFormat="1" ht="24" customHeight="1" x14ac:dyDescent="0.2">
      <c r="A16" s="2418" t="s">
        <v>684</v>
      </c>
      <c r="B16" s="2419"/>
      <c r="C16" s="2419"/>
      <c r="D16" s="2420"/>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27" t="s">
        <v>332</v>
      </c>
      <c r="D21" s="2428"/>
    </row>
    <row r="22" spans="1:10" ht="12.75" x14ac:dyDescent="0.2">
      <c r="A22" s="1139"/>
      <c r="B22" s="1140">
        <v>2</v>
      </c>
      <c r="C22" s="2425" t="s">
        <v>1605</v>
      </c>
      <c r="D22" s="2426"/>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29" t="s">
        <v>557</v>
      </c>
      <c r="D43" s="2430"/>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21" t="s">
        <v>817</v>
      </c>
      <c r="D56" s="2422"/>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1079</v>
      </c>
      <c r="D67" s="1125"/>
    </row>
    <row r="68" spans="1:4" x14ac:dyDescent="0.2">
      <c r="A68" s="1100"/>
      <c r="B68" s="1110"/>
      <c r="C68" s="1102" t="s">
        <v>2047</v>
      </c>
      <c r="D68" s="1124" t="str">
        <f>IF('Short-Term Long-Term Debt 24'!F49=SUM(,'Acct Summary 7-8'!C33:K33),"OK","ERROR!")</f>
        <v>OK</v>
      </c>
    </row>
    <row r="69" spans="1:4" x14ac:dyDescent="0.2">
      <c r="A69" s="1100"/>
      <c r="B69" s="1110"/>
      <c r="C69" s="1102" t="s">
        <v>2048</v>
      </c>
      <c r="D69" s="1124" t="str">
        <f>IF('Expenditures 15-22'!H170&lt;&gt;'Short-Term Long-Term Debt 24'!H49,"ERROR!","OK")</f>
        <v>OK</v>
      </c>
    </row>
    <row r="70" spans="1:4" x14ac:dyDescent="0.2">
      <c r="A70" s="1098"/>
      <c r="B70" s="1120">
        <f>B66+1</f>
        <v>9</v>
      </c>
      <c r="C70" s="2421" t="s">
        <v>1797</v>
      </c>
      <c r="D70" s="2422"/>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29'!D26&gt;0,"OK","PLEASE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51" right="0.2" top="0.55000000000000004" bottom="0.5" header="0.25" footer="0.25"/>
  <pageSetup scale="70" firstPageNumber="32" orientation="portrait" r:id="rId1"/>
  <headerFooter alignWithMargins="0">
    <oddFooter>&amp;L&amp;"Calibri,Regular"&amp;8School No: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23" sqref="B2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62" t="s">
        <v>1252</v>
      </c>
      <c r="B3" s="2462"/>
      <c r="C3" s="2462"/>
      <c r="D3" s="2462"/>
      <c r="E3" s="2462"/>
      <c r="F3" s="2462"/>
      <c r="G3" s="2462"/>
      <c r="H3" s="2462"/>
      <c r="I3" s="2462"/>
      <c r="J3" s="2462"/>
      <c r="K3" s="2462"/>
      <c r="L3" s="2462"/>
    </row>
    <row r="4" spans="1:29" ht="13.5" customHeight="1" x14ac:dyDescent="0.2">
      <c r="A4" s="2431" t="s">
        <v>1799</v>
      </c>
      <c r="B4" s="2452"/>
      <c r="C4" s="2452"/>
      <c r="D4" s="2452"/>
      <c r="E4" s="2452"/>
      <c r="F4" s="2452"/>
      <c r="G4" s="2452"/>
      <c r="H4" s="2452"/>
      <c r="I4" s="2452"/>
      <c r="J4" s="2452"/>
      <c r="K4" s="2452"/>
      <c r="L4" s="245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53" t="str">
        <f>COVER!A17</f>
        <v>Summersville Grade School #79</v>
      </c>
      <c r="B7" s="2454"/>
      <c r="C7" s="2454"/>
      <c r="D7" s="2455"/>
      <c r="E7" s="2456">
        <f>COVER!A13</f>
        <v>13041079002</v>
      </c>
      <c r="F7" s="2457"/>
      <c r="G7" s="2463" t="str">
        <f>COVER!T23</f>
        <v>065-012078</v>
      </c>
      <c r="H7" s="2464"/>
      <c r="I7" s="2464"/>
      <c r="J7" s="2464"/>
      <c r="K7" s="2464"/>
      <c r="L7" s="2465"/>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66"/>
      <c r="B9" s="2467"/>
      <c r="C9" s="2467"/>
      <c r="D9" s="2467"/>
      <c r="E9" s="2467"/>
      <c r="F9" s="2468"/>
      <c r="G9" s="2437" t="str">
        <f>COVER!T13</f>
        <v>Emling &amp; Hoffman, P.C.</v>
      </c>
      <c r="H9" s="2469"/>
      <c r="I9" s="2469"/>
      <c r="J9" s="2469"/>
      <c r="K9" s="2469"/>
      <c r="L9" s="2470"/>
    </row>
    <row r="10" spans="1:29" ht="13.5" customHeight="1" x14ac:dyDescent="0.2">
      <c r="A10" s="2443" t="str">
        <f>COVER!A38</f>
        <v>Michael Denault</v>
      </c>
      <c r="B10" s="2444"/>
      <c r="C10" s="2444"/>
      <c r="D10" s="2444"/>
      <c r="E10" s="2444"/>
      <c r="F10" s="2445"/>
      <c r="G10" s="2437" t="str">
        <f>COVER!T17</f>
        <v>105 E Main St</v>
      </c>
      <c r="H10" s="2438"/>
      <c r="I10" s="2438"/>
      <c r="J10" s="2438"/>
      <c r="K10" s="2438"/>
      <c r="L10" s="2439"/>
    </row>
    <row r="11" spans="1:29" ht="13.5" customHeight="1" x14ac:dyDescent="0.2">
      <c r="A11" s="1184" t="s">
        <v>1599</v>
      </c>
      <c r="B11" s="1185"/>
      <c r="C11" s="1186"/>
      <c r="D11" s="1191"/>
      <c r="E11" s="1186"/>
      <c r="F11" s="1190"/>
      <c r="G11" s="2437" t="str">
        <f>COVER!T19</f>
        <v>Du Quoin</v>
      </c>
      <c r="H11" s="2438"/>
      <c r="I11" s="2438"/>
      <c r="J11" s="2438"/>
      <c r="K11" s="2438"/>
      <c r="L11" s="2439"/>
    </row>
    <row r="12" spans="1:29" ht="13.5" customHeight="1" x14ac:dyDescent="0.2">
      <c r="A12" s="2446" t="s">
        <v>1598</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1600</v>
      </c>
      <c r="H13" s="2433"/>
      <c r="I13" s="2449" t="str">
        <f>COVER!T25</f>
        <v>donhoffman@emlingcpa.com</v>
      </c>
      <c r="J13" s="2450"/>
      <c r="K13" s="2450"/>
      <c r="L13" s="2451"/>
    </row>
    <row r="14" spans="1:29" ht="13.5" customHeight="1" x14ac:dyDescent="0.2">
      <c r="A14" s="2437" t="str">
        <f>COVER!A19</f>
        <v>1118 East Fairfield Road</v>
      </c>
      <c r="B14" s="2438"/>
      <c r="C14" s="2438"/>
      <c r="D14" s="2438"/>
      <c r="E14" s="2438"/>
      <c r="F14" s="2439"/>
      <c r="G14" s="1195" t="s">
        <v>1247</v>
      </c>
      <c r="H14" s="1193"/>
      <c r="I14" s="1193"/>
      <c r="J14" s="1193"/>
      <c r="K14" s="1193"/>
      <c r="L14" s="1194"/>
    </row>
    <row r="15" spans="1:29" ht="13.5" customHeight="1" x14ac:dyDescent="0.2">
      <c r="A15" s="2437" t="str">
        <f>COVER!A21</f>
        <v>Mt. Vernon</v>
      </c>
      <c r="B15" s="2438"/>
      <c r="C15" s="2438"/>
      <c r="D15" s="2438"/>
      <c r="E15" s="2438"/>
      <c r="F15" s="2439"/>
      <c r="G15" s="2434" t="str">
        <f>COVER!T15</f>
        <v>Donald L. Hoffman</v>
      </c>
      <c r="H15" s="2435"/>
      <c r="I15" s="2435"/>
      <c r="J15" s="2435"/>
      <c r="K15" s="2435"/>
      <c r="L15" s="2436"/>
    </row>
    <row r="16" spans="1:29" ht="12.2" customHeight="1" x14ac:dyDescent="0.2">
      <c r="A16" s="2459">
        <f>COVER!A25</f>
        <v>62864</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5" t="s">
        <v>1246</v>
      </c>
      <c r="H17" s="1193"/>
      <c r="I17" s="1193"/>
      <c r="J17" s="1193"/>
      <c r="K17" s="1197" t="s">
        <v>1245</v>
      </c>
      <c r="L17" s="1190"/>
      <c r="M17" s="1183"/>
    </row>
    <row r="18" spans="1:13" ht="12.2" customHeight="1" x14ac:dyDescent="0.2">
      <c r="A18" s="2443"/>
      <c r="B18" s="2444"/>
      <c r="C18" s="2444"/>
      <c r="D18" s="2444"/>
      <c r="E18" s="2444"/>
      <c r="F18" s="2445"/>
      <c r="G18" s="2453" t="str">
        <f>COVER!T21</f>
        <v>618-542-4747</v>
      </c>
      <c r="H18" s="2454"/>
      <c r="I18" s="2454"/>
      <c r="J18" s="2454"/>
      <c r="K18" s="2453" t="str">
        <f>COVER!X21</f>
        <v>618-542-6141</v>
      </c>
      <c r="L18" s="245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5" fitToHeight="0"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2137</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t="s">
        <v>2138</v>
      </c>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2074</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2018</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19" right="0.16" top="0.39" bottom="0.33" header="0.19" footer="0.17"/>
  <pageSetup scale="85" firstPageNumber="2" orientation="portrait" useFirstPageNumber="1" r:id="rId1"/>
  <headerFooter differentOddEven="1" alignWithMargins="0">
    <oddHeader>&amp;L&amp;"Calibri,Regular"&amp;8Page &amp;P&amp;C &amp;R&amp;"Calibri,Regular"&amp;8Page &amp;P</oddHeader>
    <oddFooter>&amp;L&amp;"Calibri,Regular"&amp;8Printed: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8"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75" t="str">
        <f>'Single Audit Cover'!A7</f>
        <v>Summersville Grade School #79</v>
      </c>
      <c r="B1" s="2452"/>
      <c r="C1" s="2452"/>
      <c r="D1" s="2452"/>
    </row>
    <row r="2" spans="1:11" s="1214" customFormat="1" ht="12.75" x14ac:dyDescent="0.2">
      <c r="A2" s="2476">
        <f>'Single Audit Cover'!E7</f>
        <v>13041079002</v>
      </c>
      <c r="B2" s="2477"/>
      <c r="C2" s="2477"/>
      <c r="D2" s="2477"/>
    </row>
    <row r="3" spans="1:11" s="1214" customFormat="1" ht="12.75" x14ac:dyDescent="0.2">
      <c r="A3" s="2475" t="s">
        <v>1593</v>
      </c>
      <c r="B3" s="2452"/>
      <c r="C3" s="2452"/>
      <c r="D3" s="2452"/>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firstPageNumber="36" fitToHeight="0" orientation="portrait" useFirstPageNumber="1"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79" t="str">
        <f>'Single Audit Cover'!A7</f>
        <v>Summersville Grade School #79</v>
      </c>
      <c r="B1" s="2479"/>
      <c r="C1" s="2479"/>
      <c r="D1" s="2479"/>
      <c r="E1" s="2479"/>
    </row>
    <row r="2" spans="1:5" x14ac:dyDescent="0.2">
      <c r="A2" s="2480">
        <f>'Single Audit Cover'!E7</f>
        <v>13041079002</v>
      </c>
      <c r="B2" s="2480"/>
      <c r="C2" s="2480"/>
      <c r="D2" s="2480"/>
      <c r="E2" s="2480"/>
    </row>
    <row r="3" spans="1:5" ht="4.5" customHeight="1" x14ac:dyDescent="0.2"/>
    <row r="4" spans="1:5" x14ac:dyDescent="0.2">
      <c r="A4" s="2479" t="s">
        <v>1307</v>
      </c>
      <c r="B4" s="2479"/>
      <c r="C4" s="2479"/>
      <c r="D4" s="2479"/>
      <c r="E4" s="2479"/>
    </row>
    <row r="5" spans="1:5" x14ac:dyDescent="0.2">
      <c r="A5" s="2482" t="str">
        <f>'Single Audit Cover'!A4</f>
        <v>Year Ending June 30, 2018</v>
      </c>
      <c r="B5" s="2482"/>
      <c r="C5" s="2482"/>
      <c r="D5" s="2482"/>
      <c r="E5" s="2482"/>
    </row>
    <row r="6" spans="1:5" x14ac:dyDescent="0.2">
      <c r="A6" s="2479" t="s">
        <v>1306</v>
      </c>
      <c r="B6" s="2479"/>
      <c r="C6" s="2479"/>
      <c r="D6" s="2479"/>
      <c r="E6" s="2479"/>
    </row>
    <row r="8" spans="1:5" x14ac:dyDescent="0.2">
      <c r="A8" s="1259" t="s">
        <v>1305</v>
      </c>
    </row>
    <row r="10" spans="1:5" x14ac:dyDescent="0.2">
      <c r="A10" s="1260" t="s">
        <v>1304</v>
      </c>
      <c r="B10" s="1261" t="s">
        <v>1303</v>
      </c>
      <c r="C10" s="1261"/>
      <c r="D10" s="1262">
        <f>SUM('Acct Summary 7-8'!C7:K7)</f>
        <v>242204</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9830</v>
      </c>
    </row>
    <row r="15" spans="1:5" x14ac:dyDescent="0.2">
      <c r="A15" s="1260"/>
      <c r="B15" s="1261"/>
      <c r="C15" s="1261"/>
    </row>
    <row r="16" spans="1:5" x14ac:dyDescent="0.2">
      <c r="A16" s="1260" t="s">
        <v>1952</v>
      </c>
      <c r="B16" s="1261"/>
      <c r="C16" s="1261"/>
    </row>
    <row r="17" spans="1:4" x14ac:dyDescent="0.2">
      <c r="A17" s="1260" t="s">
        <v>1601</v>
      </c>
      <c r="B17" s="1261" t="s">
        <v>1298</v>
      </c>
      <c r="C17" s="1261"/>
      <c r="D17" s="1263">
        <f>-SUM('Revenues 9-14'!C271:D271,'Revenues 9-14'!F271:G271)</f>
        <v>-6345</v>
      </c>
    </row>
    <row r="19" spans="1:4" ht="13.5" thickBot="1" x14ac:dyDescent="0.25">
      <c r="A19" s="1264" t="s">
        <v>1297</v>
      </c>
      <c r="D19" s="1265">
        <f>SUM(D10:D17)</f>
        <v>245689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81"/>
      <c r="B24" s="2481"/>
      <c r="D24" s="1267"/>
    </row>
    <row r="25" spans="1:4" x14ac:dyDescent="0.2">
      <c r="A25" s="2478"/>
      <c r="B25" s="2478"/>
      <c r="D25" s="1267"/>
    </row>
    <row r="26" spans="1:4" x14ac:dyDescent="0.2">
      <c r="A26" s="2478"/>
      <c r="B26" s="2478"/>
      <c r="D26" s="1267"/>
    </row>
    <row r="27" spans="1:4" x14ac:dyDescent="0.2">
      <c r="A27" s="2478"/>
      <c r="B27" s="2478"/>
      <c r="D27" s="1267"/>
    </row>
    <row r="28" spans="1:4" x14ac:dyDescent="0.2">
      <c r="A28" s="2478"/>
      <c r="B28" s="2478"/>
      <c r="D28" s="1267"/>
    </row>
    <row r="29" spans="1:4" x14ac:dyDescent="0.2">
      <c r="A29" s="2478"/>
      <c r="B29" s="2478"/>
      <c r="D29" s="1267"/>
    </row>
    <row r="30" spans="1:4" x14ac:dyDescent="0.2">
      <c r="A30" s="2478"/>
      <c r="B30" s="2478"/>
      <c r="D30" s="1267"/>
    </row>
    <row r="32" spans="1:4" x14ac:dyDescent="0.2">
      <c r="A32" s="1259" t="s">
        <v>1295</v>
      </c>
      <c r="D32" s="1262">
        <f>SUM(D19:D30)</f>
        <v>245689</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78"/>
      <c r="B40" s="2478"/>
      <c r="D40" s="1267"/>
    </row>
    <row r="41" spans="1:4" x14ac:dyDescent="0.2">
      <c r="A41" s="2478"/>
      <c r="B41" s="2478"/>
      <c r="D41" s="1270"/>
    </row>
    <row r="42" spans="1:4" x14ac:dyDescent="0.2">
      <c r="A42" s="2478"/>
      <c r="B42" s="2478"/>
      <c r="D42" s="1270"/>
    </row>
    <row r="43" spans="1:4" x14ac:dyDescent="0.2">
      <c r="A43" s="2478"/>
      <c r="B43" s="2478"/>
      <c r="D43" s="1270"/>
    </row>
    <row r="44" spans="1:4" x14ac:dyDescent="0.2">
      <c r="A44" s="2478"/>
      <c r="B44" s="2478"/>
      <c r="D44" s="1270"/>
    </row>
    <row r="45" spans="1:4" x14ac:dyDescent="0.2">
      <c r="A45" s="2478"/>
      <c r="B45" s="2478"/>
      <c r="D45" s="1270"/>
    </row>
    <row r="47" spans="1:4" x14ac:dyDescent="0.2">
      <c r="B47" s="1271" t="s">
        <v>1289</v>
      </c>
      <c r="C47" s="1271"/>
      <c r="D47" s="1272">
        <f>SUM(D35:D45)</f>
        <v>0</v>
      </c>
    </row>
    <row r="49" spans="2:4" x14ac:dyDescent="0.2">
      <c r="B49" s="1271" t="s">
        <v>1288</v>
      </c>
      <c r="C49" s="1271"/>
      <c r="D49" s="1272">
        <f>D32-D47</f>
        <v>245689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65" right="0.5" top="0.79" bottom="0.61" header="0.5" footer="0.3"/>
  <pageSetup firstPageNumber="37" orientation="portrait"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34" sqref="A3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93" t="str">
        <f>'Single Audit Cover'!A7</f>
        <v>Summersville Grade School #79</v>
      </c>
      <c r="B1" s="2493"/>
      <c r="C1" s="2493"/>
      <c r="D1" s="2493"/>
      <c r="E1" s="2493"/>
      <c r="F1" s="2493"/>
    </row>
    <row r="2" spans="1:7" ht="13.5" customHeight="1" x14ac:dyDescent="0.2">
      <c r="A2" s="2494">
        <f>'Single Audit Cover'!E7</f>
        <v>13041079002</v>
      </c>
      <c r="B2" s="2494"/>
      <c r="C2" s="2494"/>
      <c r="D2" s="2494"/>
      <c r="E2" s="2494"/>
      <c r="F2" s="2494"/>
      <c r="G2" s="1274"/>
    </row>
    <row r="3" spans="1:7" ht="15.75" customHeight="1" x14ac:dyDescent="0.2">
      <c r="A3" s="2495" t="s">
        <v>1333</v>
      </c>
      <c r="B3" s="2495"/>
      <c r="C3" s="2495"/>
      <c r="D3" s="2495"/>
      <c r="E3" s="2495"/>
      <c r="F3" s="2495"/>
    </row>
    <row r="4" spans="1:7" ht="13.5" customHeight="1" x14ac:dyDescent="0.2">
      <c r="A4" s="2496" t="str">
        <f>'Single Audit Cover'!A4</f>
        <v>Year Ending June 30, 2018</v>
      </c>
      <c r="B4" s="2496"/>
      <c r="C4" s="2496"/>
      <c r="D4" s="2496"/>
      <c r="E4" s="2496"/>
      <c r="F4" s="2496"/>
    </row>
    <row r="5" spans="1:7" ht="8.25" customHeight="1" x14ac:dyDescent="0.2">
      <c r="C5" s="317"/>
      <c r="D5" s="317"/>
    </row>
    <row r="6" spans="1:7" ht="13.5" customHeight="1" x14ac:dyDescent="0.2">
      <c r="A6" s="1275" t="s">
        <v>1831</v>
      </c>
      <c r="C6" s="317"/>
      <c r="D6" s="317"/>
    </row>
    <row r="7" spans="1:7" ht="60.95" customHeight="1" x14ac:dyDescent="0.2">
      <c r="A7" s="2492" t="s">
        <v>2084</v>
      </c>
      <c r="B7" s="2492"/>
      <c r="C7" s="2492"/>
      <c r="D7" s="2492"/>
      <c r="E7" s="2492"/>
      <c r="F7" s="2492"/>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0"/>
      <c r="D11" s="1279"/>
      <c r="E11" s="1920"/>
      <c r="F11" s="1279"/>
      <c r="G11" s="1277"/>
    </row>
    <row r="12" spans="1:7" x14ac:dyDescent="0.2">
      <c r="A12" s="1275" t="s">
        <v>1669</v>
      </c>
      <c r="C12" s="1259"/>
      <c r="D12" s="1259"/>
    </row>
    <row r="13" spans="1:7" ht="15" customHeight="1" x14ac:dyDescent="0.2">
      <c r="A13" s="2489" t="s">
        <v>2085</v>
      </c>
      <c r="B13" s="2489"/>
      <c r="C13" s="2489"/>
      <c r="D13" s="2489"/>
      <c r="E13" s="2489"/>
      <c r="F13" s="2489"/>
    </row>
    <row r="14" spans="1:7" ht="9.75" customHeight="1" x14ac:dyDescent="0.2">
      <c r="A14" s="2489"/>
      <c r="B14" s="2489"/>
      <c r="C14" s="2489"/>
      <c r="D14" s="2489"/>
      <c r="E14" s="2489"/>
      <c r="F14" s="2489"/>
    </row>
    <row r="15" spans="1:7" ht="13.5" customHeight="1" x14ac:dyDescent="0.2">
      <c r="C15" s="1864" t="s">
        <v>1332</v>
      </c>
      <c r="D15" s="2490" t="s">
        <v>1331</v>
      </c>
      <c r="E15" s="2490"/>
      <c r="F15" s="2490"/>
    </row>
    <row r="16" spans="1:7" ht="13.5" customHeight="1" x14ac:dyDescent="0.2">
      <c r="A16" s="1281"/>
      <c r="B16" s="1275" t="s">
        <v>1330</v>
      </c>
      <c r="C16" s="1864" t="s">
        <v>1329</v>
      </c>
      <c r="D16" s="2491" t="s">
        <v>1670</v>
      </c>
      <c r="E16" s="2491"/>
      <c r="F16" s="2491"/>
    </row>
    <row r="17" spans="1:6" ht="20.45" customHeight="1" x14ac:dyDescent="0.2">
      <c r="A17" s="1282"/>
      <c r="B17" s="1283"/>
      <c r="C17" s="1284"/>
      <c r="D17" s="2484"/>
      <c r="E17" s="2484"/>
      <c r="F17" s="2484"/>
    </row>
    <row r="18" spans="1:6" ht="20.65" customHeight="1" x14ac:dyDescent="0.2">
      <c r="A18" s="1282"/>
      <c r="B18" s="1283"/>
      <c r="C18" s="1284"/>
      <c r="D18" s="2484"/>
      <c r="E18" s="2484"/>
      <c r="F18" s="2484"/>
    </row>
    <row r="19" spans="1:6" ht="20.65" customHeight="1" x14ac:dyDescent="0.2">
      <c r="A19" s="1282"/>
      <c r="B19" s="1283"/>
      <c r="C19" s="1284"/>
      <c r="D19" s="2484"/>
      <c r="E19" s="2484"/>
      <c r="F19" s="2484"/>
    </row>
    <row r="20" spans="1:6" ht="20.65" customHeight="1" x14ac:dyDescent="0.2">
      <c r="A20" s="1282"/>
      <c r="B20" s="1283"/>
      <c r="C20" s="1284"/>
      <c r="D20" s="2484"/>
      <c r="E20" s="2484"/>
      <c r="F20" s="2484"/>
    </row>
    <row r="21" spans="1:6" ht="20.65" customHeight="1" x14ac:dyDescent="0.2">
      <c r="A21" s="1282"/>
      <c r="B21" s="1283"/>
      <c r="C21" s="1284"/>
      <c r="D21" s="2484"/>
      <c r="E21" s="2484"/>
      <c r="F21" s="2484"/>
    </row>
    <row r="22" spans="1:6" ht="20.65" customHeight="1" x14ac:dyDescent="0.2">
      <c r="A22" s="1282"/>
      <c r="B22" s="1283"/>
      <c r="C22" s="1284"/>
      <c r="D22" s="2484"/>
      <c r="E22" s="2484"/>
      <c r="F22" s="2484"/>
    </row>
    <row r="23" spans="1:6" ht="20.65" customHeight="1" x14ac:dyDescent="0.2">
      <c r="A23" s="1282"/>
      <c r="B23" s="1283"/>
      <c r="C23" s="1284"/>
      <c r="D23" s="2484"/>
      <c r="E23" s="2484"/>
      <c r="F23" s="2484"/>
    </row>
    <row r="24" spans="1:6" ht="20.65" customHeight="1" x14ac:dyDescent="0.2">
      <c r="A24" s="1282"/>
      <c r="B24" s="1283"/>
      <c r="C24" s="1284"/>
      <c r="D24" s="2484"/>
      <c r="E24" s="2484"/>
      <c r="F24" s="2484"/>
    </row>
    <row r="25" spans="1:6" ht="20.65" customHeight="1" x14ac:dyDescent="0.2">
      <c r="A25" s="1282"/>
      <c r="B25" s="1283"/>
      <c r="C25" s="1284"/>
      <c r="D25" s="2484"/>
      <c r="E25" s="2484"/>
      <c r="F25" s="2484"/>
    </row>
    <row r="26" spans="1:6" ht="20.65" customHeight="1" x14ac:dyDescent="0.2">
      <c r="A26" s="1282"/>
      <c r="B26" s="1283"/>
      <c r="C26" s="1284"/>
      <c r="D26" s="2484"/>
      <c r="E26" s="2484"/>
      <c r="F26" s="2484"/>
    </row>
    <row r="27" spans="1:6" ht="20.65" customHeight="1" x14ac:dyDescent="0.2">
      <c r="A27" s="1282"/>
      <c r="B27" s="1283"/>
      <c r="C27" s="1284"/>
      <c r="D27" s="2484"/>
      <c r="E27" s="2484"/>
      <c r="F27" s="2484"/>
    </row>
    <row r="28" spans="1:6" ht="20.65" customHeight="1" x14ac:dyDescent="0.2">
      <c r="A28" s="1282"/>
      <c r="B28" s="1283"/>
      <c r="C28" s="1284"/>
      <c r="D28" s="2484"/>
      <c r="E28" s="2484"/>
      <c r="F28" s="2484"/>
    </row>
    <row r="29" spans="1:6" ht="20.65" customHeight="1" x14ac:dyDescent="0.2">
      <c r="A29" s="1282"/>
      <c r="B29" s="1283"/>
      <c r="C29" s="1284"/>
      <c r="D29" s="2484"/>
      <c r="E29" s="2484"/>
      <c r="F29" s="2484"/>
    </row>
    <row r="30" spans="1:6" ht="12" customHeight="1" x14ac:dyDescent="0.2">
      <c r="A30" s="328"/>
      <c r="B30" s="328"/>
      <c r="C30" s="1477"/>
      <c r="D30" s="1921"/>
      <c r="E30" s="1285"/>
    </row>
    <row r="31" spans="1:6" ht="12" customHeight="1" x14ac:dyDescent="0.2">
      <c r="A31" s="1286" t="s">
        <v>1630</v>
      </c>
      <c r="B31" s="328"/>
      <c r="C31" s="1477"/>
      <c r="D31" s="1921"/>
      <c r="E31" s="1285"/>
    </row>
    <row r="32" spans="1:6" ht="30" customHeight="1" x14ac:dyDescent="0.2">
      <c r="A32" s="2485" t="s">
        <v>2086</v>
      </c>
      <c r="B32" s="2485"/>
      <c r="C32" s="2485"/>
      <c r="D32" s="2485"/>
      <c r="E32" s="2485"/>
      <c r="F32" s="2485"/>
    </row>
    <row r="33" spans="1:6" ht="13.5" customHeight="1" x14ac:dyDescent="0.2">
      <c r="A33" s="328" t="s">
        <v>1509</v>
      </c>
      <c r="B33" s="328"/>
      <c r="C33" s="1287">
        <v>0</v>
      </c>
      <c r="D33" s="1921"/>
      <c r="E33" s="1285"/>
    </row>
    <row r="34" spans="1:6" ht="13.5" customHeight="1" x14ac:dyDescent="0.2">
      <c r="A34" s="328" t="s">
        <v>1945</v>
      </c>
      <c r="B34" s="328"/>
      <c r="C34" s="1288">
        <v>0</v>
      </c>
      <c r="D34" s="1921" t="s">
        <v>1671</v>
      </c>
      <c r="E34" s="2486">
        <f>+C33+C34</f>
        <v>0</v>
      </c>
      <c r="F34" s="2487"/>
    </row>
    <row r="35" spans="1:6" ht="12" customHeight="1" x14ac:dyDescent="0.2">
      <c r="A35" s="328"/>
      <c r="B35" s="328"/>
      <c r="C35" s="1922"/>
      <c r="D35" s="1921"/>
      <c r="E35" s="1289"/>
      <c r="F35" s="1290"/>
    </row>
    <row r="36" spans="1:6" ht="13.5" customHeight="1" x14ac:dyDescent="0.2">
      <c r="A36" s="1286" t="s">
        <v>1631</v>
      </c>
      <c r="B36" s="328"/>
      <c r="C36" s="1477"/>
      <c r="D36" s="1921"/>
      <c r="E36" s="1285"/>
    </row>
    <row r="37" spans="1:6" ht="14.25" customHeight="1" x14ac:dyDescent="0.2">
      <c r="A37" s="328" t="s">
        <v>1563</v>
      </c>
      <c r="B37" s="328"/>
      <c r="C37" s="1923"/>
      <c r="D37" s="1921"/>
      <c r="E37" s="1285"/>
    </row>
    <row r="38" spans="1:6" ht="14.25" customHeight="1" x14ac:dyDescent="0.2">
      <c r="A38" s="328"/>
      <c r="B38" s="328" t="s">
        <v>1510</v>
      </c>
      <c r="C38" s="1291"/>
      <c r="D38" s="1921"/>
      <c r="E38" s="1285"/>
    </row>
    <row r="39" spans="1:6" ht="14.25" customHeight="1" x14ac:dyDescent="0.2">
      <c r="A39" s="328"/>
      <c r="B39" s="328" t="s">
        <v>1511</v>
      </c>
      <c r="C39" s="1291"/>
      <c r="D39" s="1921"/>
      <c r="E39" s="1285"/>
    </row>
    <row r="40" spans="1:6" ht="14.25" customHeight="1" x14ac:dyDescent="0.2">
      <c r="A40" s="328"/>
      <c r="B40" s="328" t="s">
        <v>1512</v>
      </c>
      <c r="C40" s="1291"/>
      <c r="D40" s="1921"/>
      <c r="E40" s="1285"/>
    </row>
    <row r="41" spans="1:6" ht="14.25" customHeight="1" x14ac:dyDescent="0.2">
      <c r="A41" s="328"/>
      <c r="B41" s="328" t="s">
        <v>1513</v>
      </c>
      <c r="C41" s="1291"/>
      <c r="D41" s="1921"/>
      <c r="E41" s="1285"/>
    </row>
    <row r="42" spans="1:6" ht="14.25" customHeight="1" x14ac:dyDescent="0.2">
      <c r="A42" s="328" t="s">
        <v>1514</v>
      </c>
      <c r="B42" s="328"/>
      <c r="C42" s="1919"/>
      <c r="D42" s="1921"/>
      <c r="E42" s="1285"/>
    </row>
    <row r="43" spans="1:6" ht="14.25" customHeight="1" x14ac:dyDescent="0.2">
      <c r="A43" s="328" t="s">
        <v>1515</v>
      </c>
      <c r="B43" s="328"/>
      <c r="C43" s="1292"/>
      <c r="D43" s="1921"/>
      <c r="E43" s="1285"/>
    </row>
    <row r="44" spans="1:6" ht="14.25" customHeight="1" x14ac:dyDescent="0.2">
      <c r="A44" s="328"/>
      <c r="B44" s="328"/>
      <c r="C44" s="1923" t="s">
        <v>1516</v>
      </c>
      <c r="D44" s="1921"/>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88" t="s">
        <v>1672</v>
      </c>
      <c r="C49" s="2488"/>
      <c r="D49" s="2488"/>
      <c r="E49" s="1398"/>
    </row>
    <row r="50" spans="1:5" s="1299" customFormat="1" ht="3.75" customHeight="1" x14ac:dyDescent="0.2">
      <c r="A50" s="1298"/>
      <c r="B50" s="1863"/>
      <c r="C50" s="1863"/>
      <c r="D50" s="1863"/>
      <c r="E50" s="1398"/>
    </row>
    <row r="51" spans="1:5" s="1299" customFormat="1" ht="20.25" customHeight="1" x14ac:dyDescent="0.2">
      <c r="A51" s="1300">
        <v>6</v>
      </c>
      <c r="B51" s="2483" t="s">
        <v>1632</v>
      </c>
      <c r="C51" s="2483"/>
      <c r="D51" s="2483"/>
    </row>
    <row r="52" spans="1:5" ht="14.25" customHeight="1" x14ac:dyDescent="0.2">
      <c r="A52" s="1300"/>
      <c r="B52" s="2483"/>
      <c r="C52" s="2483"/>
      <c r="D52" s="2483"/>
    </row>
  </sheetData>
  <mergeCells count="26">
    <mergeCell ref="A7:F7"/>
    <mergeCell ref="A1:F1"/>
    <mergeCell ref="A2:F2"/>
    <mergeCell ref="A3:F3"/>
    <mergeCell ref="A4:F4"/>
    <mergeCell ref="A13:F1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27" top="0.43" bottom="0" header="0.26" footer="0.5"/>
  <pageSetup scale="90" firstPageNumber="39"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62" t="str">
        <f>'Single Audit Cover'!A7</f>
        <v>Summersville Grade School #79</v>
      </c>
      <c r="C1" s="2497"/>
      <c r="D1" s="2497"/>
      <c r="E1" s="2497"/>
      <c r="F1" s="2497"/>
      <c r="G1" s="2497"/>
      <c r="H1" s="2497"/>
      <c r="I1" s="2497"/>
      <c r="J1" s="2497"/>
      <c r="K1" s="2497"/>
      <c r="L1" s="2497"/>
      <c r="M1" s="2497"/>
    </row>
    <row r="2" spans="2:14" ht="15" x14ac:dyDescent="0.2">
      <c r="B2" s="2494">
        <f>'Single Audit Cover'!E7</f>
        <v>13041079002</v>
      </c>
      <c r="C2" s="2494"/>
      <c r="D2" s="2494"/>
      <c r="E2" s="2494"/>
      <c r="F2" s="2494"/>
      <c r="G2" s="2494"/>
      <c r="H2" s="2494"/>
      <c r="I2" s="2494"/>
      <c r="J2" s="2494"/>
      <c r="K2" s="2494"/>
      <c r="L2" s="2494"/>
      <c r="M2" s="2494"/>
      <c r="N2" s="1301"/>
    </row>
    <row r="3" spans="2:14" ht="15" x14ac:dyDescent="0.2">
      <c r="B3" s="2498" t="s">
        <v>1281</v>
      </c>
      <c r="C3" s="2498"/>
      <c r="D3" s="2498"/>
      <c r="E3" s="2498"/>
      <c r="F3" s="2498"/>
      <c r="G3" s="2498"/>
      <c r="H3" s="2498"/>
      <c r="I3" s="2498"/>
      <c r="J3" s="2498"/>
      <c r="K3" s="2498"/>
      <c r="L3" s="2498"/>
      <c r="M3" s="2498"/>
      <c r="N3" s="1301"/>
    </row>
    <row r="4" spans="2:14" ht="15" x14ac:dyDescent="0.2">
      <c r="B4" s="2499" t="str">
        <f>'Single Audit Cover'!A4</f>
        <v>Year Ending June 30, 2018</v>
      </c>
      <c r="C4" s="2499"/>
      <c r="D4" s="2499"/>
      <c r="E4" s="2499"/>
      <c r="F4" s="2499"/>
      <c r="G4" s="2499"/>
      <c r="H4" s="2499"/>
      <c r="I4" s="2499"/>
      <c r="J4" s="2499"/>
      <c r="K4" s="2499"/>
      <c r="L4" s="2499"/>
      <c r="M4" s="2499"/>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1837</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1838</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1839</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1840</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1841</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Summersville Grade School #79</v>
      </c>
      <c r="C1" s="2503"/>
      <c r="D1" s="2503"/>
      <c r="E1" s="2503"/>
      <c r="F1" s="2503"/>
      <c r="G1" s="2503"/>
      <c r="H1" s="2503"/>
      <c r="I1" s="2503"/>
      <c r="J1" s="2503"/>
      <c r="K1" s="2503"/>
      <c r="L1" s="1464"/>
    </row>
    <row r="2" spans="1:12" ht="12.75" customHeight="1" x14ac:dyDescent="0.2">
      <c r="B2" s="2504">
        <f>'Single Audit Cover'!E7</f>
        <v>13041079002</v>
      </c>
      <c r="C2" s="2504"/>
      <c r="D2" s="2504"/>
      <c r="E2" s="2504"/>
      <c r="F2" s="2504"/>
      <c r="G2" s="2504"/>
      <c r="H2" s="2504"/>
      <c r="I2" s="2504"/>
      <c r="J2" s="2504"/>
      <c r="K2" s="2504"/>
      <c r="L2" s="1465"/>
    </row>
    <row r="3" spans="1:12" ht="12.75" customHeight="1" x14ac:dyDescent="0.2">
      <c r="B3" s="2404" t="s">
        <v>1347</v>
      </c>
      <c r="C3" s="2404"/>
      <c r="D3" s="2404"/>
      <c r="E3" s="2404"/>
      <c r="F3" s="2404"/>
      <c r="G3" s="2404"/>
      <c r="H3" s="2404"/>
      <c r="I3" s="2404"/>
      <c r="J3" s="2404"/>
      <c r="K3" s="2404"/>
      <c r="L3" s="1376"/>
    </row>
    <row r="4" spans="1:12" ht="12.75" customHeight="1" x14ac:dyDescent="0.2">
      <c r="B4" s="2404" t="str">
        <f>'Single Audit Cover'!A4</f>
        <v>Year Ending June 30, 2018</v>
      </c>
      <c r="C4" s="2404"/>
      <c r="D4" s="2404"/>
      <c r="E4" s="2404"/>
      <c r="F4" s="2404"/>
      <c r="G4" s="2404"/>
      <c r="H4" s="2404"/>
      <c r="I4" s="2404"/>
      <c r="J4" s="2404"/>
      <c r="K4" s="2404"/>
      <c r="L4" s="1376"/>
    </row>
    <row r="5" spans="1:12" ht="5.25" customHeight="1" x14ac:dyDescent="0.2">
      <c r="B5" s="1259" t="s">
        <v>1231</v>
      </c>
      <c r="C5" s="1259"/>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1949</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395"/>
      <c r="G12" s="2395"/>
      <c r="H12" s="2395"/>
      <c r="I12" s="2395"/>
      <c r="J12" s="2395"/>
      <c r="K12" s="2395"/>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0"/>
      <c r="E14" s="2500"/>
      <c r="F14" s="2500"/>
      <c r="H14" s="1474" t="s">
        <v>1370</v>
      </c>
      <c r="I14" s="2501"/>
      <c r="J14" s="2501"/>
      <c r="K14" s="2501"/>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1"/>
      <c r="E16" s="2501"/>
      <c r="F16" s="2501"/>
      <c r="G16" s="2501"/>
      <c r="H16" s="2501"/>
      <c r="I16" s="2501"/>
      <c r="J16" s="2501"/>
      <c r="K16" s="2501"/>
      <c r="L16" s="322"/>
    </row>
    <row r="17" spans="2:12" ht="13.5" customHeight="1" x14ac:dyDescent="0.2">
      <c r="B17" s="1386" t="s">
        <v>1368</v>
      </c>
      <c r="C17" s="1386"/>
      <c r="D17" s="2502"/>
      <c r="E17" s="2502"/>
      <c r="F17" s="2502"/>
      <c r="G17" s="2502"/>
      <c r="H17" s="2502"/>
      <c r="I17" s="2502"/>
      <c r="J17" s="2502"/>
      <c r="K17" s="2502"/>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07"/>
      <c r="C20" s="2407"/>
      <c r="D20" s="2407"/>
      <c r="E20" s="2407"/>
      <c r="F20" s="2407"/>
      <c r="G20" s="2407"/>
      <c r="H20" s="2407"/>
      <c r="I20" s="2407"/>
      <c r="J20" s="2407"/>
      <c r="K20" s="240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407"/>
      <c r="C23" s="2407"/>
      <c r="D23" s="2407"/>
      <c r="E23" s="2407"/>
      <c r="F23" s="2407"/>
      <c r="G23" s="2407"/>
      <c r="H23" s="2407"/>
      <c r="I23" s="2407"/>
      <c r="J23" s="2407"/>
      <c r="K23" s="240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407"/>
      <c r="C26" s="2407"/>
      <c r="D26" s="2407"/>
      <c r="E26" s="2407"/>
      <c r="F26" s="2407"/>
      <c r="G26" s="2407"/>
      <c r="H26" s="2407"/>
      <c r="I26" s="2407"/>
      <c r="J26" s="2407"/>
      <c r="K26" s="240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407"/>
      <c r="C29" s="2407"/>
      <c r="D29" s="2407"/>
      <c r="E29" s="2407"/>
      <c r="F29" s="2407"/>
      <c r="G29" s="2407"/>
      <c r="H29" s="2407"/>
      <c r="I29" s="2407"/>
      <c r="J29" s="2407"/>
      <c r="K29" s="240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07"/>
      <c r="C32" s="2407"/>
      <c r="D32" s="2407"/>
      <c r="E32" s="2407"/>
      <c r="F32" s="2407"/>
      <c r="G32" s="2407"/>
      <c r="H32" s="2407"/>
      <c r="I32" s="2407"/>
      <c r="J32" s="2407"/>
      <c r="K32" s="240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07"/>
      <c r="C35" s="2407"/>
      <c r="D35" s="2407"/>
      <c r="E35" s="2407"/>
      <c r="F35" s="2407"/>
      <c r="G35" s="2407"/>
      <c r="H35" s="2407"/>
      <c r="I35" s="2407"/>
      <c r="J35" s="2407"/>
      <c r="K35" s="240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07"/>
      <c r="C38" s="2407"/>
      <c r="D38" s="2407"/>
      <c r="E38" s="2407"/>
      <c r="F38" s="2407"/>
      <c r="G38" s="2407"/>
      <c r="H38" s="2407"/>
      <c r="I38" s="2407"/>
      <c r="J38" s="2407"/>
      <c r="K38" s="240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407"/>
      <c r="C41" s="2407"/>
      <c r="D41" s="2407"/>
      <c r="E41" s="2407"/>
      <c r="F41" s="2407"/>
      <c r="G41" s="2407"/>
      <c r="H41" s="2407"/>
      <c r="I41" s="2407"/>
      <c r="J41" s="2407"/>
      <c r="K41" s="2407"/>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scale="98" firstPageNumber="42"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24944927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1.5672200000000001E-2</v>
      </c>
      <c r="E10" s="356" t="s">
        <v>1062</v>
      </c>
      <c r="F10" s="355">
        <v>2.6947E-3</v>
      </c>
      <c r="G10" s="356" t="s">
        <v>1062</v>
      </c>
      <c r="H10" s="355">
        <v>0</v>
      </c>
      <c r="I10" s="356" t="s">
        <v>1063</v>
      </c>
      <c r="J10" s="1750">
        <f>ROUND(D10+F10+H10,5)</f>
        <v>1.8370000000000001E-2</v>
      </c>
      <c r="K10" s="222"/>
      <c r="L10" s="355">
        <v>4.9140000000000002E-4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2127792</v>
      </c>
      <c r="E16" s="356"/>
      <c r="F16" s="1751">
        <f>SUM('Acct Summary 7-8'!C17,'Acct Summary 7-8'!D17,'Acct Summary 7-8'!F17)</f>
        <v>1852160</v>
      </c>
      <c r="G16" s="356"/>
      <c r="H16" s="1751">
        <f>SUM(D16-F16)</f>
        <v>275632</v>
      </c>
      <c r="I16" s="222"/>
      <c r="J16" s="1751">
        <f>SUM('Acct Summary 7-8'!C81,'Acct Summary 7-8'!D81,'Acct Summary 7-8'!F81,'Acct Summary 7-8'!I81)</f>
        <v>1600946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607</v>
      </c>
      <c r="D31" s="237" t="s">
        <v>1132</v>
      </c>
      <c r="E31" s="222"/>
      <c r="F31" s="222"/>
      <c r="G31" s="363"/>
      <c r="H31" s="1753">
        <f>IF(B31="X",(J7*0.069),IF(B32="X",(J7*0.138),"Enter x in a.or b."))</f>
        <v>1721199.9630000002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5" right="0.2" top="0.59" bottom="0.52" header="0.28000000000000003" footer="0.17"/>
  <pageSetup scale="90" firstPageNumber="3" orientation="portrait" useFirstPageNumber="1" r:id="rId1"/>
  <headerFooter alignWithMargins="0">
    <oddHeader>&amp;L&amp;"Calibri,Regular"&amp;8Page &amp;P&amp;C &amp;R&amp;"Calibri,Regular"&amp;8Page &amp;P</oddHeader>
    <oddFooter>&amp;L&amp;"Calibri,Regular"&amp;8Printed: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28" sqref="K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Summersville Grade School #79</v>
      </c>
      <c r="E7" s="391"/>
      <c r="G7" s="252"/>
      <c r="H7" s="387"/>
      <c r="I7" s="387"/>
      <c r="J7" s="387"/>
      <c r="K7" s="387"/>
      <c r="L7" s="329"/>
      <c r="M7" s="329"/>
      <c r="N7" s="329"/>
      <c r="O7" s="329"/>
      <c r="P7" s="329"/>
    </row>
    <row r="8" spans="1:18" ht="12.75" x14ac:dyDescent="0.2">
      <c r="A8" s="329"/>
      <c r="B8" s="329"/>
      <c r="C8" s="389" t="s">
        <v>1187</v>
      </c>
      <c r="D8" s="392">
        <f>COVER!A13</f>
        <v>13041079002</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1600946</v>
      </c>
      <c r="I12" s="404"/>
      <c r="J12" s="404"/>
      <c r="K12" s="405">
        <f>TRUNC((H12/H13*100000),5)/100000</f>
        <v>0.75239779070000001</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2127792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1852160</v>
      </c>
      <c r="I17" s="404"/>
      <c r="J17" s="416"/>
      <c r="K17" s="405">
        <f>TRUNC((H17/H18*100000),5)/100000</f>
        <v>0.87046102250000001</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2127792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1600946</v>
      </c>
      <c r="I24" s="422"/>
      <c r="J24" s="422"/>
      <c r="K24" s="423">
        <f>TRUNC(((H24/H25*100000)/100000),2)</f>
        <v>311.17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5144.8888900000002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389502.56264000002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65000</v>
      </c>
      <c r="I32" s="420"/>
      <c r="J32" s="420"/>
      <c r="K32" s="423">
        <f>TRUNC(100-((((H32/H33*100))*100)/100),2)</f>
        <v>96.22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1721199.9630000002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25" right="0.2" top="0.8" bottom="0.52" header="0.19" footer="0.17"/>
  <pageSetup scale="85" firstPageNumber="4" orientation="landscape" useFirstPageNumber="1" r:id="rId3"/>
  <headerFooter alignWithMargins="0">
    <oddHeader>&amp;L&amp;"Calibri,Regular"&amp;8Page &amp;P&amp;C &amp;R&amp;"Calibri,Regular"&amp;8Page &amp;P</oddHeader>
    <oddFooter>&amp;L&amp;"Calibri,Regular"&amp;8Printed: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75" zoomScaleNormal="75" workbookViewId="0">
      <pane ySplit="2" topLeftCell="A22" activePane="bottomLeft" state="frozen"/>
      <selection activeCell="A47" sqref="A47"/>
      <selection pane="bottomLeft" activeCell="J40" sqref="J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0"/>
      <c r="D3" s="1581"/>
      <c r="E3" s="1581"/>
      <c r="F3" s="1581"/>
      <c r="G3" s="1581"/>
      <c r="H3" s="1581"/>
      <c r="I3" s="1581"/>
      <c r="J3" s="1581"/>
      <c r="K3" s="1581"/>
      <c r="L3" s="1581"/>
      <c r="M3" s="1582"/>
      <c r="N3" s="1583"/>
    </row>
    <row r="4" spans="1:14" ht="13.5" customHeight="1" x14ac:dyDescent="0.2">
      <c r="A4" s="463" t="s">
        <v>1750</v>
      </c>
      <c r="B4" s="464"/>
      <c r="C4" s="465">
        <v>1455657</v>
      </c>
      <c r="D4" s="466">
        <v>116934</v>
      </c>
      <c r="E4" s="466">
        <v>6113</v>
      </c>
      <c r="F4" s="466">
        <v>9873</v>
      </c>
      <c r="G4" s="466">
        <v>37257</v>
      </c>
      <c r="H4" s="466">
        <v>0</v>
      </c>
      <c r="I4" s="466">
        <v>18482</v>
      </c>
      <c r="J4" s="467">
        <v>55063</v>
      </c>
      <c r="K4" s="466">
        <v>26903</v>
      </c>
      <c r="L4" s="466">
        <v>11867</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4" t="s">
        <v>665</v>
      </c>
      <c r="B13" s="1727"/>
      <c r="C13" s="1755">
        <f>SUM(C4:C12)</f>
        <v>1455657</v>
      </c>
      <c r="D13" s="1755">
        <f t="shared" ref="D13:L13" si="0">SUM(D4:D12)</f>
        <v>116934</v>
      </c>
      <c r="E13" s="1755">
        <f t="shared" si="0"/>
        <v>6113</v>
      </c>
      <c r="F13" s="1755">
        <f t="shared" si="0"/>
        <v>9873</v>
      </c>
      <c r="G13" s="1755">
        <f t="shared" si="0"/>
        <v>37257</v>
      </c>
      <c r="H13" s="1755">
        <f t="shared" si="0"/>
        <v>0</v>
      </c>
      <c r="I13" s="1755">
        <f t="shared" si="0"/>
        <v>18482</v>
      </c>
      <c r="J13" s="1755">
        <f t="shared" si="0"/>
        <v>55063</v>
      </c>
      <c r="K13" s="1755">
        <f t="shared" si="0"/>
        <v>26903</v>
      </c>
      <c r="L13" s="1755">
        <f t="shared" si="0"/>
        <v>11867</v>
      </c>
      <c r="M13" s="468"/>
      <c r="N13" s="469"/>
    </row>
    <row r="14" spans="1:14" ht="18" customHeight="1" thickTop="1" x14ac:dyDescent="0.2">
      <c r="A14" s="2125" t="s">
        <v>149</v>
      </c>
      <c r="B14" s="2126"/>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61666</v>
      </c>
      <c r="N16" s="484"/>
    </row>
    <row r="17" spans="1:14" s="485" customFormat="1" ht="12.75" customHeight="1" x14ac:dyDescent="0.2">
      <c r="A17" s="482" t="s">
        <v>1470</v>
      </c>
      <c r="B17" s="483">
        <v>230</v>
      </c>
      <c r="C17" s="477"/>
      <c r="D17" s="477"/>
      <c r="E17" s="477"/>
      <c r="F17" s="477"/>
      <c r="G17" s="477"/>
      <c r="H17" s="477"/>
      <c r="I17" s="477"/>
      <c r="J17" s="477"/>
      <c r="K17" s="477"/>
      <c r="L17" s="477"/>
      <c r="M17" s="467">
        <v>1996107</v>
      </c>
      <c r="N17" s="484"/>
    </row>
    <row r="18" spans="1:14" s="485" customFormat="1" ht="12.75" customHeight="1" x14ac:dyDescent="0.2">
      <c r="A18" s="482" t="s">
        <v>1471</v>
      </c>
      <c r="B18" s="483">
        <v>240</v>
      </c>
      <c r="C18" s="477"/>
      <c r="D18" s="477"/>
      <c r="E18" s="477"/>
      <c r="F18" s="477"/>
      <c r="G18" s="477"/>
      <c r="H18" s="477"/>
      <c r="I18" s="477"/>
      <c r="J18" s="477"/>
      <c r="K18" s="477"/>
      <c r="L18" s="477"/>
      <c r="M18" s="467">
        <v>26289</v>
      </c>
      <c r="N18" s="484"/>
    </row>
    <row r="19" spans="1:14" s="485" customFormat="1" ht="12.75" customHeight="1" x14ac:dyDescent="0.2">
      <c r="A19" s="482" t="s">
        <v>1472</v>
      </c>
      <c r="B19" s="483">
        <v>250</v>
      </c>
      <c r="C19" s="477"/>
      <c r="D19" s="477"/>
      <c r="E19" s="477"/>
      <c r="F19" s="477"/>
      <c r="G19" s="477"/>
      <c r="H19" s="477"/>
      <c r="I19" s="477"/>
      <c r="J19" s="477"/>
      <c r="K19" s="477"/>
      <c r="L19" s="477"/>
      <c r="M19" s="467">
        <v>83143</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6113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58887</v>
      </c>
    </row>
    <row r="23" spans="1:14" ht="13.5" customHeight="1" thickBot="1" x14ac:dyDescent="0.25">
      <c r="A23" s="1754" t="s">
        <v>664</v>
      </c>
      <c r="B23" s="1759"/>
      <c r="C23" s="468"/>
      <c r="D23" s="468"/>
      <c r="E23" s="468"/>
      <c r="F23" s="468"/>
      <c r="G23" s="468"/>
      <c r="H23" s="468"/>
      <c r="I23" s="468"/>
      <c r="J23" s="468"/>
      <c r="K23" s="468"/>
      <c r="L23" s="468"/>
      <c r="M23" s="1706">
        <f>SUM(M15:M22)</f>
        <v>2167205</v>
      </c>
      <c r="N23" s="1706">
        <f>SUM(N21:N22)</f>
        <v>65000</v>
      </c>
    </row>
    <row r="24" spans="1:14" ht="18" customHeight="1" thickTop="1" x14ac:dyDescent="0.2">
      <c r="A24" s="2127" t="s">
        <v>619</v>
      </c>
      <c r="B24" s="2128"/>
      <c r="C24" s="1589"/>
      <c r="D24" s="1586"/>
      <c r="E24" s="1586"/>
      <c r="F24" s="1586"/>
      <c r="G24" s="1586"/>
      <c r="H24" s="1586"/>
      <c r="I24" s="1586"/>
      <c r="J24" s="1586"/>
      <c r="K24" s="1586"/>
      <c r="L24" s="1586"/>
      <c r="M24" s="1585"/>
      <c r="N24" s="1590"/>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11867</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11867</v>
      </c>
      <c r="M34" s="468"/>
      <c r="N34" s="480"/>
    </row>
    <row r="35" spans="1:14" ht="18" customHeight="1" thickTop="1" x14ac:dyDescent="0.2">
      <c r="A35" s="2129" t="s">
        <v>550</v>
      </c>
      <c r="B35" s="2130"/>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65000</v>
      </c>
    </row>
    <row r="37" spans="1:14" ht="13.5" thickBot="1" x14ac:dyDescent="0.25">
      <c r="A37" s="1754" t="s">
        <v>674</v>
      </c>
      <c r="B37" s="1759"/>
      <c r="C37" s="477"/>
      <c r="D37" s="477"/>
      <c r="E37" s="477"/>
      <c r="F37" s="477"/>
      <c r="G37" s="477"/>
      <c r="H37" s="477"/>
      <c r="I37" s="477"/>
      <c r="J37" s="477"/>
      <c r="K37" s="477"/>
      <c r="L37" s="480"/>
      <c r="M37" s="468"/>
      <c r="N37" s="1706">
        <f>SUM(N36:N36)</f>
        <v>65000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v>1455657</v>
      </c>
      <c r="D39" s="466">
        <v>116934</v>
      </c>
      <c r="E39" s="466">
        <v>6113</v>
      </c>
      <c r="F39" s="466">
        <v>9873</v>
      </c>
      <c r="G39" s="466">
        <v>37257</v>
      </c>
      <c r="H39" s="466">
        <v>0</v>
      </c>
      <c r="I39" s="466">
        <v>18482</v>
      </c>
      <c r="J39" s="467">
        <v>55063</v>
      </c>
      <c r="K39" s="466">
        <v>26903</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2167205</v>
      </c>
      <c r="N40" s="497"/>
    </row>
    <row r="41" spans="1:14" ht="13.5" customHeight="1" thickBot="1" x14ac:dyDescent="0.25">
      <c r="A41" s="1754" t="s">
        <v>676</v>
      </c>
      <c r="B41" s="1724"/>
      <c r="C41" s="1706">
        <f>(SUM(C34,C37,C38,C39))</f>
        <v>1455657</v>
      </c>
      <c r="D41" s="1706">
        <f t="shared" ref="D41:L41" si="2">SUM(D34,D37,D38:D39)</f>
        <v>116934</v>
      </c>
      <c r="E41" s="1706">
        <f t="shared" si="2"/>
        <v>6113</v>
      </c>
      <c r="F41" s="1706">
        <f t="shared" si="2"/>
        <v>9873</v>
      </c>
      <c r="G41" s="1706">
        <f t="shared" si="2"/>
        <v>37257</v>
      </c>
      <c r="H41" s="1706">
        <f t="shared" si="2"/>
        <v>0</v>
      </c>
      <c r="I41" s="1706">
        <f t="shared" si="2"/>
        <v>18482</v>
      </c>
      <c r="J41" s="1706">
        <f t="shared" si="2"/>
        <v>55063</v>
      </c>
      <c r="K41" s="1706">
        <f t="shared" si="2"/>
        <v>26903</v>
      </c>
      <c r="L41" s="1706">
        <f t="shared" si="2"/>
        <v>11867</v>
      </c>
      <c r="M41" s="1706">
        <f>SUM(M40)</f>
        <v>2167205</v>
      </c>
      <c r="N41" s="1706">
        <f>SUM(N37)</f>
        <v>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3" right="0.15" top="0.86" bottom="0" header="0.28000000000000003" footer="0.1"/>
  <pageSetup scale="75" firstPageNumber="5" orientation="landscape" useFirstPageNumber="1" r:id="rId1"/>
  <headerFooter alignWithMargins="0">
    <oddHeader>&amp;L&amp;"Calibri,Regular"&amp;8Page &amp;P&amp;C&amp;"Calibri,Bold"&amp;9BASIC FINANCIAL STATEMENTS
STATEMENT OF ASSETS AND LIABILITIES ARISING FROM CASH TRANSACTIONS
STATEMENT OF POSITION AS OF JUNE 30, 2018&amp;R&amp;"Calibri,Regular"&amp;8Page &amp;P</oddHeader>
    <oddFooter>&amp;L&amp;"Calibri,Regular"&amp;8Print Date:  &amp;D
&amp;F&amp;C&amp;"Calibr,Regular"&amp;8The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75" zoomScaleNormal="75" zoomScaleSheetLayoutView="100" workbookViewId="0">
      <pane ySplit="960" topLeftCell="A64" activePane="bottomLeft"/>
      <selection activeCell="B1" sqref="B1:B1048576"/>
      <selection pane="bottomLeft" activeCell="J81" sqref="J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4"/>
      <c r="D3" s="1595"/>
      <c r="E3" s="1595"/>
      <c r="F3" s="1595"/>
      <c r="G3" s="1595"/>
      <c r="H3" s="1595"/>
      <c r="I3" s="1595"/>
      <c r="J3" s="1595"/>
      <c r="K3" s="1596"/>
      <c r="L3" s="506"/>
    </row>
    <row r="4" spans="1:13" ht="15.75" customHeight="1" x14ac:dyDescent="0.2">
      <c r="A4" s="1948" t="s">
        <v>1579</v>
      </c>
      <c r="B4" s="1949">
        <v>1000</v>
      </c>
      <c r="C4" s="1760">
        <f>'Revenues 9-14'!C109</f>
        <v>518732</v>
      </c>
      <c r="D4" s="1760">
        <f>'Revenues 9-14'!D109</f>
        <v>96356</v>
      </c>
      <c r="E4" s="1760">
        <f>'Revenues 9-14'!E109</f>
        <v>33249</v>
      </c>
      <c r="F4" s="1760">
        <f>'Revenues 9-14'!F109</f>
        <v>0</v>
      </c>
      <c r="G4" s="1760">
        <f>'Revenues 9-14'!G109</f>
        <v>94457</v>
      </c>
      <c r="H4" s="1760">
        <f>'Revenues 9-14'!H109</f>
        <v>0</v>
      </c>
      <c r="I4" s="1760">
        <f>'Revenues 9-14'!I109</f>
        <v>11455</v>
      </c>
      <c r="J4" s="1760">
        <f>'Revenues 9-14'!J109</f>
        <v>98239</v>
      </c>
      <c r="K4" s="1760">
        <f>'Revenues 9-14'!K109</f>
        <v>12434</v>
      </c>
      <c r="L4" s="347"/>
    </row>
    <row r="5" spans="1:13" ht="15.75" customHeight="1" x14ac:dyDescent="0.2">
      <c r="A5" s="1597" t="s">
        <v>1580</v>
      </c>
      <c r="B5" s="1598">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7" t="s">
        <v>1581</v>
      </c>
      <c r="B6" s="1599">
        <v>3000</v>
      </c>
      <c r="C6" s="1761">
        <f>'Revenues 9-14'!C173</f>
        <v>1251735</v>
      </c>
      <c r="D6" s="1761">
        <f>'Revenues 9-14'!D173</f>
        <v>0</v>
      </c>
      <c r="E6" s="1761">
        <f>'Revenues 9-14'!E173</f>
        <v>0</v>
      </c>
      <c r="F6" s="1761">
        <f>'Revenues 9-14'!F173</f>
        <v>7310</v>
      </c>
      <c r="G6" s="1761">
        <f>'Revenues 9-14'!G173</f>
        <v>0</v>
      </c>
      <c r="H6" s="1761">
        <f>'Revenues 9-14'!H173</f>
        <v>0</v>
      </c>
      <c r="I6" s="1761">
        <f>'Revenues 9-14'!I173</f>
        <v>0</v>
      </c>
      <c r="J6" s="1761">
        <f>'Revenues 9-14'!J173</f>
        <v>0</v>
      </c>
      <c r="K6" s="1761">
        <f>'Revenues 9-14'!K173</f>
        <v>0</v>
      </c>
      <c r="L6" s="347"/>
      <c r="M6" s="513"/>
    </row>
    <row r="7" spans="1:13" ht="15.75" customHeight="1" x14ac:dyDescent="0.2">
      <c r="A7" s="1597" t="s">
        <v>1582</v>
      </c>
      <c r="B7" s="1599">
        <v>4000</v>
      </c>
      <c r="C7" s="1761">
        <f>'Revenues 9-14'!C274</f>
        <v>242204</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2012671</v>
      </c>
      <c r="D8" s="1706">
        <f t="shared" ref="D8:K8" si="0">SUM(D4:D7)</f>
        <v>96356</v>
      </c>
      <c r="E8" s="1706">
        <f t="shared" si="0"/>
        <v>33249</v>
      </c>
      <c r="F8" s="1706">
        <f t="shared" si="0"/>
        <v>7310</v>
      </c>
      <c r="G8" s="1706">
        <f t="shared" si="0"/>
        <v>94457</v>
      </c>
      <c r="H8" s="1706">
        <f t="shared" si="0"/>
        <v>0</v>
      </c>
      <c r="I8" s="1706">
        <f t="shared" si="0"/>
        <v>11455</v>
      </c>
      <c r="J8" s="1706">
        <f t="shared" si="0"/>
        <v>98239</v>
      </c>
      <c r="K8" s="1706">
        <f t="shared" si="0"/>
        <v>12434</v>
      </c>
      <c r="L8" s="347"/>
    </row>
    <row r="9" spans="1:13" ht="15.75" thickTop="1" x14ac:dyDescent="0.2">
      <c r="A9" s="514" t="s">
        <v>1752</v>
      </c>
      <c r="B9" s="515">
        <v>3998</v>
      </c>
      <c r="C9" s="481">
        <v>119558</v>
      </c>
      <c r="D9" s="516">
        <v>0</v>
      </c>
      <c r="E9" s="481">
        <v>0</v>
      </c>
      <c r="F9" s="481">
        <v>0</v>
      </c>
      <c r="G9" s="517">
        <v>0</v>
      </c>
      <c r="H9" s="481">
        <v>0</v>
      </c>
      <c r="I9" s="509" t="s">
        <v>1231</v>
      </c>
      <c r="J9" s="478">
        <v>0</v>
      </c>
      <c r="K9" s="481">
        <v>0</v>
      </c>
      <c r="L9" s="347"/>
    </row>
    <row r="10" spans="1:13" s="519" customFormat="1" ht="13.5" thickBot="1" x14ac:dyDescent="0.25">
      <c r="A10" s="1754" t="s">
        <v>1235</v>
      </c>
      <c r="B10" s="1727"/>
      <c r="C10" s="1706">
        <f>SUM(C8:C9)</f>
        <v>2132229</v>
      </c>
      <c r="D10" s="1706">
        <f t="shared" ref="D10:K10" si="1">SUM(D8:D9)</f>
        <v>96356</v>
      </c>
      <c r="E10" s="1706">
        <f t="shared" si="1"/>
        <v>33249</v>
      </c>
      <c r="F10" s="1706">
        <f t="shared" si="1"/>
        <v>7310</v>
      </c>
      <c r="G10" s="1706">
        <f t="shared" si="1"/>
        <v>94457</v>
      </c>
      <c r="H10" s="1706">
        <f t="shared" si="1"/>
        <v>0</v>
      </c>
      <c r="I10" s="1706">
        <f t="shared" si="1"/>
        <v>11455</v>
      </c>
      <c r="J10" s="1706">
        <f t="shared" si="1"/>
        <v>98239</v>
      </c>
      <c r="K10" s="1706">
        <f t="shared" si="1"/>
        <v>12434</v>
      </c>
      <c r="L10" s="518"/>
    </row>
    <row r="11" spans="1:13" s="519" customFormat="1" ht="16.7" customHeight="1" thickTop="1" x14ac:dyDescent="0.2">
      <c r="A11" s="2125" t="s">
        <v>1238</v>
      </c>
      <c r="B11" s="2126"/>
      <c r="C11" s="1591"/>
      <c r="D11" s="1592"/>
      <c r="E11" s="1592"/>
      <c r="F11" s="1592"/>
      <c r="G11" s="1592"/>
      <c r="H11" s="1592"/>
      <c r="I11" s="1592"/>
      <c r="J11" s="1592"/>
      <c r="K11" s="1593"/>
      <c r="L11" s="518"/>
    </row>
    <row r="12" spans="1:13" ht="15.75" customHeight="1" x14ac:dyDescent="0.2">
      <c r="A12" s="1597" t="s">
        <v>476</v>
      </c>
      <c r="B12" s="1599">
        <v>1000</v>
      </c>
      <c r="C12" s="1760">
        <f>'Expenditures 15-22'!K33</f>
        <v>1279634</v>
      </c>
      <c r="D12" s="520" t="s">
        <v>1231</v>
      </c>
      <c r="E12" s="468" t="s">
        <v>1231</v>
      </c>
      <c r="F12" s="468" t="s">
        <v>1231</v>
      </c>
      <c r="G12" s="1760">
        <f>'Expenditures 15-22'!K229</f>
        <v>45576</v>
      </c>
      <c r="H12" s="521"/>
      <c r="I12" s="468" t="s">
        <v>1231</v>
      </c>
      <c r="J12" s="468" t="s">
        <v>1231</v>
      </c>
      <c r="K12" s="521" t="s">
        <v>1231</v>
      </c>
      <c r="L12" s="347"/>
    </row>
    <row r="13" spans="1:13" ht="15.75" customHeight="1" x14ac:dyDescent="0.2">
      <c r="A13" s="1597" t="s">
        <v>477</v>
      </c>
      <c r="B13" s="1599">
        <v>2000</v>
      </c>
      <c r="C13" s="1761">
        <f>'Expenditures 15-22'!K74</f>
        <v>410549</v>
      </c>
      <c r="D13" s="1761">
        <f>'Expenditures 15-22'!K129</f>
        <v>85329</v>
      </c>
      <c r="E13" s="469" t="s">
        <v>1231</v>
      </c>
      <c r="F13" s="1761">
        <f>'Expenditures 15-22'!K184</f>
        <v>5680</v>
      </c>
      <c r="G13" s="1761">
        <f>'Expenditures 15-22'!K279</f>
        <v>56045</v>
      </c>
      <c r="H13" s="1761">
        <f>'Expenditures 15-22'!K303</f>
        <v>0</v>
      </c>
      <c r="I13" s="468" t="s">
        <v>1231</v>
      </c>
      <c r="J13" s="1761">
        <f>'Expenditures 15-22'!K330</f>
        <v>104299</v>
      </c>
      <c r="K13" s="1765">
        <f>'Expenditures 15-22'!K352</f>
        <v>27673</v>
      </c>
      <c r="L13" s="347"/>
    </row>
    <row r="14" spans="1:13" ht="15.75" customHeight="1" x14ac:dyDescent="0.2">
      <c r="A14" s="1597" t="s">
        <v>469</v>
      </c>
      <c r="B14" s="1599">
        <v>3000</v>
      </c>
      <c r="C14" s="1761">
        <f>'Expenditures 15-22'!K75</f>
        <v>1122</v>
      </c>
      <c r="D14" s="1761">
        <f>'Expenditures 15-22'!K130</f>
        <v>0</v>
      </c>
      <c r="E14" s="520" t="s">
        <v>1231</v>
      </c>
      <c r="F14" s="1761">
        <f>'Expenditures 15-22'!K185</f>
        <v>0</v>
      </c>
      <c r="G14" s="1761">
        <f>'Expenditures 15-22'!K280</f>
        <v>8</v>
      </c>
      <c r="H14" s="512"/>
      <c r="I14" s="468" t="s">
        <v>1231</v>
      </c>
      <c r="J14" s="468" t="s">
        <v>1231</v>
      </c>
      <c r="K14" s="512" t="s">
        <v>1231</v>
      </c>
      <c r="L14" s="347"/>
    </row>
    <row r="15" spans="1:13" ht="15.75" customHeight="1" x14ac:dyDescent="0.2">
      <c r="A15" s="1597" t="s">
        <v>109</v>
      </c>
      <c r="B15" s="1599">
        <v>4000</v>
      </c>
      <c r="C15" s="1761">
        <f>'Expenditures 15-22'!K102</f>
        <v>69846</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7" t="s">
        <v>470</v>
      </c>
      <c r="B16" s="1599">
        <v>5000</v>
      </c>
      <c r="C16" s="1761">
        <f>'Expenditures 15-22'!K112</f>
        <v>0</v>
      </c>
      <c r="D16" s="1761">
        <f>'Expenditures 15-22'!K149</f>
        <v>0</v>
      </c>
      <c r="E16" s="1761">
        <f>'Expenditures 15-22'!K172</f>
        <v>34655</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1761151</v>
      </c>
      <c r="D17" s="1706">
        <f t="shared" si="2"/>
        <v>85329</v>
      </c>
      <c r="E17" s="1706">
        <f t="shared" si="2"/>
        <v>34655</v>
      </c>
      <c r="F17" s="1706">
        <f t="shared" si="2"/>
        <v>5680</v>
      </c>
      <c r="G17" s="1706">
        <f t="shared" si="2"/>
        <v>101629</v>
      </c>
      <c r="H17" s="1706">
        <f t="shared" si="2"/>
        <v>0</v>
      </c>
      <c r="I17" s="468"/>
      <c r="J17" s="1706">
        <f>SUM(J12:J16)</f>
        <v>104299</v>
      </c>
      <c r="K17" s="1706">
        <f>SUM(K12:K16)</f>
        <v>27673</v>
      </c>
      <c r="L17" s="347"/>
    </row>
    <row r="18" spans="1:12" ht="15" customHeight="1" thickTop="1" x14ac:dyDescent="0.2">
      <c r="A18" s="1762" t="s">
        <v>1753</v>
      </c>
      <c r="B18" s="1763">
        <v>4180</v>
      </c>
      <c r="C18" s="1760">
        <f t="shared" ref="C18:H18" si="3">C9</f>
        <v>119558</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1880709</v>
      </c>
      <c r="D19" s="1706">
        <f t="shared" si="4"/>
        <v>85329</v>
      </c>
      <c r="E19" s="1706">
        <f t="shared" si="4"/>
        <v>34655</v>
      </c>
      <c r="F19" s="1706">
        <f t="shared" si="4"/>
        <v>5680</v>
      </c>
      <c r="G19" s="1706">
        <f t="shared" si="4"/>
        <v>101629</v>
      </c>
      <c r="H19" s="1706">
        <f t="shared" si="4"/>
        <v>0</v>
      </c>
      <c r="I19" s="468"/>
      <c r="J19" s="1706">
        <f>SUM(J17:J18)</f>
        <v>104299</v>
      </c>
      <c r="K19" s="1706">
        <f>SUM(K17:K18)</f>
        <v>27673</v>
      </c>
      <c r="L19" s="347"/>
    </row>
    <row r="20" spans="1:12" ht="16.5" thickTop="1" thickBot="1" x14ac:dyDescent="0.25">
      <c r="A20" s="2141" t="s">
        <v>1754</v>
      </c>
      <c r="B20" s="2142"/>
      <c r="C20" s="1764">
        <f>C8-C17</f>
        <v>251520</v>
      </c>
      <c r="D20" s="1764">
        <f t="shared" ref="D20:K20" si="5">D8-D17</f>
        <v>11027</v>
      </c>
      <c r="E20" s="1764">
        <f t="shared" si="5"/>
        <v>-1406</v>
      </c>
      <c r="F20" s="1764">
        <f t="shared" si="5"/>
        <v>1630</v>
      </c>
      <c r="G20" s="1764">
        <f t="shared" si="5"/>
        <v>-7172</v>
      </c>
      <c r="H20" s="1764">
        <f t="shared" si="5"/>
        <v>0</v>
      </c>
      <c r="I20" s="1764">
        <f t="shared" si="5"/>
        <v>11455</v>
      </c>
      <c r="J20" s="1764">
        <f t="shared" si="5"/>
        <v>-6060</v>
      </c>
      <c r="K20" s="1764">
        <f t="shared" si="5"/>
        <v>-15239</v>
      </c>
      <c r="L20" s="347"/>
    </row>
    <row r="21" spans="1:12" ht="16.7" customHeight="1" thickTop="1" x14ac:dyDescent="0.2">
      <c r="A21" s="2153" t="s">
        <v>616</v>
      </c>
      <c r="B21" s="2154"/>
      <c r="C21" s="1591"/>
      <c r="D21" s="1592"/>
      <c r="E21" s="1592"/>
      <c r="F21" s="1592"/>
      <c r="G21" s="1592"/>
      <c r="H21" s="1592"/>
      <c r="I21" s="1592"/>
      <c r="J21" s="1592"/>
      <c r="K21" s="1593"/>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0" t="s">
        <v>1755</v>
      </c>
      <c r="B24" s="525">
        <v>7110</v>
      </c>
      <c r="C24" s="467">
        <v>0</v>
      </c>
      <c r="D24" s="477"/>
      <c r="E24" s="477"/>
      <c r="F24" s="477"/>
      <c r="G24" s="477"/>
      <c r="H24" s="477"/>
      <c r="I24" s="477"/>
      <c r="J24" s="477"/>
      <c r="K24" s="477"/>
      <c r="L24" s="524"/>
    </row>
    <row r="25" spans="1:12" s="485" customFormat="1" ht="13.5" customHeight="1" x14ac:dyDescent="0.2">
      <c r="A25" s="1510"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60000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312</v>
      </c>
      <c r="B29" s="483">
        <v>7150</v>
      </c>
      <c r="C29" s="475"/>
      <c r="D29" s="467">
        <v>0</v>
      </c>
      <c r="E29" s="475"/>
      <c r="F29" s="475"/>
      <c r="G29" s="475"/>
      <c r="H29" s="475"/>
      <c r="I29" s="475"/>
      <c r="J29" s="475"/>
      <c r="K29" s="475"/>
      <c r="L29" s="524"/>
    </row>
    <row r="30" spans="1:12" s="485" customFormat="1" ht="26.25" x14ac:dyDescent="0.2">
      <c r="A30" s="1510" t="s">
        <v>1893</v>
      </c>
      <c r="B30" s="527">
        <v>7160</v>
      </c>
      <c r="C30" s="477"/>
      <c r="D30" s="467">
        <v>0</v>
      </c>
      <c r="E30" s="477"/>
      <c r="F30" s="477"/>
      <c r="G30" s="477"/>
      <c r="H30" s="477"/>
      <c r="I30" s="477"/>
      <c r="J30" s="477"/>
      <c r="K30" s="477"/>
      <c r="L30" s="524"/>
    </row>
    <row r="31" spans="1:12" s="485" customFormat="1" ht="26.25" x14ac:dyDescent="0.2">
      <c r="A31" s="1510" t="s">
        <v>1897</v>
      </c>
      <c r="B31" s="527">
        <v>7170</v>
      </c>
      <c r="C31" s="477"/>
      <c r="D31" s="477"/>
      <c r="E31" s="474">
        <v>0</v>
      </c>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0" t="s">
        <v>432</v>
      </c>
      <c r="B33" s="525">
        <v>7210</v>
      </c>
      <c r="C33" s="467">
        <v>0</v>
      </c>
      <c r="D33" s="467">
        <v>0</v>
      </c>
      <c r="E33" s="467">
        <v>0</v>
      </c>
      <c r="F33" s="467">
        <v>0</v>
      </c>
      <c r="G33" s="477"/>
      <c r="H33" s="467">
        <v>0</v>
      </c>
      <c r="I33" s="467">
        <v>0</v>
      </c>
      <c r="J33" s="467">
        <v>0</v>
      </c>
      <c r="K33" s="467">
        <v>0</v>
      </c>
      <c r="L33" s="524"/>
    </row>
    <row r="34" spans="1:12" s="485" customFormat="1" x14ac:dyDescent="0.2">
      <c r="A34" s="1510" t="s">
        <v>1058</v>
      </c>
      <c r="B34" s="525">
        <v>7220</v>
      </c>
      <c r="C34" s="467">
        <v>0</v>
      </c>
      <c r="D34" s="467">
        <v>0</v>
      </c>
      <c r="E34" s="467">
        <v>0</v>
      </c>
      <c r="F34" s="467">
        <v>0</v>
      </c>
      <c r="G34" s="477"/>
      <c r="H34" s="478">
        <v>0</v>
      </c>
      <c r="I34" s="478">
        <v>0</v>
      </c>
      <c r="J34" s="478">
        <v>0</v>
      </c>
      <c r="K34" s="478">
        <v>0</v>
      </c>
      <c r="L34" s="524"/>
    </row>
    <row r="35" spans="1:12" s="485" customFormat="1" x14ac:dyDescent="0.2">
      <c r="A35" s="1510" t="s">
        <v>1047</v>
      </c>
      <c r="B35" s="525">
        <v>7230</v>
      </c>
      <c r="C35" s="467">
        <v>0</v>
      </c>
      <c r="D35" s="467">
        <v>0</v>
      </c>
      <c r="E35" s="467">
        <v>0</v>
      </c>
      <c r="F35" s="467">
        <v>0</v>
      </c>
      <c r="G35" s="480"/>
      <c r="H35" s="467">
        <v>0</v>
      </c>
      <c r="I35" s="467">
        <v>0</v>
      </c>
      <c r="J35" s="467">
        <v>0</v>
      </c>
      <c r="K35" s="467">
        <v>0</v>
      </c>
      <c r="L35" s="524"/>
    </row>
    <row r="36" spans="1:12" s="485" customFormat="1" ht="15" x14ac:dyDescent="0.2">
      <c r="A36" s="1510" t="s">
        <v>1757</v>
      </c>
      <c r="B36" s="525">
        <v>7300</v>
      </c>
      <c r="C36" s="467">
        <v>0</v>
      </c>
      <c r="D36" s="467">
        <v>0</v>
      </c>
      <c r="E36" s="467">
        <v>0</v>
      </c>
      <c r="F36" s="467">
        <v>0</v>
      </c>
      <c r="G36" s="467">
        <v>0</v>
      </c>
      <c r="H36" s="467">
        <v>0</v>
      </c>
      <c r="I36" s="475"/>
      <c r="J36" s="467">
        <v>0</v>
      </c>
      <c r="K36" s="467">
        <v>0</v>
      </c>
      <c r="L36" s="524"/>
    </row>
    <row r="37" spans="1:12" s="485" customFormat="1" x14ac:dyDescent="0.2">
      <c r="A37" s="1510" t="s">
        <v>461</v>
      </c>
      <c r="B37" s="525">
        <v>7400</v>
      </c>
      <c r="C37" s="475"/>
      <c r="D37" s="475"/>
      <c r="E37" s="1761">
        <f>SUM(C54:D57,H54:H57)</f>
        <v>0</v>
      </c>
      <c r="F37" s="475"/>
      <c r="G37" s="475"/>
      <c r="H37" s="475"/>
      <c r="I37" s="477"/>
      <c r="J37" s="475"/>
      <c r="K37" s="475"/>
      <c r="L37" s="524"/>
    </row>
    <row r="38" spans="1:12" s="485" customFormat="1" x14ac:dyDescent="0.2">
      <c r="A38" s="1510" t="s">
        <v>462</v>
      </c>
      <c r="B38" s="525">
        <v>7500</v>
      </c>
      <c r="C38" s="477"/>
      <c r="D38" s="477"/>
      <c r="E38" s="1761">
        <f>SUM(C58:D61,H58:H61)</f>
        <v>0</v>
      </c>
      <c r="F38" s="477"/>
      <c r="G38" s="477"/>
      <c r="H38" s="477"/>
      <c r="I38" s="477"/>
      <c r="J38" s="477"/>
      <c r="K38" s="477"/>
      <c r="L38" s="524"/>
    </row>
    <row r="39" spans="1:12" s="485" customFormat="1" x14ac:dyDescent="0.2">
      <c r="A39" s="1510" t="s">
        <v>463</v>
      </c>
      <c r="B39" s="525">
        <v>7600</v>
      </c>
      <c r="C39" s="477"/>
      <c r="D39" s="477"/>
      <c r="E39" s="1761">
        <f>SUM(C62:D65)</f>
        <v>0</v>
      </c>
      <c r="F39" s="477"/>
      <c r="G39" s="477"/>
      <c r="H39" s="477"/>
      <c r="I39" s="477"/>
      <c r="J39" s="477"/>
      <c r="K39" s="477"/>
      <c r="L39" s="524"/>
    </row>
    <row r="40" spans="1:12" s="485" customFormat="1" ht="13.5" customHeight="1" x14ac:dyDescent="0.2">
      <c r="A40" s="1510" t="s">
        <v>663</v>
      </c>
      <c r="B40" s="483">
        <v>7700</v>
      </c>
      <c r="C40" s="477"/>
      <c r="D40" s="477"/>
      <c r="E40" s="1761">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1">
        <f>SUM(C70:D73)</f>
        <v>0</v>
      </c>
      <c r="I41" s="477"/>
      <c r="J41" s="477"/>
      <c r="K41" s="480"/>
      <c r="L41" s="524"/>
    </row>
    <row r="42" spans="1:12" s="485" customFormat="1" ht="13.5" customHeight="1" x14ac:dyDescent="0.2">
      <c r="A42" s="1510"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391</v>
      </c>
      <c r="B43" s="483">
        <v>7990</v>
      </c>
      <c r="C43" s="467">
        <v>0</v>
      </c>
      <c r="D43" s="467">
        <v>0</v>
      </c>
      <c r="E43" s="467">
        <v>0</v>
      </c>
      <c r="F43" s="467"/>
      <c r="G43" s="467">
        <v>0</v>
      </c>
      <c r="H43" s="467">
        <v>0</v>
      </c>
      <c r="I43" s="467">
        <v>0</v>
      </c>
      <c r="J43" s="467">
        <v>0</v>
      </c>
      <c r="K43" s="467">
        <v>0</v>
      </c>
      <c r="L43" s="524"/>
    </row>
    <row r="44" spans="1:12" s="485" customFormat="1" ht="13.5" customHeight="1" thickBot="1" x14ac:dyDescent="0.25">
      <c r="A44" s="2155" t="s">
        <v>392</v>
      </c>
      <c r="B44" s="2156"/>
      <c r="C44" s="1721">
        <f>SUM(C24:C43)</f>
        <v>0</v>
      </c>
      <c r="D44" s="1721">
        <f t="shared" ref="D44:K44" si="6">SUM(D24:D43)</f>
        <v>0</v>
      </c>
      <c r="E44" s="1721">
        <f t="shared" si="6"/>
        <v>0</v>
      </c>
      <c r="F44" s="1721">
        <f t="shared" si="6"/>
        <v>0</v>
      </c>
      <c r="G44" s="1721">
        <f t="shared" si="6"/>
        <v>60000</v>
      </c>
      <c r="H44" s="1721">
        <f t="shared" si="6"/>
        <v>0</v>
      </c>
      <c r="I44" s="1721">
        <f t="shared" si="6"/>
        <v>0</v>
      </c>
      <c r="J44" s="1721">
        <f t="shared" si="6"/>
        <v>0</v>
      </c>
      <c r="K44" s="1721">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1">
        <f>SUM(C24,C25:H25,J25:K25)</f>
        <v>0</v>
      </c>
      <c r="J47" s="477"/>
      <c r="K47" s="477"/>
      <c r="L47" s="529"/>
    </row>
    <row r="48" spans="1:12" s="485" customFormat="1" ht="15" x14ac:dyDescent="0.2">
      <c r="A48" s="1511" t="s">
        <v>1759</v>
      </c>
      <c r="B48" s="483">
        <v>8120</v>
      </c>
      <c r="C48" s="480"/>
      <c r="D48" s="480"/>
      <c r="E48" s="477"/>
      <c r="F48" s="480"/>
      <c r="G48" s="477"/>
      <c r="H48" s="477"/>
      <c r="I48" s="1761">
        <f>SUM(C26:H26,J26,K26)</f>
        <v>60000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1465</v>
      </c>
      <c r="B50" s="483">
        <v>8140</v>
      </c>
      <c r="C50" s="467">
        <v>0</v>
      </c>
      <c r="D50" s="467">
        <v>0</v>
      </c>
      <c r="E50" s="467">
        <v>0</v>
      </c>
      <c r="F50" s="467">
        <v>0</v>
      </c>
      <c r="G50" s="467">
        <v>0</v>
      </c>
      <c r="H50" s="467">
        <v>0</v>
      </c>
      <c r="I50" s="477"/>
      <c r="J50" s="467">
        <v>0</v>
      </c>
      <c r="K50" s="477"/>
      <c r="L50" s="524"/>
    </row>
    <row r="51" spans="1:12" s="485" customFormat="1" x14ac:dyDescent="0.2">
      <c r="A51" s="1511" t="s">
        <v>312</v>
      </c>
      <c r="B51" s="483">
        <v>8150</v>
      </c>
      <c r="C51" s="475"/>
      <c r="D51" s="475"/>
      <c r="E51" s="475"/>
      <c r="F51" s="475"/>
      <c r="G51" s="475"/>
      <c r="H51" s="1761">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61">
        <f>D30</f>
        <v>0</v>
      </c>
      <c r="L52" s="524"/>
    </row>
    <row r="53" spans="1:12" s="485" customFormat="1" ht="26.25" x14ac:dyDescent="0.2">
      <c r="A53" s="1511" t="s">
        <v>1895</v>
      </c>
      <c r="B53" s="483">
        <v>8170</v>
      </c>
      <c r="C53" s="480"/>
      <c r="D53" s="480"/>
      <c r="E53" s="477"/>
      <c r="F53" s="477"/>
      <c r="G53" s="477"/>
      <c r="H53" s="480"/>
      <c r="I53" s="477"/>
      <c r="J53" s="477"/>
      <c r="K53" s="1761">
        <f>E31</f>
        <v>0</v>
      </c>
      <c r="L53" s="524"/>
    </row>
    <row r="54" spans="1:12" s="485" customFormat="1" ht="13.5" thickBot="1" x14ac:dyDescent="0.25">
      <c r="A54" s="1511" t="s">
        <v>716</v>
      </c>
      <c r="B54" s="483">
        <v>8410</v>
      </c>
      <c r="C54" s="530">
        <v>0</v>
      </c>
      <c r="D54" s="530">
        <v>0</v>
      </c>
      <c r="E54" s="477"/>
      <c r="F54" s="477"/>
      <c r="G54" s="477"/>
      <c r="H54" s="530">
        <v>0</v>
      </c>
      <c r="I54" s="477"/>
      <c r="J54" s="477"/>
      <c r="K54" s="475"/>
      <c r="L54" s="524"/>
    </row>
    <row r="55" spans="1:12" s="485" customFormat="1" ht="14.25" thickTop="1" thickBot="1" x14ac:dyDescent="0.25">
      <c r="A55" s="1512" t="s">
        <v>717</v>
      </c>
      <c r="B55" s="483">
        <v>8420</v>
      </c>
      <c r="C55" s="531">
        <v>0</v>
      </c>
      <c r="D55" s="531">
        <v>0</v>
      </c>
      <c r="E55" s="477"/>
      <c r="F55" s="477"/>
      <c r="G55" s="477"/>
      <c r="H55" s="530">
        <v>0</v>
      </c>
      <c r="I55" s="477"/>
      <c r="J55" s="477"/>
      <c r="K55" s="477"/>
      <c r="L55" s="524"/>
    </row>
    <row r="56" spans="1:12" s="485" customFormat="1" ht="14.25" thickTop="1" thickBot="1" x14ac:dyDescent="0.25">
      <c r="A56" s="1511" t="s">
        <v>602</v>
      </c>
      <c r="B56" s="483">
        <v>8430</v>
      </c>
      <c r="C56" s="531">
        <v>0</v>
      </c>
      <c r="D56" s="531">
        <v>0</v>
      </c>
      <c r="E56" s="477"/>
      <c r="F56" s="477"/>
      <c r="G56" s="477"/>
      <c r="H56" s="530">
        <v>0</v>
      </c>
      <c r="I56" s="477"/>
      <c r="J56" s="477"/>
      <c r="K56" s="477"/>
      <c r="L56" s="524"/>
    </row>
    <row r="57" spans="1:12" s="485" customFormat="1" ht="14.25" thickTop="1" thickBot="1" x14ac:dyDescent="0.25">
      <c r="A57" s="1512" t="s">
        <v>599</v>
      </c>
      <c r="B57" s="483">
        <v>8440</v>
      </c>
      <c r="C57" s="531">
        <v>0</v>
      </c>
      <c r="D57" s="531">
        <v>0</v>
      </c>
      <c r="E57" s="477"/>
      <c r="F57" s="477"/>
      <c r="G57" s="477"/>
      <c r="H57" s="530">
        <v>0</v>
      </c>
      <c r="I57" s="477"/>
      <c r="J57" s="477"/>
      <c r="K57" s="477"/>
      <c r="L57" s="524"/>
    </row>
    <row r="58" spans="1:12" s="485" customFormat="1" ht="14.25" thickTop="1" thickBot="1" x14ac:dyDescent="0.25">
      <c r="A58" s="1511" t="s">
        <v>600</v>
      </c>
      <c r="B58" s="483">
        <v>8510</v>
      </c>
      <c r="C58" s="531">
        <v>0</v>
      </c>
      <c r="D58" s="531">
        <v>0</v>
      </c>
      <c r="E58" s="477"/>
      <c r="F58" s="477"/>
      <c r="G58" s="477"/>
      <c r="H58" s="530">
        <v>0</v>
      </c>
      <c r="I58" s="477"/>
      <c r="J58" s="477"/>
      <c r="K58" s="477"/>
      <c r="L58" s="524"/>
    </row>
    <row r="59" spans="1:12" s="485" customFormat="1" ht="14.25" thickTop="1" thickBot="1" x14ac:dyDescent="0.25">
      <c r="A59" s="1513" t="s">
        <v>718</v>
      </c>
      <c r="B59" s="483">
        <v>8520</v>
      </c>
      <c r="C59" s="531">
        <v>0</v>
      </c>
      <c r="D59" s="531">
        <v>0</v>
      </c>
      <c r="E59" s="477"/>
      <c r="F59" s="477"/>
      <c r="G59" s="477"/>
      <c r="H59" s="530">
        <v>0</v>
      </c>
      <c r="I59" s="477"/>
      <c r="J59" s="477"/>
      <c r="K59" s="477"/>
      <c r="L59" s="524"/>
    </row>
    <row r="60" spans="1:12" s="485" customFormat="1" ht="14.25" thickTop="1" thickBot="1" x14ac:dyDescent="0.25">
      <c r="A60" s="1511" t="s">
        <v>601</v>
      </c>
      <c r="B60" s="483">
        <v>8530</v>
      </c>
      <c r="C60" s="531">
        <v>0</v>
      </c>
      <c r="D60" s="531">
        <v>0</v>
      </c>
      <c r="E60" s="477"/>
      <c r="F60" s="477"/>
      <c r="G60" s="477"/>
      <c r="H60" s="530">
        <v>0</v>
      </c>
      <c r="I60" s="477"/>
      <c r="J60" s="477"/>
      <c r="K60" s="477"/>
      <c r="L60" s="524"/>
    </row>
    <row r="61" spans="1:12" s="485" customFormat="1" ht="14.25" thickTop="1" thickBot="1" x14ac:dyDescent="0.25">
      <c r="A61" s="1512"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768</v>
      </c>
      <c r="B62" s="483">
        <v>8610</v>
      </c>
      <c r="C62" s="531">
        <v>0</v>
      </c>
      <c r="D62" s="531">
        <v>0</v>
      </c>
      <c r="E62" s="477"/>
      <c r="F62" s="477"/>
      <c r="G62" s="477"/>
      <c r="H62" s="477"/>
      <c r="I62" s="477"/>
      <c r="J62" s="477"/>
      <c r="K62" s="477"/>
      <c r="L62" s="524"/>
    </row>
    <row r="63" spans="1:12" s="485" customFormat="1" ht="14.25" thickTop="1" thickBot="1" x14ac:dyDescent="0.25">
      <c r="A63" s="1512" t="s">
        <v>719</v>
      </c>
      <c r="B63" s="483">
        <v>8620</v>
      </c>
      <c r="C63" s="531">
        <v>0</v>
      </c>
      <c r="D63" s="531">
        <v>0</v>
      </c>
      <c r="E63" s="477"/>
      <c r="F63" s="477"/>
      <c r="G63" s="477"/>
      <c r="H63" s="477"/>
      <c r="I63" s="477"/>
      <c r="J63" s="477"/>
      <c r="K63" s="477"/>
      <c r="L63" s="524"/>
    </row>
    <row r="64" spans="1:12" s="485" customFormat="1" ht="13.5" customHeight="1" thickTop="1" thickBot="1" x14ac:dyDescent="0.25">
      <c r="A64" s="1511" t="s">
        <v>769</v>
      </c>
      <c r="B64" s="483">
        <v>8630</v>
      </c>
      <c r="C64" s="531">
        <v>0</v>
      </c>
      <c r="D64" s="531">
        <v>0</v>
      </c>
      <c r="E64" s="477"/>
      <c r="F64" s="477"/>
      <c r="G64" s="477"/>
      <c r="H64" s="477"/>
      <c r="I64" s="477"/>
      <c r="J64" s="477"/>
      <c r="K64" s="477"/>
      <c r="L64" s="524"/>
    </row>
    <row r="65" spans="1:12" s="485" customFormat="1" ht="14.25" thickTop="1" thickBot="1" x14ac:dyDescent="0.25">
      <c r="A65" s="1512" t="s">
        <v>770</v>
      </c>
      <c r="B65" s="483">
        <v>8640</v>
      </c>
      <c r="C65" s="531">
        <v>0</v>
      </c>
      <c r="D65" s="531">
        <v>0</v>
      </c>
      <c r="E65" s="477"/>
      <c r="F65" s="477"/>
      <c r="G65" s="477"/>
      <c r="H65" s="477"/>
      <c r="I65" s="477"/>
      <c r="J65" s="477"/>
      <c r="K65" s="477"/>
      <c r="L65" s="524"/>
    </row>
    <row r="66" spans="1:12" s="485" customFormat="1" ht="14.25" thickTop="1" thickBot="1" x14ac:dyDescent="0.25">
      <c r="A66" s="1511" t="s">
        <v>771</v>
      </c>
      <c r="B66" s="483">
        <v>8710</v>
      </c>
      <c r="C66" s="531">
        <v>0</v>
      </c>
      <c r="D66" s="531">
        <v>0</v>
      </c>
      <c r="E66" s="477"/>
      <c r="F66" s="477"/>
      <c r="G66" s="477"/>
      <c r="H66" s="477"/>
      <c r="I66" s="477"/>
      <c r="J66" s="477"/>
      <c r="K66" s="477"/>
      <c r="L66" s="524"/>
    </row>
    <row r="67" spans="1:12" s="485" customFormat="1" ht="14.25" thickTop="1" thickBot="1" x14ac:dyDescent="0.25">
      <c r="A67" s="1512" t="s">
        <v>720</v>
      </c>
      <c r="B67" s="483">
        <v>8720</v>
      </c>
      <c r="C67" s="531">
        <v>0</v>
      </c>
      <c r="D67" s="531">
        <v>0</v>
      </c>
      <c r="E67" s="477"/>
      <c r="F67" s="477"/>
      <c r="G67" s="477"/>
      <c r="H67" s="477"/>
      <c r="I67" s="477"/>
      <c r="J67" s="477"/>
      <c r="K67" s="477"/>
      <c r="L67" s="524"/>
    </row>
    <row r="68" spans="1:12" s="485" customFormat="1" ht="14.25" thickTop="1" thickBot="1" x14ac:dyDescent="0.25">
      <c r="A68" s="1513" t="s">
        <v>772</v>
      </c>
      <c r="B68" s="483">
        <v>8730</v>
      </c>
      <c r="C68" s="531">
        <v>0</v>
      </c>
      <c r="D68" s="531">
        <v>0</v>
      </c>
      <c r="E68" s="477"/>
      <c r="F68" s="477"/>
      <c r="G68" s="477"/>
      <c r="H68" s="477"/>
      <c r="I68" s="477"/>
      <c r="J68" s="477"/>
      <c r="K68" s="477"/>
      <c r="L68" s="524"/>
    </row>
    <row r="69" spans="1:12" s="485" customFormat="1" ht="14.25" thickTop="1" thickBot="1" x14ac:dyDescent="0.25">
      <c r="A69" s="1512" t="s">
        <v>773</v>
      </c>
      <c r="B69" s="483">
        <v>8740</v>
      </c>
      <c r="C69" s="531">
        <v>0</v>
      </c>
      <c r="D69" s="531">
        <v>0</v>
      </c>
      <c r="E69" s="477"/>
      <c r="F69" s="477"/>
      <c r="G69" s="477"/>
      <c r="H69" s="477"/>
      <c r="I69" s="477"/>
      <c r="J69" s="477"/>
      <c r="K69" s="477"/>
      <c r="L69" s="524"/>
    </row>
    <row r="70" spans="1:12" s="485" customFormat="1" ht="14.25" thickTop="1" thickBot="1" x14ac:dyDescent="0.25">
      <c r="A70" s="1511" t="s">
        <v>774</v>
      </c>
      <c r="B70" s="483">
        <v>8810</v>
      </c>
      <c r="C70" s="531">
        <v>0</v>
      </c>
      <c r="D70" s="531">
        <v>0</v>
      </c>
      <c r="E70" s="477"/>
      <c r="F70" s="477"/>
      <c r="G70" s="477"/>
      <c r="H70" s="477"/>
      <c r="I70" s="477"/>
      <c r="J70" s="477"/>
      <c r="K70" s="477"/>
      <c r="L70" s="524"/>
    </row>
    <row r="71" spans="1:12" s="485" customFormat="1" ht="14.25" thickTop="1" thickBot="1" x14ac:dyDescent="0.25">
      <c r="A71" s="1511" t="s">
        <v>778</v>
      </c>
      <c r="B71" s="483">
        <v>8820</v>
      </c>
      <c r="C71" s="531">
        <v>0</v>
      </c>
      <c r="D71" s="531">
        <v>0</v>
      </c>
      <c r="E71" s="477"/>
      <c r="F71" s="477"/>
      <c r="G71" s="477"/>
      <c r="H71" s="477"/>
      <c r="I71" s="477"/>
      <c r="J71" s="477"/>
      <c r="K71" s="477"/>
      <c r="L71" s="524"/>
    </row>
    <row r="72" spans="1:12" s="485" customFormat="1" ht="14.25" thickTop="1" thickBot="1" x14ac:dyDescent="0.25">
      <c r="A72" s="1511" t="s">
        <v>775</v>
      </c>
      <c r="B72" s="483">
        <v>8830</v>
      </c>
      <c r="C72" s="531">
        <v>0</v>
      </c>
      <c r="D72" s="531">
        <v>0</v>
      </c>
      <c r="E72" s="477"/>
      <c r="F72" s="477"/>
      <c r="G72" s="477"/>
      <c r="H72" s="477"/>
      <c r="I72" s="477"/>
      <c r="J72" s="477"/>
      <c r="K72" s="477"/>
      <c r="L72" s="524"/>
    </row>
    <row r="73" spans="1:12" s="485" customFormat="1" ht="14.25" thickTop="1" thickBot="1" x14ac:dyDescent="0.25">
      <c r="A73" s="1511" t="s">
        <v>776</v>
      </c>
      <c r="B73" s="483">
        <v>8840</v>
      </c>
      <c r="C73" s="531">
        <v>0</v>
      </c>
      <c r="D73" s="531">
        <v>0</v>
      </c>
      <c r="E73" s="477"/>
      <c r="F73" s="477"/>
      <c r="G73" s="477"/>
      <c r="H73" s="477"/>
      <c r="I73" s="477"/>
      <c r="J73" s="477"/>
      <c r="K73" s="480"/>
      <c r="L73" s="524"/>
    </row>
    <row r="74" spans="1:12" s="485" customFormat="1" ht="14.25" thickTop="1" thickBot="1" x14ac:dyDescent="0.25">
      <c r="A74" s="1511"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1" t="s">
        <v>460</v>
      </c>
      <c r="B76" s="2132"/>
      <c r="C76" s="1721">
        <f t="shared" ref="C76:K76" si="7">SUM(C47:C75)</f>
        <v>0</v>
      </c>
      <c r="D76" s="1721">
        <f t="shared" si="7"/>
        <v>0</v>
      </c>
      <c r="E76" s="1721">
        <f t="shared" si="7"/>
        <v>0</v>
      </c>
      <c r="F76" s="1721">
        <f t="shared" si="7"/>
        <v>0</v>
      </c>
      <c r="G76" s="1721">
        <f t="shared" si="7"/>
        <v>0</v>
      </c>
      <c r="H76" s="1721">
        <f t="shared" si="7"/>
        <v>0</v>
      </c>
      <c r="I76" s="1721">
        <f t="shared" si="7"/>
        <v>60000</v>
      </c>
      <c r="J76" s="1721">
        <f t="shared" si="7"/>
        <v>0</v>
      </c>
      <c r="K76" s="1721">
        <f t="shared" si="7"/>
        <v>0</v>
      </c>
      <c r="L76" s="524"/>
    </row>
    <row r="77" spans="1:12" ht="14.25" thickTop="1" thickBot="1" x14ac:dyDescent="0.25">
      <c r="A77" s="2133" t="s">
        <v>1239</v>
      </c>
      <c r="B77" s="2134"/>
      <c r="C77" s="1721">
        <f t="shared" ref="C77:K77" si="8">C44-C76</f>
        <v>0</v>
      </c>
      <c r="D77" s="1721">
        <f t="shared" si="8"/>
        <v>0</v>
      </c>
      <c r="E77" s="1721">
        <f t="shared" si="8"/>
        <v>0</v>
      </c>
      <c r="F77" s="1721">
        <f t="shared" si="8"/>
        <v>0</v>
      </c>
      <c r="G77" s="1721">
        <f t="shared" si="8"/>
        <v>60000</v>
      </c>
      <c r="H77" s="1721">
        <f t="shared" si="8"/>
        <v>0</v>
      </c>
      <c r="I77" s="1721">
        <f t="shared" si="8"/>
        <v>-60000</v>
      </c>
      <c r="J77" s="1721">
        <f t="shared" si="8"/>
        <v>0</v>
      </c>
      <c r="K77" s="1721">
        <f t="shared" si="8"/>
        <v>0</v>
      </c>
      <c r="L77" s="347"/>
    </row>
    <row r="78" spans="1:12" ht="21.75" customHeight="1" thickTop="1" thickBot="1" x14ac:dyDescent="0.25">
      <c r="A78" s="2137" t="s">
        <v>618</v>
      </c>
      <c r="B78" s="2138"/>
      <c r="C78" s="1720">
        <f t="shared" ref="C78:K78" si="9">C20+C77</f>
        <v>251520</v>
      </c>
      <c r="D78" s="1720">
        <f t="shared" si="9"/>
        <v>11027</v>
      </c>
      <c r="E78" s="1720">
        <f t="shared" si="9"/>
        <v>-1406</v>
      </c>
      <c r="F78" s="1720">
        <f t="shared" si="9"/>
        <v>1630</v>
      </c>
      <c r="G78" s="1720">
        <f t="shared" si="9"/>
        <v>52828</v>
      </c>
      <c r="H78" s="1720">
        <f t="shared" si="9"/>
        <v>0</v>
      </c>
      <c r="I78" s="1720">
        <f t="shared" si="9"/>
        <v>-48545</v>
      </c>
      <c r="J78" s="1720">
        <f t="shared" si="9"/>
        <v>-6060</v>
      </c>
      <c r="K78" s="1720">
        <f t="shared" si="9"/>
        <v>-15239</v>
      </c>
      <c r="L78" s="533"/>
    </row>
    <row r="79" spans="1:12" ht="13.5" thickTop="1" x14ac:dyDescent="0.2">
      <c r="A79" s="1515" t="s">
        <v>2069</v>
      </c>
      <c r="B79" s="534"/>
      <c r="C79" s="478">
        <v>1204137</v>
      </c>
      <c r="D79" s="535">
        <v>105907</v>
      </c>
      <c r="E79" s="535">
        <v>7519</v>
      </c>
      <c r="F79" s="535">
        <v>8243</v>
      </c>
      <c r="G79" s="535">
        <v>-15571</v>
      </c>
      <c r="H79" s="535">
        <v>0</v>
      </c>
      <c r="I79" s="535">
        <v>67027</v>
      </c>
      <c r="J79" s="535">
        <v>61123</v>
      </c>
      <c r="K79" s="535">
        <v>42142</v>
      </c>
      <c r="L79" s="347"/>
    </row>
    <row r="80" spans="1:12" x14ac:dyDescent="0.2">
      <c r="A80" s="2143" t="s">
        <v>1894</v>
      </c>
      <c r="B80" s="2144"/>
      <c r="C80" s="467">
        <v>0</v>
      </c>
      <c r="D80" s="467">
        <v>0</v>
      </c>
      <c r="E80" s="467">
        <v>0</v>
      </c>
      <c r="F80" s="467">
        <v>0</v>
      </c>
      <c r="G80" s="467">
        <v>0</v>
      </c>
      <c r="H80" s="467">
        <v>0</v>
      </c>
      <c r="I80" s="467">
        <v>0</v>
      </c>
      <c r="J80" s="467">
        <v>0</v>
      </c>
      <c r="K80" s="467">
        <v>0</v>
      </c>
      <c r="L80" s="347"/>
    </row>
    <row r="81" spans="1:12" ht="13.5" thickBot="1" x14ac:dyDescent="0.25">
      <c r="A81" s="2135" t="s">
        <v>2070</v>
      </c>
      <c r="B81" s="2136"/>
      <c r="C81" s="1706">
        <f>(SUM(C78:C80))</f>
        <v>1455657</v>
      </c>
      <c r="D81" s="1706">
        <f>SUM(D78:D80)</f>
        <v>116934</v>
      </c>
      <c r="E81" s="1706">
        <f t="shared" ref="E81:K81" si="10">SUM(E78:E80)</f>
        <v>6113</v>
      </c>
      <c r="F81" s="1706">
        <f t="shared" si="10"/>
        <v>9873</v>
      </c>
      <c r="G81" s="1706">
        <f t="shared" si="10"/>
        <v>37257</v>
      </c>
      <c r="H81" s="1706">
        <f t="shared" si="10"/>
        <v>0</v>
      </c>
      <c r="I81" s="1706">
        <f t="shared" si="10"/>
        <v>18482</v>
      </c>
      <c r="J81" s="1706">
        <f t="shared" si="10"/>
        <v>55063</v>
      </c>
      <c r="K81" s="1706">
        <f t="shared" si="10"/>
        <v>26903</v>
      </c>
      <c r="L81" s="347"/>
    </row>
    <row r="82" spans="1:12" ht="0.75" customHeight="1" thickTop="1" thickBot="1" x14ac:dyDescent="0.25">
      <c r="A82" s="536" t="s">
        <v>361</v>
      </c>
      <c r="B82" s="537"/>
      <c r="C82" s="538">
        <f>(C81-C79)</f>
        <v>251520</v>
      </c>
      <c r="D82" s="538">
        <f t="shared" ref="D82:K82" si="11">(D81-D79)</f>
        <v>11027</v>
      </c>
      <c r="E82" s="538">
        <f t="shared" si="11"/>
        <v>-1406</v>
      </c>
      <c r="F82" s="538">
        <f t="shared" si="11"/>
        <v>1630</v>
      </c>
      <c r="G82" s="538">
        <f t="shared" si="11"/>
        <v>52828</v>
      </c>
      <c r="H82" s="538">
        <f t="shared" si="11"/>
        <v>0</v>
      </c>
      <c r="I82" s="538">
        <f t="shared" si="11"/>
        <v>-48545</v>
      </c>
      <c r="J82" s="538">
        <f t="shared" si="11"/>
        <v>-6060</v>
      </c>
      <c r="K82" s="538">
        <f t="shared" si="11"/>
        <v>-15239</v>
      </c>
    </row>
    <row r="83" spans="1:12" ht="14.25" hidden="1" thickTop="1" thickBot="1" x14ac:dyDescent="0.25">
      <c r="A83" s="539" t="s">
        <v>362</v>
      </c>
      <c r="B83" s="464"/>
      <c r="C83" s="540">
        <f>C82/C81</f>
        <v>0.17278795760264953</v>
      </c>
      <c r="D83" s="540">
        <f t="shared" ref="D83:K83" si="12">D82/D81</f>
        <v>9.4301058716883032E-2</v>
      </c>
      <c r="E83" s="540">
        <f t="shared" si="12"/>
        <v>-0.23000163585800754</v>
      </c>
      <c r="F83" s="540">
        <f t="shared" si="12"/>
        <v>0.16509672845133191</v>
      </c>
      <c r="G83" s="540">
        <f t="shared" si="12"/>
        <v>1.41793488471965</v>
      </c>
      <c r="H83" s="540" t="e">
        <f t="shared" si="12"/>
        <v>#DIV/0!</v>
      </c>
      <c r="I83" s="540">
        <f t="shared" si="12"/>
        <v>-2.6266096742776757</v>
      </c>
      <c r="J83" s="540">
        <f t="shared" si="12"/>
        <v>-0.11005575431778145</v>
      </c>
      <c r="K83" s="540">
        <f t="shared" si="12"/>
        <v>-0.56644240419284098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&amp;L&amp;"Calibri,Regular"&amp;8Print Date: &amp;D
&amp;F&amp;C&amp;"Calibri,Regular"&amp;8The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1901</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368316</v>
      </c>
      <c r="D5" s="481">
        <v>63329</v>
      </c>
      <c r="E5" s="466">
        <v>33153</v>
      </c>
      <c r="F5" s="548">
        <v>0</v>
      </c>
      <c r="G5" s="466">
        <v>53497</v>
      </c>
      <c r="H5" s="466">
        <v>0</v>
      </c>
      <c r="I5" s="466">
        <v>11422</v>
      </c>
      <c r="J5" s="467">
        <v>97954</v>
      </c>
      <c r="K5" s="466">
        <v>12398</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4875</v>
      </c>
      <c r="D7" s="466">
        <v>0</v>
      </c>
      <c r="E7" s="468"/>
      <c r="F7" s="467">
        <v>0</v>
      </c>
      <c r="G7" s="467">
        <v>0</v>
      </c>
      <c r="H7" s="467">
        <v>0</v>
      </c>
      <c r="I7" s="468"/>
      <c r="J7" s="468"/>
      <c r="K7" s="468"/>
    </row>
    <row r="8" spans="1:12" x14ac:dyDescent="0.2">
      <c r="A8" s="463" t="s">
        <v>433</v>
      </c>
      <c r="B8" s="470">
        <v>1150</v>
      </c>
      <c r="C8" s="475"/>
      <c r="D8" s="475"/>
      <c r="E8" s="477"/>
      <c r="F8" s="477"/>
      <c r="G8" s="481">
        <v>40187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3" t="s">
        <v>29</v>
      </c>
      <c r="B12" s="1724"/>
      <c r="C12" s="1725">
        <f t="shared" ref="C12:K12" si="0">SUM(C5:C11)</f>
        <v>373191</v>
      </c>
      <c r="D12" s="1725">
        <f t="shared" si="0"/>
        <v>63329</v>
      </c>
      <c r="E12" s="1725">
        <f t="shared" si="0"/>
        <v>33153</v>
      </c>
      <c r="F12" s="1725">
        <f t="shared" si="0"/>
        <v>0</v>
      </c>
      <c r="G12" s="1725">
        <f t="shared" si="0"/>
        <v>93684</v>
      </c>
      <c r="H12" s="1725">
        <f t="shared" si="0"/>
        <v>0</v>
      </c>
      <c r="I12" s="1725">
        <f t="shared" si="0"/>
        <v>11422</v>
      </c>
      <c r="J12" s="1725">
        <f t="shared" si="0"/>
        <v>97954</v>
      </c>
      <c r="K12" s="1706">
        <f t="shared" si="0"/>
        <v>12398</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1087</v>
      </c>
      <c r="D14" s="466">
        <v>185</v>
      </c>
      <c r="E14" s="466">
        <v>96</v>
      </c>
      <c r="F14" s="466">
        <v>0</v>
      </c>
      <c r="G14" s="466">
        <v>273</v>
      </c>
      <c r="H14" s="466">
        <v>0</v>
      </c>
      <c r="I14" s="466">
        <v>33</v>
      </c>
      <c r="J14" s="467">
        <v>285</v>
      </c>
      <c r="K14" s="466">
        <v>36</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23269</v>
      </c>
      <c r="D16" s="466">
        <v>0</v>
      </c>
      <c r="E16" s="466">
        <v>0</v>
      </c>
      <c r="F16" s="466">
        <v>0</v>
      </c>
      <c r="G16" s="466">
        <v>500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6" t="s">
        <v>558</v>
      </c>
      <c r="B18" s="1727"/>
      <c r="C18" s="1728">
        <f>SUM(C14:C17)</f>
        <v>24356</v>
      </c>
      <c r="D18" s="1728">
        <f t="shared" ref="D18:K18" si="1">SUM(D14:D17)</f>
        <v>185</v>
      </c>
      <c r="E18" s="1728">
        <f t="shared" si="1"/>
        <v>96</v>
      </c>
      <c r="F18" s="1728">
        <f t="shared" si="1"/>
        <v>0</v>
      </c>
      <c r="G18" s="1728">
        <f t="shared" si="1"/>
        <v>773</v>
      </c>
      <c r="H18" s="1728">
        <f t="shared" si="1"/>
        <v>0</v>
      </c>
      <c r="I18" s="1728">
        <f t="shared" si="1"/>
        <v>33</v>
      </c>
      <c r="J18" s="1728">
        <f t="shared" si="1"/>
        <v>285</v>
      </c>
      <c r="K18" s="1729">
        <f t="shared" si="1"/>
        <v>36</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6" t="s">
        <v>615</v>
      </c>
      <c r="B39" s="556">
        <v>1354</v>
      </c>
      <c r="C39" s="489">
        <v>0</v>
      </c>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1168</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1169</v>
      </c>
      <c r="B56" s="557">
        <v>1442</v>
      </c>
      <c r="C56" s="468"/>
      <c r="D56" s="468"/>
      <c r="E56" s="468"/>
      <c r="F56" s="466">
        <v>0</v>
      </c>
      <c r="G56" s="468"/>
      <c r="H56" s="468"/>
      <c r="I56" s="468"/>
      <c r="J56" s="468"/>
      <c r="K56" s="468"/>
    </row>
    <row r="57" spans="1:11" ht="12.75" customHeight="1" x14ac:dyDescent="0.2">
      <c r="A57" s="1517" t="s">
        <v>510</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933</v>
      </c>
      <c r="B59" s="557">
        <v>1451</v>
      </c>
      <c r="C59" s="468"/>
      <c r="D59" s="468"/>
      <c r="E59" s="468"/>
      <c r="F59" s="466">
        <v>0</v>
      </c>
      <c r="G59" s="468"/>
      <c r="H59" s="468"/>
      <c r="I59" s="468"/>
      <c r="J59" s="468"/>
      <c r="K59" s="468"/>
    </row>
    <row r="60" spans="1:11" ht="12.75" customHeight="1" x14ac:dyDescent="0.2">
      <c r="A60" s="1517"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8" t="s">
        <v>935</v>
      </c>
      <c r="B62" s="558">
        <v>1454</v>
      </c>
      <c r="C62" s="468"/>
      <c r="D62" s="468"/>
      <c r="E62" s="468"/>
      <c r="F62" s="467">
        <v>0</v>
      </c>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23245</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6" t="s">
        <v>507</v>
      </c>
      <c r="B67" s="1727"/>
      <c r="C67" s="1706">
        <f>SUM(C65:C66)</f>
        <v>23245</v>
      </c>
      <c r="D67" s="1706">
        <f t="shared" ref="D67:K67" si="2">SUM(D65:D66)</f>
        <v>0</v>
      </c>
      <c r="E67" s="1706">
        <f t="shared" si="2"/>
        <v>0</v>
      </c>
      <c r="F67" s="1706">
        <f t="shared" si="2"/>
        <v>0</v>
      </c>
      <c r="G67" s="1706">
        <f t="shared" si="2"/>
        <v>0</v>
      </c>
      <c r="H67" s="1706">
        <f t="shared" si="2"/>
        <v>0</v>
      </c>
      <c r="I67" s="1706">
        <f t="shared" si="2"/>
        <v>0</v>
      </c>
      <c r="J67" s="1706">
        <f t="shared" si="2"/>
        <v>0</v>
      </c>
      <c r="K67" s="1706">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6691</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6" t="s">
        <v>569</v>
      </c>
      <c r="B75" s="1727"/>
      <c r="C75" s="1706">
        <f>SUM(C69:C74)</f>
        <v>6691</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15718</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664</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17247</v>
      </c>
      <c r="D81" s="466">
        <v>0</v>
      </c>
      <c r="E81" s="468"/>
      <c r="F81" s="468"/>
      <c r="G81" s="468"/>
      <c r="H81" s="468"/>
      <c r="I81" s="468"/>
      <c r="J81" s="468"/>
      <c r="K81" s="468"/>
    </row>
    <row r="82" spans="1:11" ht="12.75" customHeight="1" thickBot="1" x14ac:dyDescent="0.25">
      <c r="A82" s="1726" t="s">
        <v>259</v>
      </c>
      <c r="B82" s="1727"/>
      <c r="C82" s="1725">
        <f>SUM(C77:C81)</f>
        <v>33629</v>
      </c>
      <c r="D82" s="1706">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7770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6" t="s">
        <v>261</v>
      </c>
      <c r="B93" s="1727"/>
      <c r="C93" s="1706">
        <f>SUM(C84:C92)</f>
        <v>7770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0</v>
      </c>
      <c r="D95" s="551">
        <v>32842</v>
      </c>
      <c r="E95" s="521"/>
      <c r="F95" s="521"/>
      <c r="G95" s="521"/>
      <c r="H95" s="521"/>
      <c r="I95" s="521"/>
      <c r="J95" s="521"/>
      <c r="K95" s="521"/>
    </row>
    <row r="96" spans="1:11" ht="12.75" customHeight="1" x14ac:dyDescent="0.2">
      <c r="A96" s="463" t="s">
        <v>409</v>
      </c>
      <c r="B96" s="470">
        <v>1920</v>
      </c>
      <c r="C96" s="551">
        <v>2763</v>
      </c>
      <c r="D96" s="551">
        <v>0</v>
      </c>
      <c r="E96" s="479">
        <v>0</v>
      </c>
      <c r="F96" s="478">
        <v>0</v>
      </c>
      <c r="G96" s="478">
        <v>0</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14045</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450</v>
      </c>
      <c r="D105" s="561"/>
      <c r="E105" s="468"/>
      <c r="F105" s="468"/>
      <c r="G105" s="468"/>
      <c r="H105" s="510"/>
      <c r="I105" s="468"/>
      <c r="J105" s="468"/>
      <c r="K105" s="468"/>
    </row>
    <row r="106" spans="1:12" ht="12.75" customHeight="1" x14ac:dyDescent="0.2">
      <c r="A106" s="463" t="s">
        <v>1505</v>
      </c>
      <c r="B106" s="470">
        <v>1993</v>
      </c>
      <c r="C106" s="466">
        <v>32065</v>
      </c>
      <c r="D106" s="489">
        <v>0</v>
      </c>
      <c r="E106" s="467">
        <v>0</v>
      </c>
      <c r="F106" s="467">
        <v>0</v>
      </c>
      <c r="G106" s="467">
        <v>0</v>
      </c>
      <c r="H106" s="467">
        <v>0</v>
      </c>
      <c r="I106" s="521"/>
      <c r="J106" s="467">
        <v>0</v>
      </c>
      <c r="K106" s="467">
        <v>0</v>
      </c>
    </row>
    <row r="107" spans="1:12" ht="12.75" customHeight="1" x14ac:dyDescent="0.2">
      <c r="A107" s="463" t="s">
        <v>80</v>
      </c>
      <c r="B107" s="470">
        <v>1999</v>
      </c>
      <c r="C107" s="551">
        <v>527</v>
      </c>
      <c r="D107" s="466">
        <v>0</v>
      </c>
      <c r="E107" s="466">
        <v>0</v>
      </c>
      <c r="F107" s="466">
        <v>0</v>
      </c>
      <c r="G107" s="466">
        <v>0</v>
      </c>
      <c r="H107" s="466">
        <v>0</v>
      </c>
      <c r="I107" s="466">
        <v>0</v>
      </c>
      <c r="J107" s="467">
        <v>0</v>
      </c>
      <c r="K107" s="466">
        <v>0</v>
      </c>
    </row>
    <row r="108" spans="1:12" ht="12.75" customHeight="1" thickBot="1" x14ac:dyDescent="0.25">
      <c r="A108" s="1726" t="s">
        <v>508</v>
      </c>
      <c r="B108" s="1730"/>
      <c r="C108" s="1725">
        <f>SUM(C95:C107)</f>
        <v>49850</v>
      </c>
      <c r="D108" s="1725">
        <f t="shared" ref="D108:K108" si="3">SUM(D95:D107)</f>
        <v>32842</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518732</v>
      </c>
      <c r="D109" s="1733">
        <f t="shared" si="4"/>
        <v>96356</v>
      </c>
      <c r="E109" s="1733">
        <f t="shared" si="4"/>
        <v>33249</v>
      </c>
      <c r="F109" s="1733">
        <f t="shared" si="4"/>
        <v>0</v>
      </c>
      <c r="G109" s="1733">
        <f t="shared" si="4"/>
        <v>94457</v>
      </c>
      <c r="H109" s="1733">
        <f t="shared" si="4"/>
        <v>0</v>
      </c>
      <c r="I109" s="1733">
        <f t="shared" si="4"/>
        <v>11455</v>
      </c>
      <c r="J109" s="1733">
        <f t="shared" si="4"/>
        <v>98239</v>
      </c>
      <c r="K109" s="1720">
        <f t="shared" si="4"/>
        <v>12434</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1212390</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7"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6" t="s">
        <v>509</v>
      </c>
      <c r="B121" s="1737"/>
      <c r="C121" s="1725">
        <f t="shared" ref="C121:H121" si="5">SUM(C117:C120)</f>
        <v>1212390</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17644</v>
      </c>
      <c r="D125" s="561"/>
      <c r="E125" s="468"/>
      <c r="F125" s="466">
        <v>0</v>
      </c>
      <c r="G125" s="468"/>
      <c r="H125" s="468"/>
      <c r="I125" s="468"/>
      <c r="J125" s="468"/>
      <c r="K125" s="468"/>
    </row>
    <row r="126" spans="1:11" ht="12.75" customHeight="1" x14ac:dyDescent="0.2">
      <c r="A126" s="463" t="s">
        <v>922</v>
      </c>
      <c r="B126" s="562">
        <v>3110</v>
      </c>
      <c r="C126" s="551">
        <v>18625</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6" t="s">
        <v>1092</v>
      </c>
      <c r="B131" s="1738"/>
      <c r="C131" s="1725">
        <f>SUM(C124:C130)</f>
        <v>36269</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9" t="s">
        <v>1116</v>
      </c>
      <c r="B145" s="568">
        <v>3360</v>
      </c>
      <c r="C145" s="569">
        <v>1576</v>
      </c>
      <c r="D145" s="570"/>
      <c r="E145" s="509"/>
      <c r="F145" s="468"/>
      <c r="G145" s="571"/>
      <c r="H145" s="468"/>
      <c r="I145" s="468"/>
      <c r="J145" s="468"/>
      <c r="K145" s="468"/>
    </row>
    <row r="146" spans="1:11" ht="12.75" customHeight="1" thickBot="1" x14ac:dyDescent="0.25">
      <c r="A146" s="1520" t="s">
        <v>979</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0</v>
      </c>
      <c r="D147" s="573">
        <v>0</v>
      </c>
      <c r="E147" s="509"/>
      <c r="F147" s="468"/>
      <c r="G147" s="468"/>
      <c r="H147" s="468"/>
      <c r="I147" s="468"/>
      <c r="J147" s="468"/>
      <c r="K147" s="468"/>
    </row>
    <row r="148" spans="1:11" ht="12.75" customHeight="1" thickTop="1" thickBot="1" x14ac:dyDescent="0.25">
      <c r="A148" s="1521"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0</v>
      </c>
      <c r="G151" s="467">
        <v>0</v>
      </c>
      <c r="H151" s="468"/>
      <c r="I151" s="468"/>
      <c r="J151" s="468"/>
      <c r="K151" s="468"/>
    </row>
    <row r="152" spans="1:11" ht="12.75" customHeight="1" x14ac:dyDescent="0.2">
      <c r="A152" s="463" t="s">
        <v>1117</v>
      </c>
      <c r="B152" s="562">
        <v>3510</v>
      </c>
      <c r="C152" s="551">
        <v>0</v>
      </c>
      <c r="D152" s="466">
        <v>0</v>
      </c>
      <c r="E152" s="561"/>
      <c r="F152" s="466">
        <v>7310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6" t="s">
        <v>96</v>
      </c>
      <c r="B154" s="1738"/>
      <c r="C154" s="1725">
        <f>SUM(C151:C153)</f>
        <v>0</v>
      </c>
      <c r="D154" s="1725">
        <f>SUM(D151:D153)</f>
        <v>0</v>
      </c>
      <c r="E154" s="561"/>
      <c r="F154" s="1725">
        <f>SUM(F151:F153)</f>
        <v>7310</v>
      </c>
      <c r="G154" s="1725">
        <f>SUM(G151:G153)</f>
        <v>0</v>
      </c>
      <c r="H154" s="468"/>
      <c r="I154" s="468"/>
      <c r="J154" s="468"/>
      <c r="K154" s="468"/>
    </row>
    <row r="155" spans="1:11" ht="12.75" customHeight="1" thickTop="1" thickBot="1" x14ac:dyDescent="0.25">
      <c r="A155" s="1521" t="s">
        <v>398</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1057</v>
      </c>
      <c r="B157" s="574">
        <v>3695</v>
      </c>
      <c r="C157" s="576">
        <v>0</v>
      </c>
      <c r="D157" s="468"/>
      <c r="E157" s="561"/>
      <c r="F157" s="576">
        <v>0</v>
      </c>
      <c r="G157" s="576">
        <v>0</v>
      </c>
      <c r="H157" s="468"/>
      <c r="I157" s="468"/>
      <c r="J157" s="468"/>
      <c r="K157" s="468"/>
    </row>
    <row r="158" spans="1:11" ht="12.75" customHeight="1" thickTop="1" thickBot="1" x14ac:dyDescent="0.25">
      <c r="A158" s="1521" t="s">
        <v>1111</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415</v>
      </c>
      <c r="B161" s="574">
        <v>3725</v>
      </c>
      <c r="C161" s="531">
        <v>0</v>
      </c>
      <c r="D161" s="468"/>
      <c r="E161" s="561"/>
      <c r="F161" s="531">
        <v>0</v>
      </c>
      <c r="G161" s="531">
        <v>0</v>
      </c>
      <c r="H161" s="468"/>
      <c r="I161" s="468"/>
      <c r="J161" s="468"/>
      <c r="K161" s="468"/>
    </row>
    <row r="162" spans="1:11" ht="12.75" customHeight="1" thickTop="1" thickBot="1" x14ac:dyDescent="0.25">
      <c r="A162" s="1521" t="s">
        <v>416</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1042</v>
      </c>
      <c r="B164" s="574">
        <v>3767</v>
      </c>
      <c r="C164" s="576">
        <v>0</v>
      </c>
      <c r="D164" s="531">
        <v>0</v>
      </c>
      <c r="E164" s="561"/>
      <c r="F164" s="531">
        <v>0</v>
      </c>
      <c r="G164" s="531">
        <v>0</v>
      </c>
      <c r="H164" s="468"/>
      <c r="I164" s="468"/>
      <c r="J164" s="468"/>
      <c r="K164" s="468"/>
    </row>
    <row r="165" spans="1:11" ht="12.75" customHeight="1" thickTop="1" thickBot="1" x14ac:dyDescent="0.25">
      <c r="A165" s="1521"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913</v>
      </c>
      <c r="B167" s="574">
        <v>3815</v>
      </c>
      <c r="C167" s="576">
        <v>0</v>
      </c>
      <c r="D167" s="468"/>
      <c r="E167" s="561"/>
      <c r="F167" s="576">
        <v>0</v>
      </c>
      <c r="G167" s="468"/>
      <c r="H167" s="468"/>
      <c r="I167" s="468"/>
      <c r="J167" s="468"/>
      <c r="K167" s="468"/>
    </row>
    <row r="168" spans="1:11" ht="12.75" customHeight="1" thickTop="1" thickBot="1" x14ac:dyDescent="0.25">
      <c r="A168" s="1521" t="s">
        <v>417</v>
      </c>
      <c r="B168" s="574">
        <v>3825</v>
      </c>
      <c r="C168" s="576">
        <v>0</v>
      </c>
      <c r="D168" s="468"/>
      <c r="E168" s="561"/>
      <c r="F168" s="576">
        <v>0</v>
      </c>
      <c r="G168" s="468"/>
      <c r="H168" s="468"/>
      <c r="I168" s="468"/>
      <c r="J168" s="468"/>
      <c r="K168" s="468"/>
    </row>
    <row r="169" spans="1:11" ht="12.75" customHeight="1" thickTop="1" thickBot="1" x14ac:dyDescent="0.25">
      <c r="A169" s="1521" t="s">
        <v>366</v>
      </c>
      <c r="B169" s="574">
        <v>3920</v>
      </c>
      <c r="C169" s="566"/>
      <c r="D169" s="578">
        <v>0</v>
      </c>
      <c r="E169" s="468"/>
      <c r="F169" s="566"/>
      <c r="G169" s="468"/>
      <c r="H169" s="530">
        <v>0</v>
      </c>
      <c r="I169" s="468"/>
      <c r="J169" s="468"/>
      <c r="K169" s="468"/>
    </row>
    <row r="170" spans="1:11" ht="12.75" customHeight="1" thickTop="1" thickBot="1" x14ac:dyDescent="0.25">
      <c r="A170" s="1521" t="s">
        <v>367</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1500</v>
      </c>
      <c r="D171" s="580">
        <v>0</v>
      </c>
      <c r="E171" s="580">
        <v>0</v>
      </c>
      <c r="F171" s="580">
        <v>0</v>
      </c>
      <c r="G171" s="581">
        <v>0</v>
      </c>
      <c r="H171" s="582">
        <v>0</v>
      </c>
      <c r="I171" s="581">
        <v>0</v>
      </c>
      <c r="J171" s="581">
        <v>0</v>
      </c>
      <c r="K171" s="582">
        <v>0</v>
      </c>
    </row>
    <row r="172" spans="1:11" ht="12.75" customHeight="1" thickTop="1" thickBot="1" x14ac:dyDescent="0.25">
      <c r="A172" s="2159" t="s">
        <v>418</v>
      </c>
      <c r="B172" s="2160"/>
      <c r="C172" s="1740">
        <f t="shared" ref="C172:K172" si="6">SUM(C131,C140,C144,C145:C149,C154,C155:C170,C171)</f>
        <v>39345</v>
      </c>
      <c r="D172" s="1740">
        <f t="shared" si="6"/>
        <v>0</v>
      </c>
      <c r="E172" s="1740">
        <f t="shared" si="6"/>
        <v>0</v>
      </c>
      <c r="F172" s="1740">
        <f t="shared" si="6"/>
        <v>7310</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1251735</v>
      </c>
      <c r="D173" s="1733">
        <f>SUM(D121,D172)</f>
        <v>0</v>
      </c>
      <c r="E173" s="1733">
        <f>SUM(E121,E172)</f>
        <v>0</v>
      </c>
      <c r="F173" s="1733">
        <f t="shared" ref="F173:K173" si="7">SUM(F121,F172)</f>
        <v>7310</v>
      </c>
      <c r="G173" s="1733">
        <f t="shared" si="7"/>
        <v>0</v>
      </c>
      <c r="H173" s="1733">
        <f t="shared" si="7"/>
        <v>0</v>
      </c>
      <c r="I173" s="1733">
        <f t="shared" si="7"/>
        <v>0</v>
      </c>
      <c r="J173" s="1733">
        <f t="shared" si="7"/>
        <v>0</v>
      </c>
      <c r="K173" s="1720">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5" t="s">
        <v>1764</v>
      </c>
      <c r="B178" s="2166"/>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7" t="s">
        <v>818</v>
      </c>
      <c r="B184" s="2168"/>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3" t="s">
        <v>1902</v>
      </c>
      <c r="B185" s="2164"/>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664</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6" t="s">
        <v>1697</v>
      </c>
      <c r="B191" s="1727"/>
      <c r="C191" s="1725">
        <f>SUM(C187:C190)</f>
        <v>664</v>
      </c>
      <c r="D191" s="1725">
        <f>SUM(D187:D190)</f>
        <v>0</v>
      </c>
      <c r="E191" s="561"/>
      <c r="F191" s="1725">
        <f>SUM(F187:F190)</f>
        <v>0</v>
      </c>
      <c r="G191" s="1725">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80938</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20601</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6" t="s">
        <v>569</v>
      </c>
      <c r="B201" s="1727"/>
      <c r="C201" s="1706">
        <f>SUM(C193:C200)</f>
        <v>101539</v>
      </c>
      <c r="D201" s="468"/>
      <c r="E201" s="468"/>
      <c r="F201" s="468"/>
      <c r="G201" s="1706">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92400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6" t="s">
        <v>420</v>
      </c>
      <c r="B211" s="1727"/>
      <c r="C211" s="1725">
        <f>SUM(C203:C210)</f>
        <v>92400</v>
      </c>
      <c r="D211" s="1725">
        <f>SUM(D203:D210)</f>
        <v>0</v>
      </c>
      <c r="E211" s="468"/>
      <c r="F211" s="1725">
        <f>SUM(F203:F210)</f>
        <v>0</v>
      </c>
      <c r="G211" s="1725">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22444</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6" t="s">
        <v>467</v>
      </c>
      <c r="B224" s="1727"/>
      <c r="C224" s="1725">
        <f>SUM(C218:C223)</f>
        <v>22444</v>
      </c>
      <c r="D224" s="1725">
        <f>SUM(D218:D223)</f>
        <v>0</v>
      </c>
      <c r="E224" s="468"/>
      <c r="F224" s="1725">
        <f>SUM(F218:F223)</f>
        <v>0</v>
      </c>
      <c r="G224" s="1725">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3" t="s">
        <v>1493</v>
      </c>
      <c r="B260" s="588">
        <v>4901</v>
      </c>
      <c r="C260" s="589">
        <v>0</v>
      </c>
      <c r="D260" s="469"/>
      <c r="E260" s="468"/>
      <c r="F260" s="468"/>
      <c r="G260" s="468"/>
      <c r="H260" s="468"/>
      <c r="I260" s="468"/>
      <c r="J260" s="468"/>
      <c r="K260" s="468"/>
    </row>
    <row r="261" spans="1:11" ht="12.75" customHeight="1" thickTop="1" thickBot="1" x14ac:dyDescent="0.25">
      <c r="A261" s="1524"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9337</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9475</v>
      </c>
      <c r="D270" s="576">
        <v>0</v>
      </c>
      <c r="E270" s="468"/>
      <c r="F270" s="576">
        <v>0</v>
      </c>
      <c r="G270" s="576">
        <v>0</v>
      </c>
      <c r="H270" s="468"/>
      <c r="I270" s="468"/>
      <c r="J270" s="468"/>
      <c r="K270" s="468"/>
    </row>
    <row r="271" spans="1:11" ht="12.75" customHeight="1" thickTop="1" thickBot="1" x14ac:dyDescent="0.25">
      <c r="A271" s="463" t="s">
        <v>395</v>
      </c>
      <c r="B271" s="470">
        <v>4992</v>
      </c>
      <c r="C271" s="575">
        <v>6345</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6" t="s">
        <v>1765</v>
      </c>
      <c r="B273" s="1745"/>
      <c r="C273" s="1733">
        <f t="shared" ref="C273:H273" si="10">SUM(C191,C201,C211,C216,C224,C228,C229,C259:C272)</f>
        <v>242204</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242204</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2012671</v>
      </c>
      <c r="D275" s="1733">
        <f t="shared" si="12"/>
        <v>96356</v>
      </c>
      <c r="E275" s="1733">
        <f t="shared" si="12"/>
        <v>33249</v>
      </c>
      <c r="F275" s="1733">
        <f t="shared" si="12"/>
        <v>7310</v>
      </c>
      <c r="G275" s="1733">
        <f t="shared" si="12"/>
        <v>94457</v>
      </c>
      <c r="H275" s="1733">
        <f t="shared" si="12"/>
        <v>0</v>
      </c>
      <c r="I275" s="1733">
        <f t="shared" si="12"/>
        <v>11455</v>
      </c>
      <c r="J275" s="1733">
        <f t="shared" si="12"/>
        <v>98239</v>
      </c>
      <c r="K275" s="1720">
        <f t="shared" si="12"/>
        <v>12434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gridLines="1"/>
  <pageMargins left="0.25" right="0.15" top="0.66" bottom="0.46" header="0.26" footer="0.17"/>
  <pageSetup scale="74" firstPageNumber="9" orientation="landscape" useFirstPageNumber="1" r:id="rId1"/>
  <headerFooter alignWithMargins="0">
    <oddHeader>&amp;L&amp;"Calibri,Regular"&amp;8Page &amp;P&amp;C&amp;"Calibri,Bold"&amp;9STATEMENT OF REVENUES RECEIVED/REVENUES
FOR THE YEAR ENDING JUNE 30, 2018&amp;R&amp;"Calibri,Regular"&amp;8Page &amp;P</oddHeader>
    <oddFooter>&amp;L&amp;"Calibri,Regular"&amp;8Printed Date: &amp;D
&amp;F&amp;C&amp;"Calibri,Regular"&amp;8The Notes to the Basic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topLeftCell="B1" colorId="8" zoomScaleNormal="100" workbookViewId="0">
      <pane ySplit="2" topLeftCell="A24" activePane="bottomLeft" state="frozen"/>
      <selection activeCell="A47" sqref="A47"/>
      <selection pane="bottomLeft" activeCell="H28" sqref="H2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7" t="s">
        <v>315</v>
      </c>
      <c r="B3" s="2178"/>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721688</v>
      </c>
      <c r="D5" s="466">
        <v>156947</v>
      </c>
      <c r="E5" s="466">
        <v>25456</v>
      </c>
      <c r="F5" s="466">
        <v>28071</v>
      </c>
      <c r="G5" s="466">
        <v>0</v>
      </c>
      <c r="H5" s="466">
        <v>0</v>
      </c>
      <c r="I5" s="467">
        <v>0</v>
      </c>
      <c r="J5" s="467">
        <v>0</v>
      </c>
      <c r="K5" s="1689">
        <f>SUM(C5:J5)</f>
        <v>932162</v>
      </c>
      <c r="L5" s="466">
        <v>956514</v>
      </c>
    </row>
    <row r="6" spans="1:14" x14ac:dyDescent="0.2">
      <c r="A6" s="1525" t="s">
        <v>1508</v>
      </c>
      <c r="B6" s="615" t="s">
        <v>1506</v>
      </c>
      <c r="C6" s="477"/>
      <c r="D6" s="477"/>
      <c r="E6" s="466"/>
      <c r="F6" s="477"/>
      <c r="G6" s="477"/>
      <c r="H6" s="477"/>
      <c r="I6" s="477"/>
      <c r="J6" s="477"/>
      <c r="K6" s="1689">
        <f>SUM(C6,E6)</f>
        <v>0</v>
      </c>
      <c r="L6" s="466">
        <v>0</v>
      </c>
    </row>
    <row r="7" spans="1:14" x14ac:dyDescent="0.2">
      <c r="A7" s="1525" t="s">
        <v>165</v>
      </c>
      <c r="B7" s="615" t="s">
        <v>1024</v>
      </c>
      <c r="C7" s="467">
        <v>0</v>
      </c>
      <c r="D7" s="467">
        <v>0</v>
      </c>
      <c r="E7" s="467">
        <v>0</v>
      </c>
      <c r="F7" s="467">
        <v>0</v>
      </c>
      <c r="G7" s="467">
        <v>0</v>
      </c>
      <c r="H7" s="467">
        <v>0</v>
      </c>
      <c r="I7" s="467">
        <v>0</v>
      </c>
      <c r="J7" s="467">
        <v>0</v>
      </c>
      <c r="K7" s="1689">
        <f t="shared" ref="K7:K32" si="0">SUM(C7:J7)</f>
        <v>0</v>
      </c>
      <c r="L7" s="466">
        <v>0</v>
      </c>
    </row>
    <row r="8" spans="1:14" x14ac:dyDescent="0.2">
      <c r="A8" s="1525" t="s">
        <v>166</v>
      </c>
      <c r="B8" s="615">
        <v>1200</v>
      </c>
      <c r="C8" s="466">
        <v>172557</v>
      </c>
      <c r="D8" s="466">
        <v>52328</v>
      </c>
      <c r="E8" s="466">
        <v>38</v>
      </c>
      <c r="F8" s="466">
        <v>0</v>
      </c>
      <c r="G8" s="466">
        <v>0</v>
      </c>
      <c r="H8" s="466">
        <v>0</v>
      </c>
      <c r="I8" s="467">
        <v>0</v>
      </c>
      <c r="J8" s="467">
        <v>0</v>
      </c>
      <c r="K8" s="1689">
        <f t="shared" si="0"/>
        <v>224923</v>
      </c>
      <c r="L8" s="466">
        <v>217973</v>
      </c>
    </row>
    <row r="9" spans="1:14" x14ac:dyDescent="0.2">
      <c r="A9" s="1525" t="s">
        <v>745</v>
      </c>
      <c r="B9" s="615" t="s">
        <v>1025</v>
      </c>
      <c r="C9" s="467">
        <v>0</v>
      </c>
      <c r="D9" s="467">
        <v>0</v>
      </c>
      <c r="E9" s="467">
        <v>0</v>
      </c>
      <c r="F9" s="467">
        <v>0</v>
      </c>
      <c r="G9" s="467">
        <v>0</v>
      </c>
      <c r="H9" s="467">
        <v>0</v>
      </c>
      <c r="I9" s="467">
        <v>0</v>
      </c>
      <c r="J9" s="467">
        <v>0</v>
      </c>
      <c r="K9" s="1689">
        <f t="shared" si="0"/>
        <v>0</v>
      </c>
      <c r="L9" s="466">
        <v>0</v>
      </c>
    </row>
    <row r="10" spans="1:14" x14ac:dyDescent="0.2">
      <c r="A10" s="1525" t="s">
        <v>746</v>
      </c>
      <c r="B10" s="615">
        <v>1250</v>
      </c>
      <c r="C10" s="466">
        <v>17601</v>
      </c>
      <c r="D10" s="466">
        <v>5863</v>
      </c>
      <c r="E10" s="466">
        <v>4777</v>
      </c>
      <c r="F10" s="466">
        <v>40900</v>
      </c>
      <c r="G10" s="466">
        <v>5327</v>
      </c>
      <c r="H10" s="466">
        <v>0</v>
      </c>
      <c r="I10" s="467">
        <v>0</v>
      </c>
      <c r="J10" s="467">
        <v>0</v>
      </c>
      <c r="K10" s="1689">
        <f t="shared" si="0"/>
        <v>74468</v>
      </c>
      <c r="L10" s="466">
        <v>80158</v>
      </c>
    </row>
    <row r="11" spans="1:14" x14ac:dyDescent="0.2">
      <c r="A11" s="1525" t="s">
        <v>1192</v>
      </c>
      <c r="B11" s="615" t="s">
        <v>163</v>
      </c>
      <c r="C11" s="467">
        <v>0</v>
      </c>
      <c r="D11" s="467">
        <v>0</v>
      </c>
      <c r="E11" s="467">
        <v>0</v>
      </c>
      <c r="F11" s="467">
        <v>0</v>
      </c>
      <c r="G11" s="467">
        <v>0</v>
      </c>
      <c r="H11" s="467">
        <v>0</v>
      </c>
      <c r="I11" s="467">
        <v>0</v>
      </c>
      <c r="J11" s="467">
        <v>0</v>
      </c>
      <c r="K11" s="1689">
        <f t="shared" si="0"/>
        <v>0</v>
      </c>
      <c r="L11" s="466">
        <v>0</v>
      </c>
    </row>
    <row r="12" spans="1:14" x14ac:dyDescent="0.2">
      <c r="A12" s="1525" t="s">
        <v>1019</v>
      </c>
      <c r="B12" s="615">
        <v>1300</v>
      </c>
      <c r="C12" s="466">
        <v>0</v>
      </c>
      <c r="D12" s="466">
        <v>0</v>
      </c>
      <c r="E12" s="466">
        <v>0</v>
      </c>
      <c r="F12" s="466">
        <v>0</v>
      </c>
      <c r="G12" s="466">
        <v>0</v>
      </c>
      <c r="H12" s="466">
        <v>0</v>
      </c>
      <c r="I12" s="467">
        <v>0</v>
      </c>
      <c r="J12" s="467">
        <v>0</v>
      </c>
      <c r="K12" s="1689">
        <f t="shared" si="0"/>
        <v>0</v>
      </c>
      <c r="L12" s="466">
        <v>0</v>
      </c>
    </row>
    <row r="13" spans="1:14" x14ac:dyDescent="0.2">
      <c r="A13" s="1525" t="s">
        <v>747</v>
      </c>
      <c r="B13" s="615">
        <v>1400</v>
      </c>
      <c r="C13" s="466">
        <v>0</v>
      </c>
      <c r="D13" s="466">
        <v>0</v>
      </c>
      <c r="E13" s="466">
        <v>0</v>
      </c>
      <c r="F13" s="466">
        <v>0</v>
      </c>
      <c r="G13" s="466">
        <v>0</v>
      </c>
      <c r="H13" s="466">
        <v>0</v>
      </c>
      <c r="I13" s="467">
        <v>0</v>
      </c>
      <c r="J13" s="467">
        <v>0</v>
      </c>
      <c r="K13" s="1689">
        <f t="shared" si="0"/>
        <v>0</v>
      </c>
      <c r="L13" s="466">
        <v>0</v>
      </c>
    </row>
    <row r="14" spans="1:14" x14ac:dyDescent="0.2">
      <c r="A14" s="1525" t="s">
        <v>1020</v>
      </c>
      <c r="B14" s="615">
        <v>1500</v>
      </c>
      <c r="C14" s="466">
        <v>20112</v>
      </c>
      <c r="D14" s="466">
        <v>404</v>
      </c>
      <c r="E14" s="466">
        <v>10423</v>
      </c>
      <c r="F14" s="466">
        <v>17142</v>
      </c>
      <c r="G14" s="466">
        <v>0</v>
      </c>
      <c r="H14" s="466">
        <v>0</v>
      </c>
      <c r="I14" s="467">
        <v>0</v>
      </c>
      <c r="J14" s="467">
        <v>0</v>
      </c>
      <c r="K14" s="1689">
        <f t="shared" si="0"/>
        <v>48081</v>
      </c>
      <c r="L14" s="466">
        <v>52900</v>
      </c>
    </row>
    <row r="15" spans="1:14" x14ac:dyDescent="0.2">
      <c r="A15" s="1525" t="s">
        <v>1021</v>
      </c>
      <c r="B15" s="615">
        <v>1600</v>
      </c>
      <c r="C15" s="466">
        <v>0</v>
      </c>
      <c r="D15" s="466">
        <v>0</v>
      </c>
      <c r="E15" s="466">
        <v>0</v>
      </c>
      <c r="F15" s="466">
        <v>0</v>
      </c>
      <c r="G15" s="466">
        <v>0</v>
      </c>
      <c r="H15" s="466">
        <v>0</v>
      </c>
      <c r="I15" s="467">
        <v>0</v>
      </c>
      <c r="J15" s="467">
        <v>0</v>
      </c>
      <c r="K15" s="1689">
        <f t="shared" si="0"/>
        <v>0</v>
      </c>
      <c r="L15" s="466">
        <v>0</v>
      </c>
    </row>
    <row r="16" spans="1:14" x14ac:dyDescent="0.2">
      <c r="A16" s="1525" t="s">
        <v>1044</v>
      </c>
      <c r="B16" s="615" t="s">
        <v>444</v>
      </c>
      <c r="C16" s="466">
        <v>0</v>
      </c>
      <c r="D16" s="466">
        <v>0</v>
      </c>
      <c r="E16" s="466">
        <v>0</v>
      </c>
      <c r="F16" s="466">
        <v>0</v>
      </c>
      <c r="G16" s="466">
        <v>0</v>
      </c>
      <c r="H16" s="466">
        <v>0</v>
      </c>
      <c r="I16" s="467">
        <v>0</v>
      </c>
      <c r="J16" s="467">
        <v>0</v>
      </c>
      <c r="K16" s="1689">
        <f t="shared" si="0"/>
        <v>0</v>
      </c>
      <c r="L16" s="466">
        <v>0</v>
      </c>
    </row>
    <row r="17" spans="1:12" x14ac:dyDescent="0.2">
      <c r="A17" s="1525" t="s">
        <v>748</v>
      </c>
      <c r="B17" s="615" t="s">
        <v>164</v>
      </c>
      <c r="C17" s="467">
        <v>0</v>
      </c>
      <c r="D17" s="467">
        <v>0</v>
      </c>
      <c r="E17" s="467">
        <v>0</v>
      </c>
      <c r="F17" s="467">
        <v>0</v>
      </c>
      <c r="G17" s="467">
        <v>0</v>
      </c>
      <c r="H17" s="467">
        <v>0</v>
      </c>
      <c r="I17" s="467">
        <v>0</v>
      </c>
      <c r="J17" s="467">
        <v>0</v>
      </c>
      <c r="K17" s="1689">
        <f t="shared" si="0"/>
        <v>0</v>
      </c>
      <c r="L17" s="466">
        <v>0</v>
      </c>
    </row>
    <row r="18" spans="1:12" x14ac:dyDescent="0.2">
      <c r="A18" s="1525" t="s">
        <v>1148</v>
      </c>
      <c r="B18" s="615">
        <v>1800</v>
      </c>
      <c r="C18" s="466">
        <v>0</v>
      </c>
      <c r="D18" s="466">
        <v>0</v>
      </c>
      <c r="E18" s="466">
        <v>0</v>
      </c>
      <c r="F18" s="466">
        <v>0</v>
      </c>
      <c r="G18" s="466">
        <v>0</v>
      </c>
      <c r="H18" s="466">
        <v>0</v>
      </c>
      <c r="I18" s="467">
        <v>0</v>
      </c>
      <c r="J18" s="467">
        <v>0</v>
      </c>
      <c r="K18" s="1689">
        <f t="shared" si="0"/>
        <v>0</v>
      </c>
      <c r="L18" s="466">
        <v>0</v>
      </c>
    </row>
    <row r="19" spans="1:12" x14ac:dyDescent="0.2">
      <c r="A19" s="1525" t="s">
        <v>136</v>
      </c>
      <c r="B19" s="615">
        <v>1900</v>
      </c>
      <c r="C19" s="466">
        <v>0</v>
      </c>
      <c r="D19" s="466">
        <v>0</v>
      </c>
      <c r="E19" s="466">
        <v>0</v>
      </c>
      <c r="F19" s="466">
        <v>0</v>
      </c>
      <c r="G19" s="466">
        <v>0</v>
      </c>
      <c r="H19" s="466">
        <v>0</v>
      </c>
      <c r="I19" s="467">
        <v>0</v>
      </c>
      <c r="J19" s="467">
        <v>0</v>
      </c>
      <c r="K19" s="1689">
        <f t="shared" si="0"/>
        <v>0</v>
      </c>
      <c r="L19" s="466">
        <v>0</v>
      </c>
    </row>
    <row r="20" spans="1:12" x14ac:dyDescent="0.2">
      <c r="A20" s="1526" t="s">
        <v>762</v>
      </c>
      <c r="B20" s="603" t="s">
        <v>749</v>
      </c>
      <c r="C20" s="477"/>
      <c r="D20" s="477"/>
      <c r="E20" s="477"/>
      <c r="F20" s="477"/>
      <c r="G20" s="477"/>
      <c r="H20" s="474">
        <v>0</v>
      </c>
      <c r="I20" s="617"/>
      <c r="J20" s="475"/>
      <c r="K20" s="1689">
        <f t="shared" si="0"/>
        <v>0</v>
      </c>
      <c r="L20" s="471">
        <v>0</v>
      </c>
    </row>
    <row r="21" spans="1:12" x14ac:dyDescent="0.2">
      <c r="A21" s="1526" t="s">
        <v>763</v>
      </c>
      <c r="B21" s="603" t="s">
        <v>750</v>
      </c>
      <c r="C21" s="477"/>
      <c r="D21" s="477"/>
      <c r="E21" s="477"/>
      <c r="F21" s="477"/>
      <c r="G21" s="477"/>
      <c r="H21" s="474">
        <v>0</v>
      </c>
      <c r="I21" s="617"/>
      <c r="J21" s="477"/>
      <c r="K21" s="1689">
        <f t="shared" si="0"/>
        <v>0</v>
      </c>
      <c r="L21" s="471">
        <v>0</v>
      </c>
    </row>
    <row r="22" spans="1:12" x14ac:dyDescent="0.2">
      <c r="A22" s="1526" t="s">
        <v>764</v>
      </c>
      <c r="B22" s="603" t="s">
        <v>751</v>
      </c>
      <c r="C22" s="477"/>
      <c r="D22" s="477"/>
      <c r="E22" s="477"/>
      <c r="F22" s="477"/>
      <c r="G22" s="477"/>
      <c r="H22" s="474">
        <v>0</v>
      </c>
      <c r="I22" s="617"/>
      <c r="J22" s="477"/>
      <c r="K22" s="1689">
        <f t="shared" si="0"/>
        <v>0</v>
      </c>
      <c r="L22" s="471">
        <v>0</v>
      </c>
    </row>
    <row r="23" spans="1:12" x14ac:dyDescent="0.2">
      <c r="A23" s="1526" t="s">
        <v>765</v>
      </c>
      <c r="B23" s="603" t="s">
        <v>752</v>
      </c>
      <c r="C23" s="477"/>
      <c r="D23" s="477"/>
      <c r="E23" s="477"/>
      <c r="F23" s="477"/>
      <c r="G23" s="477"/>
      <c r="H23" s="474">
        <v>0</v>
      </c>
      <c r="I23" s="617"/>
      <c r="J23" s="477"/>
      <c r="K23" s="1689">
        <f t="shared" si="0"/>
        <v>0</v>
      </c>
      <c r="L23" s="471">
        <v>0</v>
      </c>
    </row>
    <row r="24" spans="1:12" ht="12.75" customHeight="1" x14ac:dyDescent="0.2">
      <c r="A24" s="1526" t="s">
        <v>766</v>
      </c>
      <c r="B24" s="603" t="s">
        <v>753</v>
      </c>
      <c r="C24" s="477"/>
      <c r="D24" s="477"/>
      <c r="E24" s="477"/>
      <c r="F24" s="477"/>
      <c r="G24" s="477"/>
      <c r="H24" s="474">
        <v>0</v>
      </c>
      <c r="I24" s="617"/>
      <c r="J24" s="477"/>
      <c r="K24" s="1689">
        <f t="shared" si="0"/>
        <v>0</v>
      </c>
      <c r="L24" s="471">
        <v>0</v>
      </c>
    </row>
    <row r="25" spans="1:12" ht="12.75" customHeight="1" x14ac:dyDescent="0.2">
      <c r="A25" s="1526" t="s">
        <v>835</v>
      </c>
      <c r="B25" s="603" t="s">
        <v>754</v>
      </c>
      <c r="C25" s="477"/>
      <c r="D25" s="477"/>
      <c r="E25" s="477"/>
      <c r="F25" s="477"/>
      <c r="G25" s="477"/>
      <c r="H25" s="474">
        <v>0</v>
      </c>
      <c r="I25" s="617"/>
      <c r="J25" s="477"/>
      <c r="K25" s="1689">
        <f t="shared" si="0"/>
        <v>0</v>
      </c>
      <c r="L25" s="471">
        <v>0</v>
      </c>
    </row>
    <row r="26" spans="1:12" x14ac:dyDescent="0.2">
      <c r="A26" s="1526" t="s">
        <v>643</v>
      </c>
      <c r="B26" s="603" t="s">
        <v>755</v>
      </c>
      <c r="C26" s="477"/>
      <c r="D26" s="477"/>
      <c r="E26" s="477"/>
      <c r="F26" s="477"/>
      <c r="G26" s="477"/>
      <c r="H26" s="474">
        <v>0</v>
      </c>
      <c r="I26" s="617"/>
      <c r="J26" s="477"/>
      <c r="K26" s="1689">
        <f t="shared" si="0"/>
        <v>0</v>
      </c>
      <c r="L26" s="471">
        <v>0</v>
      </c>
    </row>
    <row r="27" spans="1:12" x14ac:dyDescent="0.2">
      <c r="A27" s="1526" t="s">
        <v>644</v>
      </c>
      <c r="B27" s="603" t="s">
        <v>756</v>
      </c>
      <c r="C27" s="477"/>
      <c r="D27" s="477"/>
      <c r="E27" s="477"/>
      <c r="F27" s="477"/>
      <c r="G27" s="477"/>
      <c r="H27" s="474">
        <v>0</v>
      </c>
      <c r="I27" s="617"/>
      <c r="J27" s="477"/>
      <c r="K27" s="1689">
        <f t="shared" si="0"/>
        <v>0</v>
      </c>
      <c r="L27" s="471">
        <v>0</v>
      </c>
    </row>
    <row r="28" spans="1:12" x14ac:dyDescent="0.2">
      <c r="A28" s="1526" t="s">
        <v>152</v>
      </c>
      <c r="B28" s="603" t="s">
        <v>757</v>
      </c>
      <c r="C28" s="477"/>
      <c r="D28" s="477"/>
      <c r="E28" s="477"/>
      <c r="F28" s="477"/>
      <c r="G28" s="477"/>
      <c r="H28" s="474">
        <v>0</v>
      </c>
      <c r="I28" s="617"/>
      <c r="J28" s="477"/>
      <c r="K28" s="1689">
        <f t="shared" si="0"/>
        <v>0</v>
      </c>
      <c r="L28" s="471">
        <v>0</v>
      </c>
    </row>
    <row r="29" spans="1:12" x14ac:dyDescent="0.2">
      <c r="A29" s="1526" t="s">
        <v>153</v>
      </c>
      <c r="B29" s="603" t="s">
        <v>758</v>
      </c>
      <c r="C29" s="477"/>
      <c r="D29" s="477"/>
      <c r="E29" s="477"/>
      <c r="F29" s="477"/>
      <c r="G29" s="477"/>
      <c r="H29" s="474">
        <v>0</v>
      </c>
      <c r="I29" s="617"/>
      <c r="J29" s="477"/>
      <c r="K29" s="1689">
        <f t="shared" si="0"/>
        <v>0</v>
      </c>
      <c r="L29" s="471">
        <v>0</v>
      </c>
    </row>
    <row r="30" spans="1:12" x14ac:dyDescent="0.2">
      <c r="A30" s="1526" t="s">
        <v>154</v>
      </c>
      <c r="B30" s="603" t="s">
        <v>759</v>
      </c>
      <c r="C30" s="477"/>
      <c r="D30" s="477"/>
      <c r="E30" s="477"/>
      <c r="F30" s="477"/>
      <c r="G30" s="477"/>
      <c r="H30" s="474">
        <v>0</v>
      </c>
      <c r="I30" s="617"/>
      <c r="J30" s="477"/>
      <c r="K30" s="1689">
        <f t="shared" si="0"/>
        <v>0</v>
      </c>
      <c r="L30" s="471">
        <v>0</v>
      </c>
    </row>
    <row r="31" spans="1:12" x14ac:dyDescent="0.2">
      <c r="A31" s="1526" t="s">
        <v>155</v>
      </c>
      <c r="B31" s="603" t="s">
        <v>760</v>
      </c>
      <c r="C31" s="477"/>
      <c r="D31" s="477"/>
      <c r="E31" s="477"/>
      <c r="F31" s="477"/>
      <c r="G31" s="477"/>
      <c r="H31" s="474">
        <v>0</v>
      </c>
      <c r="I31" s="617"/>
      <c r="J31" s="477"/>
      <c r="K31" s="1689">
        <f t="shared" si="0"/>
        <v>0</v>
      </c>
      <c r="L31" s="471">
        <v>0</v>
      </c>
    </row>
    <row r="32" spans="1:12" x14ac:dyDescent="0.2">
      <c r="A32" s="1527" t="s">
        <v>1191</v>
      </c>
      <c r="B32" s="615" t="s">
        <v>761</v>
      </c>
      <c r="C32" s="477"/>
      <c r="D32" s="477"/>
      <c r="E32" s="477"/>
      <c r="F32" s="477"/>
      <c r="G32" s="477"/>
      <c r="H32" s="474">
        <v>0</v>
      </c>
      <c r="I32" s="617"/>
      <c r="J32" s="480"/>
      <c r="K32" s="1689">
        <f t="shared" si="0"/>
        <v>0</v>
      </c>
      <c r="L32" s="471">
        <v>0</v>
      </c>
    </row>
    <row r="33" spans="1:14" ht="12.75" customHeight="1" thickBot="1" x14ac:dyDescent="0.25">
      <c r="A33" s="1686" t="s">
        <v>1767</v>
      </c>
      <c r="B33" s="1687" t="s">
        <v>591</v>
      </c>
      <c r="C33" s="1688">
        <f>SUM(C5:C32)</f>
        <v>931958</v>
      </c>
      <c r="D33" s="1688">
        <f t="shared" ref="D33:L33" si="1">SUM(D5:D32)</f>
        <v>215542</v>
      </c>
      <c r="E33" s="1688">
        <f t="shared" si="1"/>
        <v>40694</v>
      </c>
      <c r="F33" s="1688">
        <f t="shared" si="1"/>
        <v>86113</v>
      </c>
      <c r="G33" s="1688">
        <f t="shared" si="1"/>
        <v>5327</v>
      </c>
      <c r="H33" s="1688">
        <f t="shared" si="1"/>
        <v>0</v>
      </c>
      <c r="I33" s="1688">
        <f t="shared" si="1"/>
        <v>0</v>
      </c>
      <c r="J33" s="1688">
        <f t="shared" si="1"/>
        <v>0</v>
      </c>
      <c r="K33" s="1688">
        <f t="shared" si="1"/>
        <v>1279634</v>
      </c>
      <c r="L33" s="1688">
        <f t="shared" si="1"/>
        <v>1307545</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0</v>
      </c>
      <c r="D36" s="481">
        <v>0</v>
      </c>
      <c r="E36" s="481">
        <v>0</v>
      </c>
      <c r="F36" s="481">
        <v>0</v>
      </c>
      <c r="G36" s="481">
        <v>0</v>
      </c>
      <c r="H36" s="481">
        <v>0</v>
      </c>
      <c r="I36" s="467">
        <v>0</v>
      </c>
      <c r="J36" s="467">
        <v>0</v>
      </c>
      <c r="K36" s="1689">
        <f t="shared" ref="K36:K41" si="2">SUM(C36:J36)</f>
        <v>0</v>
      </c>
      <c r="L36" s="466">
        <v>0</v>
      </c>
    </row>
    <row r="37" spans="1:14" x14ac:dyDescent="0.2">
      <c r="A37" s="1525" t="s">
        <v>1151</v>
      </c>
      <c r="B37" s="615">
        <v>2120</v>
      </c>
      <c r="C37" s="466">
        <v>0</v>
      </c>
      <c r="D37" s="466">
        <v>0</v>
      </c>
      <c r="E37" s="466">
        <v>0</v>
      </c>
      <c r="F37" s="466">
        <v>0</v>
      </c>
      <c r="G37" s="466">
        <v>0</v>
      </c>
      <c r="H37" s="466">
        <v>0</v>
      </c>
      <c r="I37" s="467">
        <v>0</v>
      </c>
      <c r="J37" s="467">
        <v>0</v>
      </c>
      <c r="K37" s="1689">
        <f t="shared" si="2"/>
        <v>0</v>
      </c>
      <c r="L37" s="466">
        <v>0</v>
      </c>
    </row>
    <row r="38" spans="1:14" x14ac:dyDescent="0.2">
      <c r="A38" s="1525" t="s">
        <v>207</v>
      </c>
      <c r="B38" s="615">
        <v>2130</v>
      </c>
      <c r="C38" s="466">
        <v>0</v>
      </c>
      <c r="D38" s="466">
        <v>0</v>
      </c>
      <c r="E38" s="466">
        <v>0</v>
      </c>
      <c r="F38" s="466">
        <v>162</v>
      </c>
      <c r="G38" s="466">
        <v>0</v>
      </c>
      <c r="H38" s="466">
        <v>0</v>
      </c>
      <c r="I38" s="467">
        <v>0</v>
      </c>
      <c r="J38" s="467">
        <v>0</v>
      </c>
      <c r="K38" s="1689">
        <f t="shared" si="2"/>
        <v>162</v>
      </c>
      <c r="L38" s="466">
        <v>250</v>
      </c>
    </row>
    <row r="39" spans="1:14" x14ac:dyDescent="0.2">
      <c r="A39" s="1525" t="s">
        <v>208</v>
      </c>
      <c r="B39" s="615">
        <v>2140</v>
      </c>
      <c r="C39" s="466">
        <v>0</v>
      </c>
      <c r="D39" s="466">
        <v>0</v>
      </c>
      <c r="E39" s="466">
        <v>0</v>
      </c>
      <c r="F39" s="466">
        <v>0</v>
      </c>
      <c r="G39" s="466">
        <v>0</v>
      </c>
      <c r="H39" s="466">
        <v>0</v>
      </c>
      <c r="I39" s="467">
        <v>0</v>
      </c>
      <c r="J39" s="467">
        <v>0</v>
      </c>
      <c r="K39" s="1689">
        <f t="shared" si="2"/>
        <v>0</v>
      </c>
      <c r="L39" s="466">
        <v>0</v>
      </c>
    </row>
    <row r="40" spans="1:14" x14ac:dyDescent="0.2">
      <c r="A40" s="1525" t="s">
        <v>209</v>
      </c>
      <c r="B40" s="615">
        <v>2150</v>
      </c>
      <c r="C40" s="466">
        <v>0</v>
      </c>
      <c r="D40" s="466">
        <v>0</v>
      </c>
      <c r="E40" s="466">
        <v>17858</v>
      </c>
      <c r="F40" s="466">
        <v>0</v>
      </c>
      <c r="G40" s="466">
        <v>0</v>
      </c>
      <c r="H40" s="466">
        <v>0</v>
      </c>
      <c r="I40" s="467">
        <v>0</v>
      </c>
      <c r="J40" s="467">
        <v>0</v>
      </c>
      <c r="K40" s="1689">
        <f t="shared" si="2"/>
        <v>17858</v>
      </c>
      <c r="L40" s="466">
        <v>25000</v>
      </c>
    </row>
    <row r="41" spans="1:14" x14ac:dyDescent="0.2">
      <c r="A41" s="1525" t="s">
        <v>1768</v>
      </c>
      <c r="B41" s="615">
        <v>2190</v>
      </c>
      <c r="C41" s="466">
        <v>2588</v>
      </c>
      <c r="D41" s="466">
        <v>0</v>
      </c>
      <c r="E41" s="466">
        <v>0</v>
      </c>
      <c r="F41" s="466">
        <v>0</v>
      </c>
      <c r="G41" s="466">
        <v>0</v>
      </c>
      <c r="H41" s="466">
        <v>0</v>
      </c>
      <c r="I41" s="467">
        <v>0</v>
      </c>
      <c r="J41" s="467">
        <v>0</v>
      </c>
      <c r="K41" s="1689">
        <f t="shared" si="2"/>
        <v>2588</v>
      </c>
      <c r="L41" s="466">
        <v>2600</v>
      </c>
    </row>
    <row r="42" spans="1:14" ht="12.75" customHeight="1" thickBot="1" x14ac:dyDescent="0.25">
      <c r="A42" s="1686" t="s">
        <v>581</v>
      </c>
      <c r="B42" s="1687" t="s">
        <v>740</v>
      </c>
      <c r="C42" s="1688">
        <f>SUM(C36:C41)</f>
        <v>2588</v>
      </c>
      <c r="D42" s="1688">
        <f t="shared" ref="D42:L42" si="3">SUM(D36:D41)</f>
        <v>0</v>
      </c>
      <c r="E42" s="1688">
        <f t="shared" si="3"/>
        <v>17858</v>
      </c>
      <c r="F42" s="1688">
        <f t="shared" si="3"/>
        <v>162</v>
      </c>
      <c r="G42" s="1688">
        <f t="shared" si="3"/>
        <v>0</v>
      </c>
      <c r="H42" s="1688">
        <f t="shared" si="3"/>
        <v>0</v>
      </c>
      <c r="I42" s="1688">
        <f t="shared" si="3"/>
        <v>0</v>
      </c>
      <c r="J42" s="1688">
        <f t="shared" si="3"/>
        <v>0</v>
      </c>
      <c r="K42" s="1688">
        <f t="shared" si="3"/>
        <v>20608</v>
      </c>
      <c r="L42" s="1688">
        <f t="shared" si="3"/>
        <v>27850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7517</v>
      </c>
      <c r="D44" s="481">
        <v>916</v>
      </c>
      <c r="E44" s="481">
        <v>1250</v>
      </c>
      <c r="F44" s="481">
        <v>0</v>
      </c>
      <c r="G44" s="481">
        <v>0</v>
      </c>
      <c r="H44" s="481">
        <v>0</v>
      </c>
      <c r="I44" s="467">
        <v>0</v>
      </c>
      <c r="J44" s="467">
        <v>0</v>
      </c>
      <c r="K44" s="1690">
        <f>SUM(C44:J44)</f>
        <v>9683</v>
      </c>
      <c r="L44" s="481">
        <v>15457</v>
      </c>
    </row>
    <row r="45" spans="1:14" x14ac:dyDescent="0.2">
      <c r="A45" s="1525" t="s">
        <v>869</v>
      </c>
      <c r="B45" s="615">
        <v>2220</v>
      </c>
      <c r="C45" s="466">
        <v>25621</v>
      </c>
      <c r="D45" s="466">
        <v>6790</v>
      </c>
      <c r="E45" s="466">
        <v>1000</v>
      </c>
      <c r="F45" s="466">
        <v>0</v>
      </c>
      <c r="G45" s="466">
        <v>0</v>
      </c>
      <c r="H45" s="466">
        <v>0</v>
      </c>
      <c r="I45" s="467">
        <v>0</v>
      </c>
      <c r="J45" s="467">
        <v>0</v>
      </c>
      <c r="K45" s="1690">
        <f>SUM(C45:J45)</f>
        <v>33411</v>
      </c>
      <c r="L45" s="466">
        <v>33710</v>
      </c>
    </row>
    <row r="46" spans="1:14" x14ac:dyDescent="0.2">
      <c r="A46" s="1525" t="s">
        <v>870</v>
      </c>
      <c r="B46" s="615">
        <v>2230</v>
      </c>
      <c r="C46" s="466">
        <v>0</v>
      </c>
      <c r="D46" s="466">
        <v>0</v>
      </c>
      <c r="E46" s="466">
        <v>0</v>
      </c>
      <c r="F46" s="466">
        <v>0</v>
      </c>
      <c r="G46" s="466">
        <v>0</v>
      </c>
      <c r="H46" s="466">
        <v>0</v>
      </c>
      <c r="I46" s="467">
        <v>0</v>
      </c>
      <c r="J46" s="467">
        <v>0</v>
      </c>
      <c r="K46" s="1690">
        <f>SUM(C46:J46)</f>
        <v>0</v>
      </c>
      <c r="L46" s="466">
        <v>0</v>
      </c>
    </row>
    <row r="47" spans="1:14" ht="12.75" customHeight="1" thickBot="1" x14ac:dyDescent="0.25">
      <c r="A47" s="1686" t="s">
        <v>582</v>
      </c>
      <c r="B47" s="1687" t="s">
        <v>32</v>
      </c>
      <c r="C47" s="1688">
        <f>SUM(C44:C46)</f>
        <v>33138</v>
      </c>
      <c r="D47" s="1688">
        <f t="shared" ref="D47:K47" si="4">SUM(D44:D46)</f>
        <v>7706</v>
      </c>
      <c r="E47" s="1688">
        <f t="shared" si="4"/>
        <v>2250</v>
      </c>
      <c r="F47" s="1688">
        <f t="shared" si="4"/>
        <v>0</v>
      </c>
      <c r="G47" s="1688">
        <f t="shared" si="4"/>
        <v>0</v>
      </c>
      <c r="H47" s="1688">
        <f t="shared" si="4"/>
        <v>0</v>
      </c>
      <c r="I47" s="1688">
        <f t="shared" si="4"/>
        <v>0</v>
      </c>
      <c r="J47" s="1688">
        <f t="shared" si="4"/>
        <v>0</v>
      </c>
      <c r="K47" s="1688">
        <f t="shared" si="4"/>
        <v>43094</v>
      </c>
      <c r="L47" s="1688">
        <f>SUM(L44:L46)</f>
        <v>49167</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500</v>
      </c>
      <c r="D49" s="481">
        <v>0</v>
      </c>
      <c r="E49" s="481">
        <v>6383</v>
      </c>
      <c r="F49" s="481">
        <v>50</v>
      </c>
      <c r="G49" s="481">
        <v>0</v>
      </c>
      <c r="H49" s="481">
        <v>0</v>
      </c>
      <c r="I49" s="467">
        <v>0</v>
      </c>
      <c r="J49" s="467">
        <v>0</v>
      </c>
      <c r="K49" s="1690">
        <f>SUM(C49:J49)</f>
        <v>6933</v>
      </c>
      <c r="L49" s="481">
        <v>7150</v>
      </c>
    </row>
    <row r="50" spans="1:14" x14ac:dyDescent="0.2">
      <c r="A50" s="1525" t="s">
        <v>872</v>
      </c>
      <c r="B50" s="615">
        <v>2320</v>
      </c>
      <c r="C50" s="466">
        <v>103728</v>
      </c>
      <c r="D50" s="466">
        <v>16566</v>
      </c>
      <c r="E50" s="466">
        <v>1503</v>
      </c>
      <c r="F50" s="466">
        <v>1927</v>
      </c>
      <c r="G50" s="466">
        <v>0</v>
      </c>
      <c r="H50" s="466">
        <v>0</v>
      </c>
      <c r="I50" s="467">
        <v>0</v>
      </c>
      <c r="J50" s="467">
        <v>0</v>
      </c>
      <c r="K50" s="1690">
        <f>SUM(C50:J50)</f>
        <v>123724</v>
      </c>
      <c r="L50" s="466">
        <v>124097</v>
      </c>
    </row>
    <row r="51" spans="1:14" x14ac:dyDescent="0.2">
      <c r="A51" s="1525" t="s">
        <v>44</v>
      </c>
      <c r="B51" s="615">
        <v>2330</v>
      </c>
      <c r="C51" s="466">
        <v>0</v>
      </c>
      <c r="D51" s="466">
        <v>0</v>
      </c>
      <c r="E51" s="466">
        <v>0</v>
      </c>
      <c r="F51" s="466">
        <v>0</v>
      </c>
      <c r="G51" s="466">
        <v>0</v>
      </c>
      <c r="H51" s="466">
        <v>0</v>
      </c>
      <c r="I51" s="467">
        <v>0</v>
      </c>
      <c r="J51" s="467">
        <v>0</v>
      </c>
      <c r="K51" s="1690">
        <f>SUM(C51:J51)</f>
        <v>0</v>
      </c>
      <c r="L51" s="466">
        <v>0</v>
      </c>
    </row>
    <row r="52" spans="1:14" ht="22.5" x14ac:dyDescent="0.2">
      <c r="A52" s="1526" t="s">
        <v>316</v>
      </c>
      <c r="B52" s="628" t="s">
        <v>384</v>
      </c>
      <c r="C52" s="474">
        <v>0</v>
      </c>
      <c r="D52" s="474">
        <v>0</v>
      </c>
      <c r="E52" s="474">
        <v>0</v>
      </c>
      <c r="F52" s="474">
        <v>0</v>
      </c>
      <c r="G52" s="474">
        <v>0</v>
      </c>
      <c r="H52" s="474">
        <v>0</v>
      </c>
      <c r="I52" s="474">
        <v>0</v>
      </c>
      <c r="J52" s="474">
        <v>0</v>
      </c>
      <c r="K52" s="1690">
        <f>SUM(C52:J52)</f>
        <v>0</v>
      </c>
      <c r="L52" s="474">
        <v>0</v>
      </c>
    </row>
    <row r="53" spans="1:14" ht="12.75" customHeight="1" thickBot="1" x14ac:dyDescent="0.25">
      <c r="A53" s="1686" t="s">
        <v>741</v>
      </c>
      <c r="B53" s="1687" t="s">
        <v>33</v>
      </c>
      <c r="C53" s="1688">
        <f>SUM(C49:C52)</f>
        <v>104228</v>
      </c>
      <c r="D53" s="1688">
        <f t="shared" ref="D53:L53" si="5">SUM(D49:D52)</f>
        <v>16566</v>
      </c>
      <c r="E53" s="1688">
        <f t="shared" si="5"/>
        <v>7886</v>
      </c>
      <c r="F53" s="1688">
        <f t="shared" si="5"/>
        <v>1977</v>
      </c>
      <c r="G53" s="1688">
        <f t="shared" si="5"/>
        <v>0</v>
      </c>
      <c r="H53" s="1688">
        <f t="shared" si="5"/>
        <v>0</v>
      </c>
      <c r="I53" s="1688">
        <f t="shared" si="5"/>
        <v>0</v>
      </c>
      <c r="J53" s="1688">
        <f t="shared" si="5"/>
        <v>0</v>
      </c>
      <c r="K53" s="1688">
        <f t="shared" si="5"/>
        <v>130657</v>
      </c>
      <c r="L53" s="1688">
        <f t="shared" si="5"/>
        <v>131247</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0</v>
      </c>
      <c r="D55" s="481">
        <v>0</v>
      </c>
      <c r="E55" s="481">
        <v>0</v>
      </c>
      <c r="F55" s="481">
        <v>0</v>
      </c>
      <c r="G55" s="481">
        <v>0</v>
      </c>
      <c r="H55" s="481">
        <v>0</v>
      </c>
      <c r="I55" s="467">
        <v>0</v>
      </c>
      <c r="J55" s="467">
        <v>0</v>
      </c>
      <c r="K55" s="1690">
        <f>SUM(C55:J55)</f>
        <v>0</v>
      </c>
      <c r="L55" s="481">
        <v>0</v>
      </c>
    </row>
    <row r="56" spans="1:14" ht="12.75" customHeight="1" x14ac:dyDescent="0.2">
      <c r="A56" s="1529" t="s">
        <v>394</v>
      </c>
      <c r="B56" s="629">
        <v>2490</v>
      </c>
      <c r="C56" s="466">
        <v>0</v>
      </c>
      <c r="D56" s="466">
        <v>0</v>
      </c>
      <c r="E56" s="466">
        <v>0</v>
      </c>
      <c r="F56" s="466">
        <v>0</v>
      </c>
      <c r="G56" s="466">
        <v>0</v>
      </c>
      <c r="H56" s="466">
        <v>0</v>
      </c>
      <c r="I56" s="467">
        <v>0</v>
      </c>
      <c r="J56" s="467">
        <v>0</v>
      </c>
      <c r="K56" s="1690">
        <f>SUM(C56:J56)</f>
        <v>0</v>
      </c>
      <c r="L56" s="466">
        <v>0</v>
      </c>
    </row>
    <row r="57" spans="1:14" s="343" customFormat="1" ht="12.75" customHeight="1" thickBot="1" x14ac:dyDescent="0.25">
      <c r="A57" s="1686" t="s">
        <v>281</v>
      </c>
      <c r="B57" s="1691" t="s">
        <v>34</v>
      </c>
      <c r="C57" s="1692">
        <f>SUM(C55:C56)</f>
        <v>0</v>
      </c>
      <c r="D57" s="1692">
        <f t="shared" ref="D57:K57" si="6">SUM(D55:D56)</f>
        <v>0</v>
      </c>
      <c r="E57" s="1692">
        <f t="shared" si="6"/>
        <v>0</v>
      </c>
      <c r="F57" s="1692">
        <f t="shared" si="6"/>
        <v>0</v>
      </c>
      <c r="G57" s="1692">
        <f t="shared" si="6"/>
        <v>0</v>
      </c>
      <c r="H57" s="1692">
        <f t="shared" si="6"/>
        <v>0</v>
      </c>
      <c r="I57" s="1692">
        <f t="shared" si="6"/>
        <v>0</v>
      </c>
      <c r="J57" s="1692">
        <f t="shared" si="6"/>
        <v>0</v>
      </c>
      <c r="K57" s="1692">
        <f t="shared" si="6"/>
        <v>0</v>
      </c>
      <c r="L57" s="1688">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0</v>
      </c>
      <c r="D59" s="481">
        <v>0</v>
      </c>
      <c r="E59" s="481">
        <v>0</v>
      </c>
      <c r="F59" s="481">
        <v>0</v>
      </c>
      <c r="G59" s="481">
        <v>0</v>
      </c>
      <c r="H59" s="481">
        <v>0</v>
      </c>
      <c r="I59" s="467">
        <v>0</v>
      </c>
      <c r="J59" s="467">
        <v>0</v>
      </c>
      <c r="K59" s="1690">
        <f t="shared" ref="K59:K64" si="7">SUM(C59:J59)</f>
        <v>0</v>
      </c>
      <c r="L59" s="481">
        <v>0</v>
      </c>
      <c r="M59" s="610"/>
      <c r="N59" s="610"/>
    </row>
    <row r="60" spans="1:14" s="343" customFormat="1" x14ac:dyDescent="0.2">
      <c r="A60" s="1525" t="s">
        <v>483</v>
      </c>
      <c r="B60" s="615">
        <v>2520</v>
      </c>
      <c r="C60" s="466">
        <v>37148</v>
      </c>
      <c r="D60" s="466">
        <v>6900</v>
      </c>
      <c r="E60" s="466">
        <v>6500</v>
      </c>
      <c r="F60" s="466">
        <v>2102</v>
      </c>
      <c r="G60" s="466">
        <v>0</v>
      </c>
      <c r="H60" s="466">
        <v>0</v>
      </c>
      <c r="I60" s="467">
        <v>0</v>
      </c>
      <c r="J60" s="467">
        <v>0</v>
      </c>
      <c r="K60" s="1690">
        <f t="shared" si="7"/>
        <v>52650</v>
      </c>
      <c r="L60" s="466">
        <v>53220</v>
      </c>
      <c r="M60" s="610"/>
      <c r="N60" s="610"/>
    </row>
    <row r="61" spans="1:14" s="343" customFormat="1" x14ac:dyDescent="0.2">
      <c r="A61" s="1525" t="s">
        <v>206</v>
      </c>
      <c r="B61" s="615">
        <v>2540</v>
      </c>
      <c r="C61" s="466">
        <v>51038</v>
      </c>
      <c r="D61" s="466">
        <v>13800</v>
      </c>
      <c r="E61" s="466">
        <v>0</v>
      </c>
      <c r="F61" s="466">
        <v>6056</v>
      </c>
      <c r="G61" s="466">
        <v>0</v>
      </c>
      <c r="H61" s="466">
        <v>0</v>
      </c>
      <c r="I61" s="467">
        <v>0</v>
      </c>
      <c r="J61" s="467">
        <v>0</v>
      </c>
      <c r="K61" s="1690">
        <f t="shared" si="7"/>
        <v>70894</v>
      </c>
      <c r="L61" s="466">
        <v>74250</v>
      </c>
      <c r="M61" s="610"/>
      <c r="N61" s="610"/>
    </row>
    <row r="62" spans="1:14" s="343" customFormat="1" x14ac:dyDescent="0.2">
      <c r="A62" s="1525" t="s">
        <v>1010</v>
      </c>
      <c r="B62" s="615">
        <v>2550</v>
      </c>
      <c r="C62" s="466">
        <v>0</v>
      </c>
      <c r="D62" s="466">
        <v>0</v>
      </c>
      <c r="E62" s="466">
        <v>4409</v>
      </c>
      <c r="F62" s="466">
        <v>0</v>
      </c>
      <c r="G62" s="466">
        <v>0</v>
      </c>
      <c r="H62" s="466">
        <v>0</v>
      </c>
      <c r="I62" s="467">
        <v>0</v>
      </c>
      <c r="J62" s="467">
        <v>0</v>
      </c>
      <c r="K62" s="1690">
        <f t="shared" si="7"/>
        <v>4409</v>
      </c>
      <c r="L62" s="466">
        <v>6000</v>
      </c>
      <c r="M62" s="610"/>
      <c r="N62" s="610"/>
    </row>
    <row r="63" spans="1:14" s="610" customFormat="1" x14ac:dyDescent="0.2">
      <c r="A63" s="1525" t="s">
        <v>102</v>
      </c>
      <c r="B63" s="615">
        <v>2560</v>
      </c>
      <c r="C63" s="466">
        <v>20092</v>
      </c>
      <c r="D63" s="466">
        <v>13580</v>
      </c>
      <c r="E63" s="466">
        <v>442</v>
      </c>
      <c r="F63" s="466">
        <v>47777</v>
      </c>
      <c r="G63" s="466">
        <v>3140</v>
      </c>
      <c r="H63" s="466">
        <v>0</v>
      </c>
      <c r="I63" s="467">
        <v>0</v>
      </c>
      <c r="J63" s="467">
        <v>0</v>
      </c>
      <c r="K63" s="1690">
        <f t="shared" si="7"/>
        <v>85031</v>
      </c>
      <c r="L63" s="466">
        <v>83630</v>
      </c>
    </row>
    <row r="64" spans="1:14" s="610" customFormat="1" x14ac:dyDescent="0.2">
      <c r="A64" s="1530" t="s">
        <v>103</v>
      </c>
      <c r="B64" s="631">
        <v>2570</v>
      </c>
      <c r="C64" s="481">
        <v>0</v>
      </c>
      <c r="D64" s="481">
        <v>0</v>
      </c>
      <c r="E64" s="481">
        <v>0</v>
      </c>
      <c r="F64" s="481">
        <v>0</v>
      </c>
      <c r="G64" s="481">
        <v>0</v>
      </c>
      <c r="H64" s="481">
        <v>0</v>
      </c>
      <c r="I64" s="467">
        <v>0</v>
      </c>
      <c r="J64" s="467">
        <v>0</v>
      </c>
      <c r="K64" s="1690">
        <f t="shared" si="7"/>
        <v>0</v>
      </c>
      <c r="L64" s="481">
        <v>0</v>
      </c>
    </row>
    <row r="65" spans="1:14" s="343" customFormat="1" ht="12.75" customHeight="1" thickBot="1" x14ac:dyDescent="0.25">
      <c r="A65" s="1686" t="s">
        <v>743</v>
      </c>
      <c r="B65" s="1687" t="s">
        <v>35</v>
      </c>
      <c r="C65" s="1688">
        <f>SUM(C59:C64)</f>
        <v>108278</v>
      </c>
      <c r="D65" s="1688">
        <f t="shared" ref="D65:L65" si="8">SUM(D59:D64)</f>
        <v>34280</v>
      </c>
      <c r="E65" s="1688">
        <f t="shared" si="8"/>
        <v>11351</v>
      </c>
      <c r="F65" s="1688">
        <f t="shared" si="8"/>
        <v>55935</v>
      </c>
      <c r="G65" s="1688">
        <f t="shared" si="8"/>
        <v>3140</v>
      </c>
      <c r="H65" s="1688">
        <f t="shared" si="8"/>
        <v>0</v>
      </c>
      <c r="I65" s="1688">
        <f t="shared" si="8"/>
        <v>0</v>
      </c>
      <c r="J65" s="1688">
        <f t="shared" si="8"/>
        <v>0</v>
      </c>
      <c r="K65" s="1688">
        <f t="shared" si="8"/>
        <v>212984</v>
      </c>
      <c r="L65" s="1688">
        <f t="shared" si="8"/>
        <v>217100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v>0</v>
      </c>
      <c r="D67" s="466">
        <v>0</v>
      </c>
      <c r="E67" s="466">
        <v>0</v>
      </c>
      <c r="F67" s="466">
        <v>0</v>
      </c>
      <c r="G67" s="466">
        <v>0</v>
      </c>
      <c r="H67" s="466">
        <v>0</v>
      </c>
      <c r="I67" s="467">
        <v>0</v>
      </c>
      <c r="J67" s="467">
        <v>0</v>
      </c>
      <c r="K67" s="1690">
        <f>SUM(C67:J67)</f>
        <v>0</v>
      </c>
      <c r="L67" s="481">
        <v>0</v>
      </c>
      <c r="M67" s="610"/>
      <c r="N67" s="610"/>
    </row>
    <row r="68" spans="1:14" s="343" customFormat="1" x14ac:dyDescent="0.2">
      <c r="A68" s="1525" t="s">
        <v>628</v>
      </c>
      <c r="B68" s="615">
        <v>2620</v>
      </c>
      <c r="C68" s="466">
        <v>0</v>
      </c>
      <c r="D68" s="466">
        <v>0</v>
      </c>
      <c r="E68" s="466">
        <v>0</v>
      </c>
      <c r="F68" s="466">
        <v>0</v>
      </c>
      <c r="G68" s="466">
        <v>0</v>
      </c>
      <c r="H68" s="466">
        <v>0</v>
      </c>
      <c r="I68" s="467">
        <v>0</v>
      </c>
      <c r="J68" s="467">
        <v>0</v>
      </c>
      <c r="K68" s="1690">
        <f>SUM(C68:J68)</f>
        <v>0</v>
      </c>
      <c r="L68" s="466">
        <v>0</v>
      </c>
      <c r="M68" s="610"/>
      <c r="N68" s="610"/>
    </row>
    <row r="69" spans="1:14" s="343" customFormat="1" x14ac:dyDescent="0.2">
      <c r="A69" s="1525" t="s">
        <v>1121</v>
      </c>
      <c r="B69" s="615">
        <v>2630</v>
      </c>
      <c r="C69" s="466">
        <v>0</v>
      </c>
      <c r="D69" s="466">
        <v>0</v>
      </c>
      <c r="E69" s="466">
        <v>3206</v>
      </c>
      <c r="F69" s="466">
        <v>0</v>
      </c>
      <c r="G69" s="466">
        <v>0</v>
      </c>
      <c r="H69" s="466">
        <v>0</v>
      </c>
      <c r="I69" s="467">
        <v>0</v>
      </c>
      <c r="J69" s="467">
        <v>0</v>
      </c>
      <c r="K69" s="1690">
        <f>SUM(C69:J69)</f>
        <v>3206</v>
      </c>
      <c r="L69" s="466">
        <v>3210</v>
      </c>
      <c r="M69" s="610"/>
      <c r="N69" s="610"/>
    </row>
    <row r="70" spans="1:14" s="343" customFormat="1" x14ac:dyDescent="0.2">
      <c r="A70" s="1525" t="s">
        <v>423</v>
      </c>
      <c r="B70" s="615">
        <v>2640</v>
      </c>
      <c r="C70" s="466">
        <v>0</v>
      </c>
      <c r="D70" s="466">
        <v>0</v>
      </c>
      <c r="E70" s="466">
        <v>0</v>
      </c>
      <c r="F70" s="466">
        <v>0</v>
      </c>
      <c r="G70" s="466">
        <v>0</v>
      </c>
      <c r="H70" s="466">
        <v>0</v>
      </c>
      <c r="I70" s="467">
        <v>0</v>
      </c>
      <c r="J70" s="467">
        <v>0</v>
      </c>
      <c r="K70" s="1690">
        <f>SUM(C70:J70)</f>
        <v>0</v>
      </c>
      <c r="L70" s="466">
        <v>0</v>
      </c>
      <c r="M70" s="610"/>
      <c r="N70" s="610"/>
    </row>
    <row r="71" spans="1:14" s="343" customFormat="1" x14ac:dyDescent="0.2">
      <c r="A71" s="1525" t="s">
        <v>424</v>
      </c>
      <c r="B71" s="615">
        <v>2660</v>
      </c>
      <c r="C71" s="466">
        <v>0</v>
      </c>
      <c r="D71" s="466">
        <v>0</v>
      </c>
      <c r="E71" s="466">
        <v>0</v>
      </c>
      <c r="F71" s="466">
        <v>0</v>
      </c>
      <c r="G71" s="466">
        <v>0</v>
      </c>
      <c r="H71" s="466">
        <v>0</v>
      </c>
      <c r="I71" s="467">
        <v>0</v>
      </c>
      <c r="J71" s="467">
        <v>0</v>
      </c>
      <c r="K71" s="1690">
        <f>SUM(C71:J71)</f>
        <v>0</v>
      </c>
      <c r="L71" s="466">
        <v>0</v>
      </c>
      <c r="M71" s="610"/>
      <c r="N71" s="610"/>
    </row>
    <row r="72" spans="1:14" s="343" customFormat="1" ht="12.75" customHeight="1" thickBot="1" x14ac:dyDescent="0.25">
      <c r="A72" s="1686" t="s">
        <v>37</v>
      </c>
      <c r="B72" s="1693" t="s">
        <v>36</v>
      </c>
      <c r="C72" s="1688">
        <f>SUM(C67:C71)</f>
        <v>0</v>
      </c>
      <c r="D72" s="1688">
        <f t="shared" ref="D72:K72" si="9">SUM(D67:D71)</f>
        <v>0</v>
      </c>
      <c r="E72" s="1688">
        <f t="shared" si="9"/>
        <v>3206</v>
      </c>
      <c r="F72" s="1688">
        <f t="shared" si="9"/>
        <v>0</v>
      </c>
      <c r="G72" s="1688">
        <f t="shared" si="9"/>
        <v>0</v>
      </c>
      <c r="H72" s="1688">
        <f t="shared" si="9"/>
        <v>0</v>
      </c>
      <c r="I72" s="1688">
        <f t="shared" si="9"/>
        <v>0</v>
      </c>
      <c r="J72" s="1688">
        <f t="shared" si="9"/>
        <v>0</v>
      </c>
      <c r="K72" s="1688">
        <f t="shared" si="9"/>
        <v>3206</v>
      </c>
      <c r="L72" s="1688">
        <f>SUM(L67:L71)</f>
        <v>3210</v>
      </c>
      <c r="M72" s="610"/>
      <c r="N72" s="610"/>
    </row>
    <row r="73" spans="1:14" s="343" customFormat="1" ht="14.25" thickTop="1" thickBot="1" x14ac:dyDescent="0.25">
      <c r="A73" s="1531" t="s">
        <v>1037</v>
      </c>
      <c r="B73" s="633" t="s">
        <v>595</v>
      </c>
      <c r="C73" s="573">
        <v>0</v>
      </c>
      <c r="D73" s="573">
        <v>0</v>
      </c>
      <c r="E73" s="573">
        <v>0</v>
      </c>
      <c r="F73" s="573">
        <v>0</v>
      </c>
      <c r="G73" s="573">
        <v>0</v>
      </c>
      <c r="H73" s="573">
        <v>0</v>
      </c>
      <c r="I73" s="531">
        <v>0</v>
      </c>
      <c r="J73" s="531">
        <v>0</v>
      </c>
      <c r="K73" s="1688">
        <f>SUM(C73:J73)</f>
        <v>0</v>
      </c>
      <c r="L73" s="576">
        <v>0</v>
      </c>
      <c r="M73" s="610"/>
      <c r="N73" s="610"/>
    </row>
    <row r="74" spans="1:14" ht="12.75" customHeight="1" thickTop="1" thickBot="1" x14ac:dyDescent="0.25">
      <c r="A74" s="1686" t="s">
        <v>865</v>
      </c>
      <c r="B74" s="1694">
        <v>2000</v>
      </c>
      <c r="C74" s="1695">
        <f>SUM(C42,C47,C53,C57,C65,C72,C73)</f>
        <v>248232</v>
      </c>
      <c r="D74" s="1695">
        <f t="shared" ref="D74:K74" si="10">SUM(D42,D47,D53,D57,D65,D72,D73)</f>
        <v>58552</v>
      </c>
      <c r="E74" s="1695">
        <f t="shared" si="10"/>
        <v>42551</v>
      </c>
      <c r="F74" s="1695">
        <f t="shared" si="10"/>
        <v>58074</v>
      </c>
      <c r="G74" s="1695">
        <f t="shared" si="10"/>
        <v>3140</v>
      </c>
      <c r="H74" s="1695">
        <f t="shared" si="10"/>
        <v>0</v>
      </c>
      <c r="I74" s="1695">
        <f t="shared" si="10"/>
        <v>0</v>
      </c>
      <c r="J74" s="1695">
        <f t="shared" si="10"/>
        <v>0</v>
      </c>
      <c r="K74" s="1695">
        <f t="shared" si="10"/>
        <v>410549</v>
      </c>
      <c r="L74" s="1695">
        <f>SUM(L42,L47,L53,L57,L65,L72,L73)</f>
        <v>428574</v>
      </c>
    </row>
    <row r="75" spans="1:14" s="259" customFormat="1" ht="15.75" customHeight="1" thickTop="1" thickBot="1" x14ac:dyDescent="0.25">
      <c r="A75" s="1631" t="s">
        <v>49</v>
      </c>
      <c r="B75" s="1632" t="s">
        <v>596</v>
      </c>
      <c r="C75" s="573">
        <v>1110</v>
      </c>
      <c r="D75" s="573">
        <v>12</v>
      </c>
      <c r="E75" s="573">
        <v>0</v>
      </c>
      <c r="F75" s="573">
        <v>0</v>
      </c>
      <c r="G75" s="573">
        <v>0</v>
      </c>
      <c r="H75" s="573">
        <v>0</v>
      </c>
      <c r="I75" s="531">
        <v>0</v>
      </c>
      <c r="J75" s="531">
        <v>0</v>
      </c>
      <c r="K75" s="1688">
        <f>SUM(C75:J75)</f>
        <v>1122</v>
      </c>
      <c r="L75" s="576">
        <v>4250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0</v>
      </c>
      <c r="F78" s="617"/>
      <c r="G78" s="617"/>
      <c r="H78" s="635">
        <v>0</v>
      </c>
      <c r="I78" s="477"/>
      <c r="J78" s="477"/>
      <c r="K78" s="1689">
        <f t="shared" ref="K78:K83" si="11">SUM(C78:J78)</f>
        <v>0</v>
      </c>
      <c r="L78" s="481">
        <v>1350</v>
      </c>
    </row>
    <row r="79" spans="1:14" x14ac:dyDescent="0.2">
      <c r="A79" s="1525" t="s">
        <v>322</v>
      </c>
      <c r="B79" s="615">
        <v>4120</v>
      </c>
      <c r="C79" s="617"/>
      <c r="D79" s="617"/>
      <c r="E79" s="466">
        <v>0</v>
      </c>
      <c r="F79" s="617"/>
      <c r="G79" s="617"/>
      <c r="H79" s="466">
        <v>69846</v>
      </c>
      <c r="I79" s="477"/>
      <c r="J79" s="477"/>
      <c r="K79" s="1689">
        <f t="shared" si="11"/>
        <v>69846</v>
      </c>
      <c r="L79" s="466">
        <v>70000</v>
      </c>
    </row>
    <row r="80" spans="1:14" x14ac:dyDescent="0.2">
      <c r="A80" s="1525" t="s">
        <v>323</v>
      </c>
      <c r="B80" s="615">
        <v>4130</v>
      </c>
      <c r="C80" s="617"/>
      <c r="D80" s="617"/>
      <c r="E80" s="466">
        <v>0</v>
      </c>
      <c r="F80" s="617"/>
      <c r="G80" s="617"/>
      <c r="H80" s="466">
        <v>0</v>
      </c>
      <c r="I80" s="477"/>
      <c r="J80" s="477"/>
      <c r="K80" s="1689">
        <f t="shared" si="11"/>
        <v>0</v>
      </c>
      <c r="L80" s="466">
        <v>0</v>
      </c>
    </row>
    <row r="81" spans="1:12" x14ac:dyDescent="0.2">
      <c r="A81" s="1525" t="s">
        <v>721</v>
      </c>
      <c r="B81" s="615">
        <v>4140</v>
      </c>
      <c r="C81" s="617"/>
      <c r="D81" s="617"/>
      <c r="E81" s="466">
        <v>0</v>
      </c>
      <c r="F81" s="617"/>
      <c r="G81" s="617"/>
      <c r="H81" s="466">
        <v>0</v>
      </c>
      <c r="I81" s="477"/>
      <c r="J81" s="477"/>
      <c r="K81" s="1689">
        <f t="shared" si="11"/>
        <v>0</v>
      </c>
      <c r="L81" s="466">
        <v>0</v>
      </c>
    </row>
    <row r="82" spans="1:12" x14ac:dyDescent="0.2">
      <c r="A82" s="1525" t="s">
        <v>88</v>
      </c>
      <c r="B82" s="615">
        <v>4170</v>
      </c>
      <c r="C82" s="617"/>
      <c r="D82" s="617"/>
      <c r="E82" s="466">
        <v>0</v>
      </c>
      <c r="F82" s="617"/>
      <c r="G82" s="617"/>
      <c r="H82" s="466">
        <v>0</v>
      </c>
      <c r="I82" s="477"/>
      <c r="J82" s="477"/>
      <c r="K82" s="1689">
        <f t="shared" si="11"/>
        <v>0</v>
      </c>
      <c r="L82" s="466">
        <v>0</v>
      </c>
    </row>
    <row r="83" spans="1:12" x14ac:dyDescent="0.2">
      <c r="A83" s="1529" t="s">
        <v>722</v>
      </c>
      <c r="B83" s="629">
        <v>4190</v>
      </c>
      <c r="C83" s="617"/>
      <c r="D83" s="617"/>
      <c r="E83" s="466">
        <v>0</v>
      </c>
      <c r="F83" s="617"/>
      <c r="G83" s="617"/>
      <c r="H83" s="466">
        <v>0</v>
      </c>
      <c r="I83" s="477"/>
      <c r="J83" s="477"/>
      <c r="K83" s="1689">
        <f t="shared" si="11"/>
        <v>0</v>
      </c>
      <c r="L83" s="466">
        <v>0</v>
      </c>
    </row>
    <row r="84" spans="1:12" ht="13.5" thickBot="1" x14ac:dyDescent="0.25">
      <c r="A84" s="1686" t="s">
        <v>1565</v>
      </c>
      <c r="B84" s="1696">
        <v>4100</v>
      </c>
      <c r="C84" s="617"/>
      <c r="D84" s="617"/>
      <c r="E84" s="1688">
        <f>SUM(E78:E83)</f>
        <v>0</v>
      </c>
      <c r="F84" s="617"/>
      <c r="G84" s="617"/>
      <c r="H84" s="1688">
        <f>SUM(H78:H83)</f>
        <v>69846</v>
      </c>
      <c r="I84" s="477"/>
      <c r="J84" s="477"/>
      <c r="K84" s="1688">
        <f>SUM(K78:K83)</f>
        <v>69846</v>
      </c>
      <c r="L84" s="1688">
        <f>SUM(L78:L83)</f>
        <v>71350</v>
      </c>
    </row>
    <row r="85" spans="1:12" ht="12.75" customHeight="1" thickTop="1" thickBot="1" x14ac:dyDescent="0.25">
      <c r="A85" s="1532" t="s">
        <v>273</v>
      </c>
      <c r="B85" s="636">
        <v>4210</v>
      </c>
      <c r="C85" s="617"/>
      <c r="D85" s="617"/>
      <c r="E85" s="637"/>
      <c r="F85" s="617"/>
      <c r="G85" s="617"/>
      <c r="H85" s="535">
        <v>0</v>
      </c>
      <c r="I85" s="477"/>
      <c r="J85" s="477"/>
      <c r="K85" s="1695">
        <f>H85</f>
        <v>0</v>
      </c>
      <c r="L85" s="530">
        <v>0</v>
      </c>
    </row>
    <row r="86" spans="1:12" ht="12.75" customHeight="1" thickTop="1" thickBot="1" x14ac:dyDescent="0.25">
      <c r="A86" s="1533" t="s">
        <v>723</v>
      </c>
      <c r="B86" s="638">
        <v>4220</v>
      </c>
      <c r="C86" s="617"/>
      <c r="D86" s="617"/>
      <c r="E86" s="639"/>
      <c r="F86" s="617"/>
      <c r="G86" s="617"/>
      <c r="H86" s="467">
        <v>0</v>
      </c>
      <c r="I86" s="477"/>
      <c r="J86" s="477"/>
      <c r="K86" s="1695">
        <f t="shared" ref="K86:K98" si="12">H86</f>
        <v>0</v>
      </c>
      <c r="L86" s="530">
        <v>0</v>
      </c>
    </row>
    <row r="87" spans="1:12" ht="14.25" thickTop="1" thickBot="1" x14ac:dyDescent="0.25">
      <c r="A87" s="1534" t="s">
        <v>724</v>
      </c>
      <c r="B87" s="640">
        <v>4230</v>
      </c>
      <c r="C87" s="617"/>
      <c r="D87" s="617"/>
      <c r="E87" s="639"/>
      <c r="F87" s="617"/>
      <c r="G87" s="617"/>
      <c r="H87" s="467">
        <v>0</v>
      </c>
      <c r="I87" s="477"/>
      <c r="J87" s="477"/>
      <c r="K87" s="1695">
        <f t="shared" si="12"/>
        <v>0</v>
      </c>
      <c r="L87" s="530">
        <v>0</v>
      </c>
    </row>
    <row r="88" spans="1:12" ht="12.75" customHeight="1" thickTop="1" thickBot="1" x14ac:dyDescent="0.25">
      <c r="A88" s="1534" t="s">
        <v>789</v>
      </c>
      <c r="B88" s="640">
        <v>4240</v>
      </c>
      <c r="C88" s="617"/>
      <c r="D88" s="617"/>
      <c r="E88" s="639"/>
      <c r="F88" s="617"/>
      <c r="G88" s="617"/>
      <c r="H88" s="467">
        <v>0</v>
      </c>
      <c r="I88" s="477"/>
      <c r="J88" s="477"/>
      <c r="K88" s="1695">
        <f t="shared" si="12"/>
        <v>0</v>
      </c>
      <c r="L88" s="530">
        <v>0</v>
      </c>
    </row>
    <row r="89" spans="1:12" ht="12.75" customHeight="1" thickTop="1" thickBot="1" x14ac:dyDescent="0.25">
      <c r="A89" s="1534" t="s">
        <v>725</v>
      </c>
      <c r="B89" s="640">
        <v>4270</v>
      </c>
      <c r="C89" s="617"/>
      <c r="D89" s="617"/>
      <c r="E89" s="639"/>
      <c r="F89" s="617"/>
      <c r="G89" s="617"/>
      <c r="H89" s="467">
        <v>0</v>
      </c>
      <c r="I89" s="477"/>
      <c r="J89" s="477"/>
      <c r="K89" s="1695">
        <f t="shared" si="12"/>
        <v>0</v>
      </c>
      <c r="L89" s="530">
        <v>0</v>
      </c>
    </row>
    <row r="90" spans="1:12" ht="12.75" customHeight="1" thickTop="1" thickBot="1" x14ac:dyDescent="0.25">
      <c r="A90" s="1534" t="s">
        <v>710</v>
      </c>
      <c r="B90" s="640">
        <v>4280</v>
      </c>
      <c r="C90" s="617"/>
      <c r="D90" s="617"/>
      <c r="E90" s="639"/>
      <c r="F90" s="617"/>
      <c r="G90" s="617"/>
      <c r="H90" s="467">
        <v>0</v>
      </c>
      <c r="I90" s="477"/>
      <c r="J90" s="477"/>
      <c r="K90" s="1695">
        <f t="shared" si="12"/>
        <v>0</v>
      </c>
      <c r="L90" s="530">
        <v>0</v>
      </c>
    </row>
    <row r="91" spans="1:12" ht="12.75" customHeight="1" thickTop="1" thickBot="1" x14ac:dyDescent="0.25">
      <c r="A91" s="1534" t="s">
        <v>711</v>
      </c>
      <c r="B91" s="640">
        <v>4290</v>
      </c>
      <c r="C91" s="617"/>
      <c r="D91" s="617"/>
      <c r="E91" s="639"/>
      <c r="F91" s="617"/>
      <c r="G91" s="617"/>
      <c r="H91" s="467">
        <v>0</v>
      </c>
      <c r="I91" s="477"/>
      <c r="J91" s="477"/>
      <c r="K91" s="1695">
        <f t="shared" si="12"/>
        <v>0</v>
      </c>
      <c r="L91" s="530">
        <v>0</v>
      </c>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3" t="s">
        <v>712</v>
      </c>
      <c r="B93" s="641">
        <v>4310</v>
      </c>
      <c r="C93" s="617"/>
      <c r="D93" s="617"/>
      <c r="E93" s="639"/>
      <c r="F93" s="617"/>
      <c r="G93" s="617"/>
      <c r="H93" s="642">
        <v>0</v>
      </c>
      <c r="I93" s="477"/>
      <c r="J93" s="477"/>
      <c r="K93" s="1695">
        <f t="shared" si="12"/>
        <v>0</v>
      </c>
      <c r="L93" s="532">
        <v>0</v>
      </c>
    </row>
    <row r="94" spans="1:12" ht="12.75" customHeight="1" thickTop="1" thickBot="1" x14ac:dyDescent="0.25">
      <c r="A94" s="1534" t="s">
        <v>713</v>
      </c>
      <c r="B94" s="640">
        <v>4320</v>
      </c>
      <c r="C94" s="617"/>
      <c r="D94" s="617"/>
      <c r="E94" s="639"/>
      <c r="F94" s="617"/>
      <c r="G94" s="617"/>
      <c r="H94" s="467">
        <v>0</v>
      </c>
      <c r="I94" s="477"/>
      <c r="J94" s="477"/>
      <c r="K94" s="1695">
        <f t="shared" si="12"/>
        <v>0</v>
      </c>
      <c r="L94" s="530">
        <v>0</v>
      </c>
    </row>
    <row r="95" spans="1:12" ht="15" customHeight="1" thickTop="1" thickBot="1" x14ac:dyDescent="0.25">
      <c r="A95" s="1534" t="s">
        <v>1568</v>
      </c>
      <c r="B95" s="640">
        <v>4330</v>
      </c>
      <c r="C95" s="617"/>
      <c r="D95" s="617"/>
      <c r="E95" s="639"/>
      <c r="F95" s="617"/>
      <c r="G95" s="617"/>
      <c r="H95" s="467">
        <v>0</v>
      </c>
      <c r="I95" s="477"/>
      <c r="J95" s="477"/>
      <c r="K95" s="1695">
        <f t="shared" si="12"/>
        <v>0</v>
      </c>
      <c r="L95" s="530">
        <v>0</v>
      </c>
    </row>
    <row r="96" spans="1:12" ht="14.25" thickTop="1" thickBot="1" x14ac:dyDescent="0.25">
      <c r="A96" s="1534" t="s">
        <v>714</v>
      </c>
      <c r="B96" s="640">
        <v>4340</v>
      </c>
      <c r="C96" s="617"/>
      <c r="D96" s="617"/>
      <c r="E96" s="639"/>
      <c r="F96" s="617"/>
      <c r="G96" s="617"/>
      <c r="H96" s="467">
        <v>0</v>
      </c>
      <c r="I96" s="477"/>
      <c r="J96" s="477"/>
      <c r="K96" s="1695">
        <f t="shared" si="12"/>
        <v>0</v>
      </c>
      <c r="L96" s="530">
        <v>0</v>
      </c>
    </row>
    <row r="97" spans="1:14" ht="12.75" customHeight="1" thickTop="1" thickBot="1" x14ac:dyDescent="0.25">
      <c r="A97" s="1534" t="s">
        <v>787</v>
      </c>
      <c r="B97" s="640">
        <v>4370</v>
      </c>
      <c r="C97" s="617"/>
      <c r="D97" s="617"/>
      <c r="E97" s="639"/>
      <c r="F97" s="617"/>
      <c r="G97" s="617"/>
      <c r="H97" s="467">
        <v>0</v>
      </c>
      <c r="I97" s="477"/>
      <c r="J97" s="477"/>
      <c r="K97" s="1695">
        <f t="shared" si="12"/>
        <v>0</v>
      </c>
      <c r="L97" s="530">
        <v>0</v>
      </c>
    </row>
    <row r="98" spans="1:14" ht="14.25" thickTop="1" thickBot="1" x14ac:dyDescent="0.25">
      <c r="A98" s="1534" t="s">
        <v>788</v>
      </c>
      <c r="B98" s="640">
        <v>4380</v>
      </c>
      <c r="C98" s="617"/>
      <c r="D98" s="617"/>
      <c r="E98" s="643"/>
      <c r="F98" s="617"/>
      <c r="G98" s="617"/>
      <c r="H98" s="467">
        <v>0</v>
      </c>
      <c r="I98" s="477"/>
      <c r="J98" s="477"/>
      <c r="K98" s="1695">
        <f t="shared" si="12"/>
        <v>0</v>
      </c>
      <c r="L98" s="530">
        <v>0</v>
      </c>
    </row>
    <row r="99" spans="1:14" ht="14.25" thickTop="1" thickBot="1" x14ac:dyDescent="0.25">
      <c r="A99" s="1534" t="s">
        <v>385</v>
      </c>
      <c r="B99" s="640">
        <v>4390</v>
      </c>
      <c r="C99" s="617"/>
      <c r="D99" s="617"/>
      <c r="E99" s="532">
        <v>0</v>
      </c>
      <c r="F99" s="617"/>
      <c r="G99" s="617"/>
      <c r="H99" s="467">
        <v>0</v>
      </c>
      <c r="I99" s="477"/>
      <c r="J99" s="477"/>
      <c r="K99" s="1695">
        <f>SUM(E99,H99)</f>
        <v>0</v>
      </c>
      <c r="L99" s="530">
        <v>0</v>
      </c>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1" t="s">
        <v>1569</v>
      </c>
      <c r="B101" s="644" t="s">
        <v>988</v>
      </c>
      <c r="C101" s="617"/>
      <c r="D101" s="617"/>
      <c r="E101" s="531">
        <v>0</v>
      </c>
      <c r="F101" s="617"/>
      <c r="G101" s="617"/>
      <c r="H101" s="531">
        <v>0</v>
      </c>
      <c r="I101" s="477"/>
      <c r="J101" s="477"/>
      <c r="K101" s="1697">
        <f>SUM(C101:J101)</f>
        <v>0</v>
      </c>
      <c r="L101" s="530">
        <v>0</v>
      </c>
    </row>
    <row r="102" spans="1:14" ht="12.75" customHeight="1" thickTop="1" thickBot="1" x14ac:dyDescent="0.25">
      <c r="A102" s="1686" t="s">
        <v>1567</v>
      </c>
      <c r="B102" s="1696">
        <v>4000</v>
      </c>
      <c r="C102" s="617"/>
      <c r="D102" s="617"/>
      <c r="E102" s="1695">
        <f>SUM(E84,E92,E100,E101)</f>
        <v>0</v>
      </c>
      <c r="F102" s="617"/>
      <c r="G102" s="617"/>
      <c r="H102" s="1695">
        <f>SUM(H84,H92,H100,H101)</f>
        <v>69846</v>
      </c>
      <c r="I102" s="477"/>
      <c r="J102" s="477"/>
      <c r="K102" s="1695">
        <f>SUM(K84,K92,K100,K101)</f>
        <v>69846</v>
      </c>
      <c r="L102" s="1695">
        <f>SUM(L84,L92,L100,L101)</f>
        <v>71350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89">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89">
        <f>H106</f>
        <v>0</v>
      </c>
      <c r="L106" s="466">
        <v>0</v>
      </c>
      <c r="M106" s="210"/>
      <c r="N106" s="210"/>
    </row>
    <row r="107" spans="1:14" s="598" customFormat="1" ht="12.75" customHeight="1" x14ac:dyDescent="0.2">
      <c r="A107" s="1525" t="s">
        <v>1232</v>
      </c>
      <c r="B107" s="615">
        <v>5130</v>
      </c>
      <c r="C107" s="617"/>
      <c r="D107" s="617"/>
      <c r="E107" s="617"/>
      <c r="F107" s="617"/>
      <c r="G107" s="617"/>
      <c r="H107" s="466">
        <v>0</v>
      </c>
      <c r="I107" s="468"/>
      <c r="J107" s="468"/>
      <c r="K107" s="1689">
        <f>H107</f>
        <v>0</v>
      </c>
      <c r="L107" s="466">
        <v>0</v>
      </c>
      <c r="M107" s="210"/>
      <c r="N107" s="210"/>
    </row>
    <row r="108" spans="1:14" s="598" customFormat="1" x14ac:dyDescent="0.2">
      <c r="A108" s="1525" t="s">
        <v>91</v>
      </c>
      <c r="B108" s="615" t="s">
        <v>610</v>
      </c>
      <c r="C108" s="617"/>
      <c r="D108" s="617"/>
      <c r="E108" s="617"/>
      <c r="F108" s="617"/>
      <c r="G108" s="617"/>
      <c r="H108" s="466">
        <v>0</v>
      </c>
      <c r="I108" s="468"/>
      <c r="J108" s="468"/>
      <c r="K108" s="1689">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89">
        <f>H109</f>
        <v>0</v>
      </c>
      <c r="L109" s="466">
        <v>0</v>
      </c>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5" t="s">
        <v>386</v>
      </c>
      <c r="B111" s="648" t="s">
        <v>38</v>
      </c>
      <c r="C111" s="617"/>
      <c r="D111" s="617"/>
      <c r="E111" s="617"/>
      <c r="F111" s="617"/>
      <c r="G111" s="617"/>
      <c r="H111" s="535">
        <v>0</v>
      </c>
      <c r="I111" s="468"/>
      <c r="J111" s="468"/>
      <c r="K111" s="1701">
        <f>H111</f>
        <v>0</v>
      </c>
      <c r="L111" s="532">
        <v>0</v>
      </c>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1181300</v>
      </c>
      <c r="D114" s="1688">
        <f t="shared" ref="D114:K114" si="13">SUM(D33,D74,D75,D102,D112,D113)</f>
        <v>274106</v>
      </c>
      <c r="E114" s="1688">
        <f t="shared" si="13"/>
        <v>83245</v>
      </c>
      <c r="F114" s="1688">
        <f t="shared" si="13"/>
        <v>144187</v>
      </c>
      <c r="G114" s="1688">
        <f t="shared" si="13"/>
        <v>8467</v>
      </c>
      <c r="H114" s="1688">
        <f>SUM(H33,H74,H75,H102,H112,H113)</f>
        <v>69846</v>
      </c>
      <c r="I114" s="1688">
        <f t="shared" si="13"/>
        <v>0</v>
      </c>
      <c r="J114" s="1688">
        <f t="shared" si="13"/>
        <v>0</v>
      </c>
      <c r="K114" s="1688">
        <f t="shared" si="13"/>
        <v>1761151</v>
      </c>
      <c r="L114" s="1688">
        <f>SUM(L33,L74,L75,L102,L112,L113)</f>
        <v>1811719</v>
      </c>
    </row>
    <row r="115" spans="1:14" ht="13.5" thickTop="1" x14ac:dyDescent="0.2">
      <c r="A115" s="2196" t="s">
        <v>1053</v>
      </c>
      <c r="B115" s="2197"/>
      <c r="C115" s="619"/>
      <c r="D115" s="619"/>
      <c r="E115" s="619"/>
      <c r="F115" s="619"/>
      <c r="G115" s="619"/>
      <c r="H115" s="619"/>
      <c r="I115" s="619"/>
      <c r="J115" s="619"/>
      <c r="K115" s="1702">
        <f>'Revenues 9-14'!C275-'Expenditures 15-22'!K114</f>
        <v>251520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4" t="s">
        <v>314</v>
      </c>
      <c r="B117" s="2175"/>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89">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v>0</v>
      </c>
      <c r="D122" s="466">
        <v>0</v>
      </c>
      <c r="E122" s="466">
        <v>0</v>
      </c>
      <c r="F122" s="466">
        <v>0</v>
      </c>
      <c r="G122" s="466">
        <v>0</v>
      </c>
      <c r="H122" s="466">
        <v>0</v>
      </c>
      <c r="I122" s="467">
        <v>0</v>
      </c>
      <c r="J122" s="467">
        <v>0</v>
      </c>
      <c r="K122" s="1688">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88">
        <f>SUM(C123:J123)</f>
        <v>0</v>
      </c>
      <c r="L123" s="466">
        <v>0</v>
      </c>
    </row>
    <row r="124" spans="1:14" ht="14.25" thickTop="1" thickBot="1" x14ac:dyDescent="0.25">
      <c r="A124" s="1525" t="s">
        <v>206</v>
      </c>
      <c r="B124" s="615">
        <v>2540</v>
      </c>
      <c r="C124" s="466">
        <v>0</v>
      </c>
      <c r="D124" s="466">
        <v>0</v>
      </c>
      <c r="E124" s="466">
        <v>84672</v>
      </c>
      <c r="F124" s="466">
        <v>657</v>
      </c>
      <c r="G124" s="466">
        <v>0</v>
      </c>
      <c r="H124" s="466">
        <v>0</v>
      </c>
      <c r="I124" s="467">
        <v>0</v>
      </c>
      <c r="J124" s="467">
        <v>0</v>
      </c>
      <c r="K124" s="1688">
        <f>SUM(C124:J124)</f>
        <v>85329</v>
      </c>
      <c r="L124" s="466">
        <v>87500</v>
      </c>
    </row>
    <row r="125" spans="1:14" ht="14.25" thickTop="1" thickBot="1" x14ac:dyDescent="0.25">
      <c r="A125" s="1525" t="s">
        <v>1010</v>
      </c>
      <c r="B125" s="615">
        <v>2550</v>
      </c>
      <c r="C125" s="466">
        <v>0</v>
      </c>
      <c r="D125" s="466">
        <v>0</v>
      </c>
      <c r="E125" s="466">
        <v>0</v>
      </c>
      <c r="F125" s="466">
        <v>0</v>
      </c>
      <c r="G125" s="466">
        <v>0</v>
      </c>
      <c r="H125" s="466">
        <v>0</v>
      </c>
      <c r="I125" s="467">
        <v>0</v>
      </c>
      <c r="J125" s="467">
        <v>0</v>
      </c>
      <c r="K125" s="1688">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88">
        <f>SUM(C126:J126)</f>
        <v>0</v>
      </c>
      <c r="L126" s="466">
        <v>0</v>
      </c>
    </row>
    <row r="127" spans="1:14" ht="12.75" customHeight="1" thickTop="1" thickBot="1" x14ac:dyDescent="0.25">
      <c r="A127" s="1686" t="s">
        <v>743</v>
      </c>
      <c r="B127" s="1687" t="s">
        <v>35</v>
      </c>
      <c r="C127" s="1688">
        <f>SUM(C122:C126)</f>
        <v>0</v>
      </c>
      <c r="D127" s="1688">
        <f t="shared" ref="D127:L127" si="14">SUM(D122:D126)</f>
        <v>0</v>
      </c>
      <c r="E127" s="1688">
        <f t="shared" si="14"/>
        <v>84672</v>
      </c>
      <c r="F127" s="1688">
        <f t="shared" si="14"/>
        <v>657</v>
      </c>
      <c r="G127" s="1688">
        <f t="shared" si="14"/>
        <v>0</v>
      </c>
      <c r="H127" s="1688">
        <f t="shared" si="14"/>
        <v>0</v>
      </c>
      <c r="I127" s="1688">
        <f t="shared" si="14"/>
        <v>0</v>
      </c>
      <c r="J127" s="1688">
        <f t="shared" si="14"/>
        <v>0</v>
      </c>
      <c r="K127" s="1688">
        <f t="shared" si="14"/>
        <v>85329</v>
      </c>
      <c r="L127" s="1688">
        <f t="shared" si="14"/>
        <v>87500</v>
      </c>
    </row>
    <row r="128" spans="1:14" ht="12.75" customHeight="1" thickTop="1" x14ac:dyDescent="0.2">
      <c r="A128" s="1532" t="s">
        <v>1037</v>
      </c>
      <c r="B128" s="656" t="s">
        <v>595</v>
      </c>
      <c r="C128" s="657">
        <v>0</v>
      </c>
      <c r="D128" s="657">
        <v>0</v>
      </c>
      <c r="E128" s="657">
        <v>0</v>
      </c>
      <c r="F128" s="657">
        <v>0</v>
      </c>
      <c r="G128" s="657">
        <v>0</v>
      </c>
      <c r="H128" s="657">
        <v>0</v>
      </c>
      <c r="I128" s="535">
        <v>0</v>
      </c>
      <c r="J128" s="535">
        <v>0</v>
      </c>
      <c r="K128" s="1703">
        <f>SUM(C128:J128)</f>
        <v>0</v>
      </c>
      <c r="L128" s="657">
        <v>0</v>
      </c>
    </row>
    <row r="129" spans="1:14" ht="12.75" customHeight="1" thickBot="1" x14ac:dyDescent="0.25">
      <c r="A129" s="1704" t="s">
        <v>865</v>
      </c>
      <c r="B129" s="1705" t="s">
        <v>590</v>
      </c>
      <c r="C129" s="1695">
        <f>SUM(C120,C127,C128)</f>
        <v>0</v>
      </c>
      <c r="D129" s="1695">
        <f t="shared" ref="D129:L129" si="15">SUM(D120,D127,D128)</f>
        <v>0</v>
      </c>
      <c r="E129" s="1695">
        <f t="shared" si="15"/>
        <v>84672</v>
      </c>
      <c r="F129" s="1695">
        <f t="shared" si="15"/>
        <v>657</v>
      </c>
      <c r="G129" s="1695">
        <f t="shared" si="15"/>
        <v>0</v>
      </c>
      <c r="H129" s="1695">
        <f t="shared" si="15"/>
        <v>0</v>
      </c>
      <c r="I129" s="1695">
        <f t="shared" si="15"/>
        <v>0</v>
      </c>
      <c r="J129" s="1695">
        <f t="shared" si="15"/>
        <v>0</v>
      </c>
      <c r="K129" s="1695">
        <f t="shared" si="15"/>
        <v>85329</v>
      </c>
      <c r="L129" s="1695">
        <f t="shared" si="15"/>
        <v>87500</v>
      </c>
    </row>
    <row r="130" spans="1:14" ht="15.75" customHeight="1" thickTop="1" thickBot="1" x14ac:dyDescent="0.25">
      <c r="A130" s="1631" t="s">
        <v>1096</v>
      </c>
      <c r="B130" s="1632" t="s">
        <v>596</v>
      </c>
      <c r="C130" s="576">
        <v>0</v>
      </c>
      <c r="D130" s="576">
        <v>0</v>
      </c>
      <c r="E130" s="576">
        <v>0</v>
      </c>
      <c r="F130" s="576">
        <v>0</v>
      </c>
      <c r="G130" s="576">
        <v>0</v>
      </c>
      <c r="H130" s="576">
        <v>0</v>
      </c>
      <c r="I130" s="531">
        <v>0</v>
      </c>
      <c r="J130" s="531">
        <v>0</v>
      </c>
      <c r="K130" s="1688">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9" t="s">
        <v>1953</v>
      </c>
      <c r="C133" s="468"/>
      <c r="D133" s="468"/>
      <c r="E133" s="642">
        <v>0</v>
      </c>
      <c r="F133" s="468"/>
      <c r="G133" s="468"/>
      <c r="H133" s="642">
        <v>0</v>
      </c>
      <c r="I133" s="468"/>
      <c r="J133" s="468"/>
      <c r="K133" s="1840">
        <f>SUM(E133,H133)</f>
        <v>0</v>
      </c>
      <c r="L133" s="642">
        <v>0</v>
      </c>
      <c r="M133" s="206"/>
      <c r="N133" s="206"/>
    </row>
    <row r="134" spans="1:14" x14ac:dyDescent="0.2">
      <c r="A134" s="1525" t="s">
        <v>322</v>
      </c>
      <c r="B134" s="615">
        <v>4120</v>
      </c>
      <c r="C134" s="617"/>
      <c r="D134" s="617"/>
      <c r="E134" s="478">
        <v>0</v>
      </c>
      <c r="F134" s="617"/>
      <c r="G134" s="617"/>
      <c r="H134" s="481">
        <v>0</v>
      </c>
      <c r="I134" s="477"/>
      <c r="J134" s="617"/>
      <c r="K134" s="1690">
        <f>SUM(E134,H134)</f>
        <v>0</v>
      </c>
      <c r="L134" s="481">
        <v>0</v>
      </c>
    </row>
    <row r="135" spans="1:14" x14ac:dyDescent="0.2">
      <c r="A135" s="1525" t="s">
        <v>721</v>
      </c>
      <c r="B135" s="615">
        <v>4140</v>
      </c>
      <c r="C135" s="617"/>
      <c r="D135" s="617"/>
      <c r="E135" s="467">
        <v>0</v>
      </c>
      <c r="F135" s="617"/>
      <c r="G135" s="617"/>
      <c r="H135" s="466">
        <v>0</v>
      </c>
      <c r="I135" s="477"/>
      <c r="J135" s="617"/>
      <c r="K135" s="1690">
        <f>SUM(E135,H135)</f>
        <v>0</v>
      </c>
      <c r="L135" s="466">
        <v>0</v>
      </c>
    </row>
    <row r="136" spans="1:14" x14ac:dyDescent="0.2">
      <c r="A136" s="1529" t="s">
        <v>722</v>
      </c>
      <c r="B136" s="629">
        <v>4190</v>
      </c>
      <c r="C136" s="617"/>
      <c r="D136" s="617"/>
      <c r="E136" s="467">
        <v>0</v>
      </c>
      <c r="F136" s="617"/>
      <c r="G136" s="617"/>
      <c r="H136" s="466">
        <v>0</v>
      </c>
      <c r="I136" s="477"/>
      <c r="J136" s="617"/>
      <c r="K136" s="1690">
        <f>SUM(E136,H136)</f>
        <v>0</v>
      </c>
      <c r="L136" s="466">
        <v>0</v>
      </c>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1" t="s">
        <v>98</v>
      </c>
      <c r="B138" s="644" t="s">
        <v>988</v>
      </c>
      <c r="C138" s="617"/>
      <c r="D138" s="617"/>
      <c r="E138" s="479">
        <v>0</v>
      </c>
      <c r="F138" s="617"/>
      <c r="G138" s="617"/>
      <c r="H138" s="576">
        <v>0</v>
      </c>
      <c r="I138" s="477"/>
      <c r="J138" s="617"/>
      <c r="K138" s="1690">
        <f>SUM(E138,H138)</f>
        <v>0</v>
      </c>
      <c r="L138" s="576">
        <v>0</v>
      </c>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0">
        <f>SUM(H142)</f>
        <v>0</v>
      </c>
      <c r="L142" s="481">
        <v>0</v>
      </c>
    </row>
    <row r="143" spans="1:14" x14ac:dyDescent="0.2">
      <c r="A143" s="1525" t="s">
        <v>90</v>
      </c>
      <c r="B143" s="615">
        <v>5120</v>
      </c>
      <c r="C143" s="617"/>
      <c r="D143" s="617"/>
      <c r="E143" s="617"/>
      <c r="F143" s="617"/>
      <c r="G143" s="617"/>
      <c r="H143" s="466">
        <v>0</v>
      </c>
      <c r="I143" s="468"/>
      <c r="J143" s="617"/>
      <c r="K143" s="1690">
        <f>SUM(H143)</f>
        <v>0</v>
      </c>
      <c r="L143" s="466">
        <v>0</v>
      </c>
    </row>
    <row r="144" spans="1:14" ht="12.75" customHeight="1" x14ac:dyDescent="0.2">
      <c r="A144" s="1525" t="s">
        <v>1232</v>
      </c>
      <c r="B144" s="629" t="s">
        <v>638</v>
      </c>
      <c r="C144" s="617"/>
      <c r="D144" s="617"/>
      <c r="E144" s="617"/>
      <c r="F144" s="617"/>
      <c r="G144" s="617"/>
      <c r="H144" s="466">
        <v>0</v>
      </c>
      <c r="I144" s="468"/>
      <c r="J144" s="617"/>
      <c r="K144" s="1690">
        <f>SUM(H144)</f>
        <v>0</v>
      </c>
      <c r="L144" s="466">
        <v>0</v>
      </c>
    </row>
    <row r="145" spans="1:14" x14ac:dyDescent="0.2">
      <c r="A145" s="1525" t="s">
        <v>91</v>
      </c>
      <c r="B145" s="615" t="s">
        <v>610</v>
      </c>
      <c r="C145" s="617"/>
      <c r="D145" s="617"/>
      <c r="E145" s="617"/>
      <c r="F145" s="617"/>
      <c r="G145" s="617"/>
      <c r="H145" s="466">
        <v>0</v>
      </c>
      <c r="I145" s="468"/>
      <c r="J145" s="617"/>
      <c r="K145" s="1690">
        <f>SUM(H145)</f>
        <v>0</v>
      </c>
      <c r="L145" s="466">
        <v>0</v>
      </c>
    </row>
    <row r="146" spans="1:14" ht="12.75" customHeight="1" x14ac:dyDescent="0.2">
      <c r="A146" s="1525" t="s">
        <v>640</v>
      </c>
      <c r="B146" s="615" t="s">
        <v>639</v>
      </c>
      <c r="C146" s="617"/>
      <c r="D146" s="617"/>
      <c r="E146" s="617"/>
      <c r="F146" s="617"/>
      <c r="G146" s="617"/>
      <c r="H146" s="466">
        <v>0</v>
      </c>
      <c r="I146" s="468"/>
      <c r="J146" s="617"/>
      <c r="K146" s="1690">
        <f>SUM(H146)</f>
        <v>0</v>
      </c>
      <c r="L146" s="466">
        <v>0</v>
      </c>
    </row>
    <row r="147" spans="1:14" ht="12.75" customHeight="1" thickBot="1" x14ac:dyDescent="0.25">
      <c r="A147" s="1536"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v>0</v>
      </c>
      <c r="I148" s="468"/>
      <c r="J148" s="617"/>
      <c r="K148" s="1690">
        <f>SUM(H148)</f>
        <v>0</v>
      </c>
      <c r="L148" s="492">
        <v>0</v>
      </c>
    </row>
    <row r="149" spans="1:14" ht="12.75" customHeight="1" thickBot="1" x14ac:dyDescent="0.25">
      <c r="A149" s="1528"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86" t="s">
        <v>641</v>
      </c>
      <c r="B151" s="2168"/>
      <c r="C151" s="1688">
        <f>SUM(C129,C130,C139,C149,C150)</f>
        <v>0</v>
      </c>
      <c r="D151" s="1688">
        <f t="shared" ref="D151:K151" si="16">SUM(D129,D130,D139,D149,D150)</f>
        <v>0</v>
      </c>
      <c r="E151" s="1688">
        <f t="shared" si="16"/>
        <v>84672</v>
      </c>
      <c r="F151" s="1688">
        <f t="shared" si="16"/>
        <v>657</v>
      </c>
      <c r="G151" s="1688">
        <f t="shared" si="16"/>
        <v>0</v>
      </c>
      <c r="H151" s="1688">
        <f t="shared" si="16"/>
        <v>0</v>
      </c>
      <c r="I151" s="1688">
        <f t="shared" si="16"/>
        <v>0</v>
      </c>
      <c r="J151" s="1688">
        <f t="shared" si="16"/>
        <v>0</v>
      </c>
      <c r="K151" s="1688">
        <f t="shared" si="16"/>
        <v>85329</v>
      </c>
      <c r="L151" s="1688">
        <f>SUM(L129,L130,L139,L149,L150)</f>
        <v>87500</v>
      </c>
    </row>
    <row r="152" spans="1:14" ht="12.75" customHeight="1" thickTop="1" x14ac:dyDescent="0.2">
      <c r="A152" s="2189" t="s">
        <v>1240</v>
      </c>
      <c r="B152" s="2190"/>
      <c r="C152" s="619"/>
      <c r="D152" s="619"/>
      <c r="E152" s="619"/>
      <c r="F152" s="619"/>
      <c r="G152" s="619"/>
      <c r="H152" s="619"/>
      <c r="I152" s="619"/>
      <c r="J152" s="617"/>
      <c r="K152" s="1702">
        <f>'Revenues 9-14'!D275-'Expenditures 15-22'!K151</f>
        <v>11027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4" t="s">
        <v>642</v>
      </c>
      <c r="B154" s="2176"/>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1954</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1953</v>
      </c>
      <c r="C157" s="617"/>
      <c r="D157" s="617"/>
      <c r="E157" s="617"/>
      <c r="F157" s="617"/>
      <c r="G157" s="617"/>
      <c r="H157" s="642">
        <v>0</v>
      </c>
      <c r="I157" s="617"/>
      <c r="J157" s="617"/>
      <c r="K157" s="1689">
        <f>H157</f>
        <v>0</v>
      </c>
      <c r="L157" s="467">
        <v>0</v>
      </c>
      <c r="M157" s="620"/>
      <c r="N157" s="620"/>
    </row>
    <row r="158" spans="1:14" s="621" customFormat="1" ht="12" x14ac:dyDescent="0.2">
      <c r="A158" s="1845" t="s">
        <v>322</v>
      </c>
      <c r="B158" s="1846" t="s">
        <v>1955</v>
      </c>
      <c r="C158" s="617"/>
      <c r="D158" s="617"/>
      <c r="E158" s="617"/>
      <c r="F158" s="617"/>
      <c r="G158" s="617"/>
      <c r="H158" s="467">
        <v>0</v>
      </c>
      <c r="I158" s="617"/>
      <c r="J158" s="617"/>
      <c r="K158" s="1689">
        <f>H158</f>
        <v>0</v>
      </c>
      <c r="L158" s="467">
        <v>0</v>
      </c>
      <c r="M158" s="620"/>
      <c r="N158" s="620"/>
    </row>
    <row r="159" spans="1:14" s="621" customFormat="1" ht="12" x14ac:dyDescent="0.2">
      <c r="A159" s="1845" t="s">
        <v>1956</v>
      </c>
      <c r="B159" s="1846" t="s">
        <v>579</v>
      </c>
      <c r="C159" s="617"/>
      <c r="D159" s="617"/>
      <c r="E159" s="617"/>
      <c r="F159" s="617"/>
      <c r="G159" s="617"/>
      <c r="H159" s="467">
        <v>0</v>
      </c>
      <c r="I159" s="617"/>
      <c r="J159" s="617"/>
      <c r="K159" s="1689">
        <f>H159</f>
        <v>0</v>
      </c>
      <c r="L159" s="467">
        <v>0</v>
      </c>
      <c r="M159" s="620"/>
      <c r="N159" s="620"/>
    </row>
    <row r="160" spans="1:14" s="621" customFormat="1" ht="15.75" customHeight="1" thickBot="1" x14ac:dyDescent="0.25">
      <c r="A160" s="1847" t="s">
        <v>1957</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89">
        <f>SUM(C163:J163)</f>
        <v>0</v>
      </c>
      <c r="L163" s="466">
        <v>0</v>
      </c>
    </row>
    <row r="164" spans="1:14" x14ac:dyDescent="0.2">
      <c r="A164" s="1525" t="s">
        <v>90</v>
      </c>
      <c r="B164" s="615">
        <v>5120</v>
      </c>
      <c r="C164" s="617"/>
      <c r="D164" s="617"/>
      <c r="E164" s="617"/>
      <c r="F164" s="617"/>
      <c r="G164" s="617"/>
      <c r="H164" s="466">
        <v>0</v>
      </c>
      <c r="I164" s="617"/>
      <c r="J164" s="617"/>
      <c r="K164" s="1689">
        <f>SUM(C164:J164)</f>
        <v>0</v>
      </c>
      <c r="L164" s="466">
        <v>0</v>
      </c>
    </row>
    <row r="165" spans="1:14" ht="12.75" customHeight="1" x14ac:dyDescent="0.2">
      <c r="A165" s="1525" t="s">
        <v>1232</v>
      </c>
      <c r="B165" s="615" t="s">
        <v>638</v>
      </c>
      <c r="C165" s="617"/>
      <c r="D165" s="617"/>
      <c r="E165" s="617"/>
      <c r="F165" s="617"/>
      <c r="G165" s="617"/>
      <c r="H165" s="466">
        <v>0</v>
      </c>
      <c r="I165" s="617"/>
      <c r="J165" s="617"/>
      <c r="K165" s="1689">
        <f>SUM(C165:J165)</f>
        <v>0</v>
      </c>
      <c r="L165" s="466">
        <v>0</v>
      </c>
    </row>
    <row r="166" spans="1:14" x14ac:dyDescent="0.2">
      <c r="A166" s="1525" t="s">
        <v>91</v>
      </c>
      <c r="B166" s="629" t="s">
        <v>610</v>
      </c>
      <c r="C166" s="617"/>
      <c r="D166" s="617"/>
      <c r="E166" s="617"/>
      <c r="F166" s="617"/>
      <c r="G166" s="617"/>
      <c r="H166" s="466">
        <v>0</v>
      </c>
      <c r="I166" s="617"/>
      <c r="J166" s="617"/>
      <c r="K166" s="1689">
        <f>SUM(C166:J166)</f>
        <v>0</v>
      </c>
      <c r="L166" s="466">
        <v>0</v>
      </c>
    </row>
    <row r="167" spans="1:14" ht="12.75" customHeight="1" x14ac:dyDescent="0.2">
      <c r="A167" s="1525" t="s">
        <v>640</v>
      </c>
      <c r="B167" s="615" t="s">
        <v>639</v>
      </c>
      <c r="C167" s="617"/>
      <c r="D167" s="617"/>
      <c r="E167" s="617"/>
      <c r="F167" s="617"/>
      <c r="G167" s="617"/>
      <c r="H167" s="466">
        <v>0</v>
      </c>
      <c r="I167" s="617"/>
      <c r="J167" s="617"/>
      <c r="K167" s="1689">
        <f>SUM(C167:J167)</f>
        <v>0</v>
      </c>
      <c r="L167" s="466">
        <v>0</v>
      </c>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4655</v>
      </c>
      <c r="I169" s="617"/>
      <c r="J169" s="617"/>
      <c r="K169" s="1689">
        <f>SUM(C169:H169)</f>
        <v>4655</v>
      </c>
      <c r="L169" s="657">
        <v>4655</v>
      </c>
    </row>
    <row r="170" spans="1:14" ht="33.75" customHeight="1" x14ac:dyDescent="0.2">
      <c r="A170" s="670" t="s">
        <v>1769</v>
      </c>
      <c r="B170" s="672" t="s">
        <v>31</v>
      </c>
      <c r="C170" s="617"/>
      <c r="D170" s="617"/>
      <c r="E170" s="617"/>
      <c r="F170" s="617"/>
      <c r="G170" s="617"/>
      <c r="H170" s="569">
        <v>30000</v>
      </c>
      <c r="I170" s="617"/>
      <c r="J170" s="617"/>
      <c r="K170" s="1689">
        <f>SUM(C170:J170)</f>
        <v>30000</v>
      </c>
      <c r="L170" s="569">
        <v>30000</v>
      </c>
    </row>
    <row r="171" spans="1:14" ht="15.75" customHeight="1" x14ac:dyDescent="0.2">
      <c r="A171" s="622" t="s">
        <v>790</v>
      </c>
      <c r="B171" s="673" t="s">
        <v>86</v>
      </c>
      <c r="C171" s="617"/>
      <c r="D171" s="617"/>
      <c r="E171" s="466">
        <v>0</v>
      </c>
      <c r="F171" s="617"/>
      <c r="G171" s="617"/>
      <c r="H171" s="569">
        <v>0</v>
      </c>
      <c r="I171" s="477"/>
      <c r="J171" s="617"/>
      <c r="K171" s="1689">
        <f>SUM(C171:J171)</f>
        <v>0</v>
      </c>
      <c r="L171" s="569">
        <v>0</v>
      </c>
    </row>
    <row r="172" spans="1:14" ht="12.75" customHeight="1" thickBot="1" x14ac:dyDescent="0.25">
      <c r="A172" s="1686" t="s">
        <v>659</v>
      </c>
      <c r="B172" s="1687" t="s">
        <v>513</v>
      </c>
      <c r="C172" s="617"/>
      <c r="D172" s="617"/>
      <c r="E172" s="1695">
        <f>SUM(E168,E169,E170,E171)</f>
        <v>0</v>
      </c>
      <c r="F172" s="617"/>
      <c r="G172" s="617"/>
      <c r="H172" s="1695">
        <f>SUM(H168,H169,H170,H171)</f>
        <v>34655</v>
      </c>
      <c r="I172" s="639"/>
      <c r="J172" s="617"/>
      <c r="K172" s="1695">
        <f>SUM(K168,K169,K170,K171)</f>
        <v>34655</v>
      </c>
      <c r="L172" s="1695">
        <f>SUM(L168,L169,L170,L171)</f>
        <v>34655</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34655</v>
      </c>
      <c r="I174" s="639"/>
      <c r="J174" s="617"/>
      <c r="K174" s="1695">
        <f>SUM(K160,K172,K173)</f>
        <v>34655</v>
      </c>
      <c r="L174" s="1695">
        <f>SUM(L160,L172,L173)</f>
        <v>34655</v>
      </c>
    </row>
    <row r="175" spans="1:14" ht="13.5" thickTop="1" x14ac:dyDescent="0.2">
      <c r="A175" s="2196" t="s">
        <v>1053</v>
      </c>
      <c r="B175" s="2197"/>
      <c r="C175" s="617"/>
      <c r="D175" s="617"/>
      <c r="E175" s="617"/>
      <c r="F175" s="617"/>
      <c r="G175" s="617"/>
      <c r="H175" s="619"/>
      <c r="I175" s="617"/>
      <c r="J175" s="617"/>
      <c r="K175" s="1702">
        <f>'Revenues 9-14'!E275-'Expenditures 15-22'!K174</f>
        <v>-1406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89">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0</v>
      </c>
      <c r="D182" s="466">
        <v>0</v>
      </c>
      <c r="E182" s="466">
        <v>5680</v>
      </c>
      <c r="F182" s="466">
        <v>0</v>
      </c>
      <c r="G182" s="466">
        <v>0</v>
      </c>
      <c r="H182" s="466">
        <v>0</v>
      </c>
      <c r="I182" s="467">
        <v>0</v>
      </c>
      <c r="J182" s="467">
        <v>0</v>
      </c>
      <c r="K182" s="1689">
        <f>SUM(C182:J182)</f>
        <v>5680</v>
      </c>
      <c r="L182" s="466">
        <v>5700</v>
      </c>
    </row>
    <row r="183" spans="1:14" ht="12.75" customHeight="1" thickBot="1" x14ac:dyDescent="0.25">
      <c r="A183" s="1530" t="s">
        <v>1037</v>
      </c>
      <c r="B183" s="678">
        <v>2900</v>
      </c>
      <c r="C183" s="573">
        <v>0</v>
      </c>
      <c r="D183" s="573">
        <v>0</v>
      </c>
      <c r="E183" s="573">
        <v>0</v>
      </c>
      <c r="F183" s="573">
        <v>0</v>
      </c>
      <c r="G183" s="573">
        <v>0</v>
      </c>
      <c r="H183" s="573">
        <v>0</v>
      </c>
      <c r="I183" s="532">
        <v>0</v>
      </c>
      <c r="J183" s="532">
        <v>0</v>
      </c>
      <c r="K183" s="1695">
        <f>SUM(C183:J183)</f>
        <v>0</v>
      </c>
      <c r="L183" s="573">
        <v>0</v>
      </c>
    </row>
    <row r="184" spans="1:14" ht="12.75" customHeight="1" thickTop="1" thickBot="1" x14ac:dyDescent="0.25">
      <c r="A184" s="1709" t="s">
        <v>865</v>
      </c>
      <c r="B184" s="1687" t="s">
        <v>590</v>
      </c>
      <c r="C184" s="1695">
        <f>SUM(C180,C182,C183)</f>
        <v>0</v>
      </c>
      <c r="D184" s="1695">
        <f t="shared" ref="D184:J184" si="17">SUM(D180,D182,D183)</f>
        <v>0</v>
      </c>
      <c r="E184" s="1695">
        <f t="shared" si="17"/>
        <v>5680</v>
      </c>
      <c r="F184" s="1695">
        <f t="shared" si="17"/>
        <v>0</v>
      </c>
      <c r="G184" s="1695">
        <f t="shared" si="17"/>
        <v>0</v>
      </c>
      <c r="H184" s="1695">
        <f t="shared" si="17"/>
        <v>0</v>
      </c>
      <c r="I184" s="1695">
        <f t="shared" si="17"/>
        <v>0</v>
      </c>
      <c r="J184" s="1695">
        <f t="shared" si="17"/>
        <v>0</v>
      </c>
      <c r="K184" s="1695">
        <f>SUM(K180,K182,K183)</f>
        <v>5680</v>
      </c>
      <c r="L184" s="1695">
        <f>SUM(L180, L182:L183)</f>
        <v>5700</v>
      </c>
    </row>
    <row r="185" spans="1:14" ht="15.75" customHeight="1" thickTop="1" thickBot="1" x14ac:dyDescent="0.25">
      <c r="A185" s="1643" t="s">
        <v>996</v>
      </c>
      <c r="B185" s="1632">
        <v>3000</v>
      </c>
      <c r="C185" s="576">
        <v>0</v>
      </c>
      <c r="D185" s="576">
        <v>0</v>
      </c>
      <c r="E185" s="576">
        <v>0</v>
      </c>
      <c r="F185" s="576">
        <v>0</v>
      </c>
      <c r="G185" s="576">
        <v>0</v>
      </c>
      <c r="H185" s="576">
        <v>0</v>
      </c>
      <c r="I185" s="531">
        <v>0</v>
      </c>
      <c r="J185" s="531">
        <v>0</v>
      </c>
      <c r="K185" s="1688">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0</v>
      </c>
      <c r="F188" s="617"/>
      <c r="G188" s="617"/>
      <c r="H188" s="466">
        <v>0</v>
      </c>
      <c r="I188" s="477"/>
      <c r="J188" s="617"/>
      <c r="K188" s="1689">
        <f t="shared" ref="K188:K193" si="18">SUM(E188,H188)</f>
        <v>0</v>
      </c>
      <c r="L188" s="466">
        <v>0</v>
      </c>
    </row>
    <row r="189" spans="1:14" x14ac:dyDescent="0.2">
      <c r="A189" s="1525" t="s">
        <v>322</v>
      </c>
      <c r="B189" s="615">
        <v>4120</v>
      </c>
      <c r="C189" s="617"/>
      <c r="D189" s="617"/>
      <c r="E189" s="466">
        <v>0</v>
      </c>
      <c r="F189" s="617"/>
      <c r="G189" s="617"/>
      <c r="H189" s="466">
        <v>0</v>
      </c>
      <c r="I189" s="477"/>
      <c r="J189" s="617"/>
      <c r="K189" s="1689">
        <f t="shared" si="18"/>
        <v>0</v>
      </c>
      <c r="L189" s="466">
        <v>0</v>
      </c>
    </row>
    <row r="190" spans="1:14" x14ac:dyDescent="0.2">
      <c r="A190" s="1525" t="s">
        <v>323</v>
      </c>
      <c r="B190" s="629">
        <v>4130</v>
      </c>
      <c r="C190" s="617"/>
      <c r="D190" s="617"/>
      <c r="E190" s="466">
        <v>0</v>
      </c>
      <c r="F190" s="617"/>
      <c r="G190" s="617"/>
      <c r="H190" s="466">
        <v>0</v>
      </c>
      <c r="I190" s="477"/>
      <c r="J190" s="617"/>
      <c r="K190" s="1689">
        <f t="shared" si="18"/>
        <v>0</v>
      </c>
      <c r="L190" s="466">
        <v>0</v>
      </c>
    </row>
    <row r="191" spans="1:14" x14ac:dyDescent="0.2">
      <c r="A191" s="1525" t="s">
        <v>721</v>
      </c>
      <c r="B191" s="615">
        <v>4140</v>
      </c>
      <c r="C191" s="617"/>
      <c r="D191" s="617"/>
      <c r="E191" s="466">
        <v>0</v>
      </c>
      <c r="F191" s="617"/>
      <c r="G191" s="617"/>
      <c r="H191" s="466">
        <v>0</v>
      </c>
      <c r="I191" s="477"/>
      <c r="J191" s="617"/>
      <c r="K191" s="1689">
        <f t="shared" si="18"/>
        <v>0</v>
      </c>
      <c r="L191" s="466">
        <v>0</v>
      </c>
    </row>
    <row r="192" spans="1:14" x14ac:dyDescent="0.2">
      <c r="A192" s="1525" t="s">
        <v>88</v>
      </c>
      <c r="B192" s="615">
        <v>4170</v>
      </c>
      <c r="C192" s="617"/>
      <c r="D192" s="617"/>
      <c r="E192" s="466">
        <v>0</v>
      </c>
      <c r="F192" s="617"/>
      <c r="G192" s="617"/>
      <c r="H192" s="466">
        <v>0</v>
      </c>
      <c r="I192" s="477"/>
      <c r="J192" s="617"/>
      <c r="K192" s="1689">
        <f t="shared" si="18"/>
        <v>0</v>
      </c>
      <c r="L192" s="466">
        <v>0</v>
      </c>
    </row>
    <row r="193" spans="1:14" x14ac:dyDescent="0.2">
      <c r="A193" s="1529" t="s">
        <v>722</v>
      </c>
      <c r="B193" s="629">
        <v>4190</v>
      </c>
      <c r="C193" s="617"/>
      <c r="D193" s="617"/>
      <c r="E193" s="466">
        <v>0</v>
      </c>
      <c r="F193" s="617"/>
      <c r="G193" s="617"/>
      <c r="H193" s="466">
        <v>0</v>
      </c>
      <c r="I193" s="477"/>
      <c r="J193" s="617"/>
      <c r="K193" s="1689">
        <f t="shared" si="18"/>
        <v>0</v>
      </c>
      <c r="L193" s="466">
        <v>0</v>
      </c>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v>0</v>
      </c>
      <c r="F195" s="617"/>
      <c r="G195" s="617"/>
      <c r="H195" s="657">
        <v>0</v>
      </c>
      <c r="I195" s="477"/>
      <c r="J195" s="617"/>
      <c r="K195" s="1703">
        <f>SUM(E195,H195)</f>
        <v>0</v>
      </c>
      <c r="L195" s="657">
        <v>0</v>
      </c>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89">
        <f>SUM(H199)</f>
        <v>0</v>
      </c>
      <c r="L199" s="466">
        <v>0</v>
      </c>
    </row>
    <row r="200" spans="1:14" x14ac:dyDescent="0.2">
      <c r="A200" s="1525" t="s">
        <v>90</v>
      </c>
      <c r="B200" s="615">
        <v>5120</v>
      </c>
      <c r="C200" s="617"/>
      <c r="D200" s="617"/>
      <c r="E200" s="617"/>
      <c r="F200" s="617"/>
      <c r="G200" s="617"/>
      <c r="H200" s="466">
        <v>0</v>
      </c>
      <c r="I200" s="617"/>
      <c r="J200" s="617"/>
      <c r="K200" s="1689">
        <f>SUM(H200)</f>
        <v>0</v>
      </c>
      <c r="L200" s="466">
        <v>0</v>
      </c>
    </row>
    <row r="201" spans="1:14" ht="12.75" customHeight="1" x14ac:dyDescent="0.2">
      <c r="A201" s="1525" t="s">
        <v>1232</v>
      </c>
      <c r="B201" s="629" t="s">
        <v>638</v>
      </c>
      <c r="C201" s="617"/>
      <c r="D201" s="617"/>
      <c r="E201" s="617"/>
      <c r="F201" s="617"/>
      <c r="G201" s="617"/>
      <c r="H201" s="466">
        <v>0</v>
      </c>
      <c r="I201" s="617"/>
      <c r="J201" s="617"/>
      <c r="K201" s="1689">
        <f>SUM(H201)</f>
        <v>0</v>
      </c>
      <c r="L201" s="466">
        <v>0</v>
      </c>
    </row>
    <row r="202" spans="1:14" x14ac:dyDescent="0.2">
      <c r="A202" s="1525" t="s">
        <v>91</v>
      </c>
      <c r="B202" s="615" t="s">
        <v>610</v>
      </c>
      <c r="C202" s="617"/>
      <c r="D202" s="617"/>
      <c r="E202" s="617"/>
      <c r="F202" s="617"/>
      <c r="G202" s="617"/>
      <c r="H202" s="466">
        <v>0</v>
      </c>
      <c r="I202" s="617"/>
      <c r="J202" s="617"/>
      <c r="K202" s="1689">
        <f>SUM(H202)</f>
        <v>0</v>
      </c>
      <c r="L202" s="466">
        <v>0</v>
      </c>
    </row>
    <row r="203" spans="1:14" x14ac:dyDescent="0.2">
      <c r="A203" s="1537" t="s">
        <v>640</v>
      </c>
      <c r="B203" s="615" t="s">
        <v>639</v>
      </c>
      <c r="C203" s="617"/>
      <c r="D203" s="617"/>
      <c r="E203" s="617"/>
      <c r="F203" s="617"/>
      <c r="G203" s="617"/>
      <c r="H203" s="471">
        <v>0</v>
      </c>
      <c r="I203" s="617"/>
      <c r="J203" s="617"/>
      <c r="K203" s="1689">
        <f>SUM(H203)</f>
        <v>0</v>
      </c>
      <c r="L203" s="471">
        <v>0</v>
      </c>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v>0</v>
      </c>
      <c r="I205" s="617"/>
      <c r="J205" s="617"/>
      <c r="K205" s="1703">
        <f>SUM(H205)</f>
        <v>0</v>
      </c>
      <c r="L205" s="535">
        <v>0</v>
      </c>
    </row>
    <row r="206" spans="1:14" ht="30" customHeight="1" x14ac:dyDescent="0.2">
      <c r="A206" s="682" t="s">
        <v>1770</v>
      </c>
      <c r="B206" s="673" t="s">
        <v>31</v>
      </c>
      <c r="C206" s="617"/>
      <c r="D206" s="617"/>
      <c r="E206" s="617"/>
      <c r="F206" s="617"/>
      <c r="G206" s="617"/>
      <c r="H206" s="466">
        <v>0</v>
      </c>
      <c r="I206" s="617"/>
      <c r="J206" s="617"/>
      <c r="K206" s="1689">
        <f>SUM(H206)</f>
        <v>0</v>
      </c>
      <c r="L206" s="466">
        <v>0</v>
      </c>
    </row>
    <row r="207" spans="1:14" ht="15.75" customHeight="1" x14ac:dyDescent="0.2">
      <c r="A207" s="622" t="s">
        <v>790</v>
      </c>
      <c r="B207" s="673" t="s">
        <v>86</v>
      </c>
      <c r="C207" s="617"/>
      <c r="D207" s="617"/>
      <c r="E207" s="617"/>
      <c r="F207" s="617"/>
      <c r="G207" s="617"/>
      <c r="H207" s="467">
        <v>0</v>
      </c>
      <c r="I207" s="617"/>
      <c r="J207" s="617"/>
      <c r="K207" s="1689">
        <f>H207</f>
        <v>0</v>
      </c>
      <c r="L207" s="466">
        <v>0</v>
      </c>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0" t="s">
        <v>295</v>
      </c>
      <c r="B210" s="1711"/>
      <c r="C210" s="1688">
        <f>SUM(C184,C185)</f>
        <v>0</v>
      </c>
      <c r="D210" s="1688">
        <f>SUM(D184,D185)</f>
        <v>0</v>
      </c>
      <c r="E210" s="1688">
        <f>SUM(E184,E185,E196)</f>
        <v>5680</v>
      </c>
      <c r="F210" s="1688">
        <f>SUM(F184,F185)</f>
        <v>0</v>
      </c>
      <c r="G210" s="1688">
        <f>SUM(G184,G185)</f>
        <v>0</v>
      </c>
      <c r="H210" s="1688">
        <f>SUM(H184,H185,H196,H208,H209)</f>
        <v>0</v>
      </c>
      <c r="I210" s="1688">
        <f>SUM(I184,I185)</f>
        <v>0</v>
      </c>
      <c r="J210" s="1688">
        <f>SUM(J184,J185)</f>
        <v>0</v>
      </c>
      <c r="K210" s="1689">
        <f>SUM(K184,K185,K196,K208,K209)</f>
        <v>5680</v>
      </c>
      <c r="L210" s="1688">
        <f>SUM(L184,L185,L196,L208,L209)</f>
        <v>5700</v>
      </c>
    </row>
    <row r="211" spans="1:14" ht="13.5" thickTop="1" x14ac:dyDescent="0.2">
      <c r="A211" s="2196" t="s">
        <v>1053</v>
      </c>
      <c r="B211" s="2197"/>
      <c r="C211" s="619"/>
      <c r="D211" s="619"/>
      <c r="E211" s="619"/>
      <c r="F211" s="619"/>
      <c r="G211" s="619"/>
      <c r="H211" s="619"/>
      <c r="I211" s="617"/>
      <c r="J211" s="617"/>
      <c r="K211" s="1702">
        <f>'Revenues 9-14'!F275-'Expenditures 15-22'!K210</f>
        <v>1630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1" t="s">
        <v>1022</v>
      </c>
      <c r="B213" s="2192"/>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16974</v>
      </c>
      <c r="E215" s="617"/>
      <c r="F215" s="617"/>
      <c r="G215" s="617"/>
      <c r="H215" s="617"/>
      <c r="I215" s="617"/>
      <c r="J215" s="617"/>
      <c r="K215" s="1689">
        <f>D215</f>
        <v>16974</v>
      </c>
      <c r="L215" s="466">
        <v>20730</v>
      </c>
    </row>
    <row r="216" spans="1:14" x14ac:dyDescent="0.2">
      <c r="A216" s="1525" t="s">
        <v>165</v>
      </c>
      <c r="B216" s="615" t="s">
        <v>1024</v>
      </c>
      <c r="C216" s="617"/>
      <c r="D216" s="467">
        <v>0</v>
      </c>
      <c r="E216" s="617"/>
      <c r="F216" s="617"/>
      <c r="G216" s="617"/>
      <c r="H216" s="617"/>
      <c r="I216" s="617"/>
      <c r="J216" s="617"/>
      <c r="K216" s="1689">
        <f t="shared" ref="K216:K228" si="19">D216</f>
        <v>0</v>
      </c>
      <c r="L216" s="466">
        <v>0</v>
      </c>
    </row>
    <row r="217" spans="1:14" x14ac:dyDescent="0.2">
      <c r="A217" s="1525" t="s">
        <v>166</v>
      </c>
      <c r="B217" s="615">
        <v>1200</v>
      </c>
      <c r="C217" s="617"/>
      <c r="D217" s="466">
        <v>24770</v>
      </c>
      <c r="E217" s="617"/>
      <c r="F217" s="617"/>
      <c r="G217" s="617"/>
      <c r="H217" s="617"/>
      <c r="I217" s="617"/>
      <c r="J217" s="617"/>
      <c r="K217" s="1689">
        <f t="shared" si="19"/>
        <v>24770</v>
      </c>
      <c r="L217" s="466">
        <v>27777</v>
      </c>
    </row>
    <row r="218" spans="1:14" x14ac:dyDescent="0.2">
      <c r="A218" s="1525" t="s">
        <v>296</v>
      </c>
      <c r="B218" s="615" t="s">
        <v>1025</v>
      </c>
      <c r="C218" s="617"/>
      <c r="D218" s="467">
        <v>0</v>
      </c>
      <c r="E218" s="617"/>
      <c r="F218" s="617"/>
      <c r="G218" s="617"/>
      <c r="H218" s="617"/>
      <c r="I218" s="617"/>
      <c r="J218" s="617"/>
      <c r="K218" s="1689">
        <f t="shared" si="19"/>
        <v>0</v>
      </c>
      <c r="L218" s="466">
        <v>0</v>
      </c>
    </row>
    <row r="219" spans="1:14" x14ac:dyDescent="0.2">
      <c r="A219" s="1525" t="s">
        <v>297</v>
      </c>
      <c r="B219" s="615">
        <v>1250</v>
      </c>
      <c r="C219" s="617"/>
      <c r="D219" s="466">
        <v>3089</v>
      </c>
      <c r="E219" s="617"/>
      <c r="F219" s="617"/>
      <c r="G219" s="617"/>
      <c r="H219" s="617"/>
      <c r="I219" s="617"/>
      <c r="J219" s="617"/>
      <c r="K219" s="1689">
        <f t="shared" si="19"/>
        <v>3089</v>
      </c>
      <c r="L219" s="466">
        <v>3350</v>
      </c>
    </row>
    <row r="220" spans="1:14" x14ac:dyDescent="0.2">
      <c r="A220" s="1525" t="s">
        <v>298</v>
      </c>
      <c r="B220" s="615" t="s">
        <v>163</v>
      </c>
      <c r="C220" s="617"/>
      <c r="D220" s="467">
        <v>0</v>
      </c>
      <c r="E220" s="617"/>
      <c r="F220" s="617"/>
      <c r="G220" s="617"/>
      <c r="H220" s="617"/>
      <c r="I220" s="617"/>
      <c r="J220" s="617"/>
      <c r="K220" s="1689">
        <f t="shared" si="19"/>
        <v>0</v>
      </c>
      <c r="L220" s="466">
        <v>0</v>
      </c>
    </row>
    <row r="221" spans="1:14" x14ac:dyDescent="0.2">
      <c r="A221" s="1525" t="s">
        <v>1019</v>
      </c>
      <c r="B221" s="615">
        <v>1300</v>
      </c>
      <c r="C221" s="617"/>
      <c r="D221" s="466">
        <v>0</v>
      </c>
      <c r="E221" s="617"/>
      <c r="F221" s="617"/>
      <c r="G221" s="617"/>
      <c r="H221" s="617"/>
      <c r="I221" s="617"/>
      <c r="J221" s="617"/>
      <c r="K221" s="1689">
        <f t="shared" si="19"/>
        <v>0</v>
      </c>
      <c r="L221" s="466">
        <v>0</v>
      </c>
    </row>
    <row r="222" spans="1:14" x14ac:dyDescent="0.2">
      <c r="A222" s="1525" t="s">
        <v>747</v>
      </c>
      <c r="B222" s="615">
        <v>1400</v>
      </c>
      <c r="C222" s="617"/>
      <c r="D222" s="466">
        <v>0</v>
      </c>
      <c r="E222" s="617"/>
      <c r="F222" s="617"/>
      <c r="G222" s="617"/>
      <c r="H222" s="617"/>
      <c r="I222" s="617"/>
      <c r="J222" s="617"/>
      <c r="K222" s="1689">
        <f t="shared" si="19"/>
        <v>0</v>
      </c>
      <c r="L222" s="466">
        <v>0</v>
      </c>
    </row>
    <row r="223" spans="1:14" x14ac:dyDescent="0.2">
      <c r="A223" s="1525" t="s">
        <v>1020</v>
      </c>
      <c r="B223" s="615">
        <v>1500</v>
      </c>
      <c r="C223" s="617"/>
      <c r="D223" s="466">
        <v>743</v>
      </c>
      <c r="E223" s="617"/>
      <c r="F223" s="617"/>
      <c r="G223" s="617"/>
      <c r="H223" s="617"/>
      <c r="I223" s="617"/>
      <c r="J223" s="617"/>
      <c r="K223" s="1689">
        <f t="shared" si="19"/>
        <v>743</v>
      </c>
      <c r="L223" s="466">
        <v>1125</v>
      </c>
    </row>
    <row r="224" spans="1:14" x14ac:dyDescent="0.2">
      <c r="A224" s="1525" t="s">
        <v>1021</v>
      </c>
      <c r="B224" s="615">
        <v>1600</v>
      </c>
      <c r="C224" s="617"/>
      <c r="D224" s="466">
        <v>0</v>
      </c>
      <c r="E224" s="617"/>
      <c r="F224" s="617"/>
      <c r="G224" s="617"/>
      <c r="H224" s="617"/>
      <c r="I224" s="617"/>
      <c r="J224" s="617"/>
      <c r="K224" s="1689">
        <f t="shared" si="19"/>
        <v>0</v>
      </c>
      <c r="L224" s="466">
        <v>0</v>
      </c>
    </row>
    <row r="225" spans="1:12" x14ac:dyDescent="0.2">
      <c r="A225" s="1525" t="s">
        <v>1044</v>
      </c>
      <c r="B225" s="615">
        <v>1650</v>
      </c>
      <c r="C225" s="617"/>
      <c r="D225" s="466">
        <v>0</v>
      </c>
      <c r="E225" s="617"/>
      <c r="F225" s="617"/>
      <c r="G225" s="617"/>
      <c r="H225" s="617"/>
      <c r="I225" s="617"/>
      <c r="J225" s="617"/>
      <c r="K225" s="1689">
        <f t="shared" si="19"/>
        <v>0</v>
      </c>
      <c r="L225" s="466">
        <v>0</v>
      </c>
    </row>
    <row r="226" spans="1:12" x14ac:dyDescent="0.2">
      <c r="A226" s="1525" t="s">
        <v>748</v>
      </c>
      <c r="B226" s="615" t="s">
        <v>164</v>
      </c>
      <c r="C226" s="617"/>
      <c r="D226" s="467">
        <v>0</v>
      </c>
      <c r="E226" s="617"/>
      <c r="F226" s="617"/>
      <c r="G226" s="617"/>
      <c r="H226" s="617"/>
      <c r="I226" s="617"/>
      <c r="J226" s="617"/>
      <c r="K226" s="1689">
        <f t="shared" si="19"/>
        <v>0</v>
      </c>
      <c r="L226" s="466">
        <v>0</v>
      </c>
    </row>
    <row r="227" spans="1:12" x14ac:dyDescent="0.2">
      <c r="A227" s="1525" t="s">
        <v>1148</v>
      </c>
      <c r="B227" s="615">
        <v>1800</v>
      </c>
      <c r="C227" s="617"/>
      <c r="D227" s="466">
        <v>0</v>
      </c>
      <c r="E227" s="617"/>
      <c r="F227" s="617"/>
      <c r="G227" s="617"/>
      <c r="H227" s="617"/>
      <c r="I227" s="617"/>
      <c r="J227" s="617"/>
      <c r="K227" s="1689">
        <f t="shared" si="19"/>
        <v>0</v>
      </c>
      <c r="L227" s="466">
        <v>0</v>
      </c>
    </row>
    <row r="228" spans="1:12" x14ac:dyDescent="0.2">
      <c r="A228" s="1525" t="s">
        <v>1149</v>
      </c>
      <c r="B228" s="615">
        <v>1900</v>
      </c>
      <c r="C228" s="617"/>
      <c r="D228" s="466">
        <v>0</v>
      </c>
      <c r="E228" s="617"/>
      <c r="F228" s="617"/>
      <c r="G228" s="617"/>
      <c r="H228" s="617"/>
      <c r="I228" s="617"/>
      <c r="J228" s="617"/>
      <c r="K228" s="1689">
        <f t="shared" si="19"/>
        <v>0</v>
      </c>
      <c r="L228" s="466">
        <v>0</v>
      </c>
    </row>
    <row r="229" spans="1:12" ht="12.75" customHeight="1" thickBot="1" x14ac:dyDescent="0.25">
      <c r="A229" s="1686" t="s">
        <v>739</v>
      </c>
      <c r="B229" s="1693" t="s">
        <v>591</v>
      </c>
      <c r="C229" s="617"/>
      <c r="D229" s="1688">
        <f>SUM(D215:D228)</f>
        <v>45576</v>
      </c>
      <c r="E229" s="617"/>
      <c r="F229" s="617"/>
      <c r="G229" s="617"/>
      <c r="H229" s="617"/>
      <c r="I229" s="617"/>
      <c r="J229" s="617"/>
      <c r="K229" s="1688">
        <f>SUM(K215:K228)</f>
        <v>45576</v>
      </c>
      <c r="L229" s="1688">
        <f>SUM(L215:L228)</f>
        <v>52982</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0</v>
      </c>
      <c r="E232" s="617"/>
      <c r="F232" s="617"/>
      <c r="G232" s="617"/>
      <c r="H232" s="617"/>
      <c r="I232" s="617"/>
      <c r="J232" s="617"/>
      <c r="K232" s="1689">
        <f t="shared" ref="K232:K237" si="20">D232</f>
        <v>0</v>
      </c>
      <c r="L232" s="466">
        <v>0</v>
      </c>
    </row>
    <row r="233" spans="1:12" x14ac:dyDescent="0.2">
      <c r="A233" s="1525" t="s">
        <v>1151</v>
      </c>
      <c r="B233" s="615">
        <v>2120</v>
      </c>
      <c r="C233" s="617"/>
      <c r="D233" s="466">
        <v>0</v>
      </c>
      <c r="E233" s="617"/>
      <c r="F233" s="617"/>
      <c r="G233" s="617"/>
      <c r="H233" s="617"/>
      <c r="I233" s="617"/>
      <c r="J233" s="617"/>
      <c r="K233" s="1689">
        <f t="shared" si="20"/>
        <v>0</v>
      </c>
      <c r="L233" s="466">
        <v>0</v>
      </c>
    </row>
    <row r="234" spans="1:12" x14ac:dyDescent="0.2">
      <c r="A234" s="1525" t="s">
        <v>207</v>
      </c>
      <c r="B234" s="615">
        <v>2130</v>
      </c>
      <c r="C234" s="617"/>
      <c r="D234" s="466">
        <v>0</v>
      </c>
      <c r="E234" s="617"/>
      <c r="F234" s="617"/>
      <c r="G234" s="617"/>
      <c r="H234" s="617"/>
      <c r="I234" s="617"/>
      <c r="J234" s="617"/>
      <c r="K234" s="1689">
        <f t="shared" si="20"/>
        <v>0</v>
      </c>
      <c r="L234" s="466">
        <v>0</v>
      </c>
    </row>
    <row r="235" spans="1:12" x14ac:dyDescent="0.2">
      <c r="A235" s="1525" t="s">
        <v>208</v>
      </c>
      <c r="B235" s="615">
        <v>2140</v>
      </c>
      <c r="C235" s="617"/>
      <c r="D235" s="466">
        <v>0</v>
      </c>
      <c r="E235" s="617"/>
      <c r="F235" s="617"/>
      <c r="G235" s="617"/>
      <c r="H235" s="617"/>
      <c r="I235" s="617"/>
      <c r="J235" s="617"/>
      <c r="K235" s="1689">
        <f t="shared" si="20"/>
        <v>0</v>
      </c>
      <c r="L235" s="466">
        <v>0</v>
      </c>
    </row>
    <row r="236" spans="1:12" x14ac:dyDescent="0.2">
      <c r="A236" s="1525" t="s">
        <v>209</v>
      </c>
      <c r="B236" s="615">
        <v>2150</v>
      </c>
      <c r="C236" s="617"/>
      <c r="D236" s="466">
        <v>0</v>
      </c>
      <c r="E236" s="617"/>
      <c r="F236" s="617"/>
      <c r="G236" s="617"/>
      <c r="H236" s="617"/>
      <c r="I236" s="617"/>
      <c r="J236" s="617"/>
      <c r="K236" s="1689">
        <f t="shared" si="20"/>
        <v>0</v>
      </c>
      <c r="L236" s="466">
        <v>0</v>
      </c>
    </row>
    <row r="237" spans="1:12" x14ac:dyDescent="0.2">
      <c r="A237" s="1525" t="s">
        <v>167</v>
      </c>
      <c r="B237" s="615">
        <v>2190</v>
      </c>
      <c r="C237" s="617"/>
      <c r="D237" s="466">
        <v>526</v>
      </c>
      <c r="E237" s="617"/>
      <c r="F237" s="617"/>
      <c r="G237" s="617"/>
      <c r="H237" s="617"/>
      <c r="I237" s="617"/>
      <c r="J237" s="617"/>
      <c r="K237" s="1689">
        <f t="shared" si="20"/>
        <v>526</v>
      </c>
      <c r="L237" s="466">
        <v>550</v>
      </c>
    </row>
    <row r="238" spans="1:12" ht="12.75" customHeight="1" thickBot="1" x14ac:dyDescent="0.25">
      <c r="A238" s="1686" t="s">
        <v>581</v>
      </c>
      <c r="B238" s="1693" t="s">
        <v>740</v>
      </c>
      <c r="C238" s="617"/>
      <c r="D238" s="1688">
        <f>SUM(D232:D237)</f>
        <v>526</v>
      </c>
      <c r="E238" s="617"/>
      <c r="F238" s="617"/>
      <c r="G238" s="617"/>
      <c r="H238" s="617"/>
      <c r="I238" s="617"/>
      <c r="J238" s="617"/>
      <c r="K238" s="1688">
        <f>SUM(K232:K237)</f>
        <v>526</v>
      </c>
      <c r="L238" s="1688">
        <f>SUM(L232:L237)</f>
        <v>550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109</v>
      </c>
      <c r="E240" s="617"/>
      <c r="F240" s="617"/>
      <c r="G240" s="617"/>
      <c r="H240" s="617"/>
      <c r="I240" s="617"/>
      <c r="J240" s="617"/>
      <c r="K240" s="1690">
        <f>D240</f>
        <v>109</v>
      </c>
      <c r="L240" s="481">
        <v>150</v>
      </c>
    </row>
    <row r="241" spans="1:12" x14ac:dyDescent="0.2">
      <c r="A241" s="1525" t="s">
        <v>869</v>
      </c>
      <c r="B241" s="615">
        <v>2220</v>
      </c>
      <c r="C241" s="617"/>
      <c r="D241" s="466">
        <v>6958</v>
      </c>
      <c r="E241" s="617"/>
      <c r="F241" s="617"/>
      <c r="G241" s="617"/>
      <c r="H241" s="617"/>
      <c r="I241" s="617"/>
      <c r="J241" s="617"/>
      <c r="K241" s="1690">
        <f>D241</f>
        <v>6958</v>
      </c>
      <c r="L241" s="466">
        <v>7040</v>
      </c>
    </row>
    <row r="242" spans="1:12" x14ac:dyDescent="0.2">
      <c r="A242" s="1525" t="s">
        <v>870</v>
      </c>
      <c r="B242" s="615">
        <v>2230</v>
      </c>
      <c r="C242" s="617"/>
      <c r="D242" s="466">
        <v>0</v>
      </c>
      <c r="E242" s="617"/>
      <c r="F242" s="617"/>
      <c r="G242" s="617"/>
      <c r="H242" s="617"/>
      <c r="I242" s="617"/>
      <c r="J242" s="617"/>
      <c r="K242" s="1690">
        <f>D242</f>
        <v>0</v>
      </c>
      <c r="L242" s="466">
        <v>0</v>
      </c>
    </row>
    <row r="243" spans="1:12" ht="12.75" customHeight="1" thickBot="1" x14ac:dyDescent="0.25">
      <c r="A243" s="1712" t="s">
        <v>582</v>
      </c>
      <c r="B243" s="1713">
        <v>2200</v>
      </c>
      <c r="C243" s="617"/>
      <c r="D243" s="1688">
        <f>SUM(D240:D242)</f>
        <v>7067</v>
      </c>
      <c r="E243" s="617"/>
      <c r="F243" s="617"/>
      <c r="G243" s="617"/>
      <c r="H243" s="617"/>
      <c r="I243" s="617"/>
      <c r="J243" s="617"/>
      <c r="K243" s="1688">
        <f>SUM(K240:K242)</f>
        <v>7067</v>
      </c>
      <c r="L243" s="1688">
        <f>SUM(L240:L242)</f>
        <v>7190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0</v>
      </c>
      <c r="E245" s="617"/>
      <c r="F245" s="617"/>
      <c r="G245" s="617"/>
      <c r="H245" s="617"/>
      <c r="I245" s="617"/>
      <c r="J245" s="617"/>
      <c r="K245" s="1690">
        <f>D245</f>
        <v>0</v>
      </c>
      <c r="L245" s="481">
        <v>0</v>
      </c>
    </row>
    <row r="246" spans="1:12" x14ac:dyDescent="0.2">
      <c r="A246" s="1525" t="s">
        <v>872</v>
      </c>
      <c r="B246" s="615">
        <v>2320</v>
      </c>
      <c r="C246" s="617"/>
      <c r="D246" s="466">
        <v>10260</v>
      </c>
      <c r="E246" s="617"/>
      <c r="F246" s="617"/>
      <c r="G246" s="617"/>
      <c r="H246" s="617"/>
      <c r="I246" s="617"/>
      <c r="J246" s="617"/>
      <c r="K246" s="1690">
        <f t="shared" ref="K246:K256" si="21">D246</f>
        <v>10260</v>
      </c>
      <c r="L246" s="466">
        <v>10274</v>
      </c>
    </row>
    <row r="247" spans="1:12" x14ac:dyDescent="0.2">
      <c r="A247" s="1525" t="s">
        <v>873</v>
      </c>
      <c r="B247" s="615">
        <v>2330</v>
      </c>
      <c r="C247" s="617"/>
      <c r="D247" s="466">
        <v>0</v>
      </c>
      <c r="E247" s="617"/>
      <c r="F247" s="617"/>
      <c r="G247" s="617"/>
      <c r="H247" s="617"/>
      <c r="I247" s="617"/>
      <c r="J247" s="617"/>
      <c r="K247" s="1690">
        <f t="shared" si="21"/>
        <v>0</v>
      </c>
      <c r="L247" s="466">
        <v>0</v>
      </c>
    </row>
    <row r="248" spans="1:12" x14ac:dyDescent="0.2">
      <c r="A248" s="1526" t="s">
        <v>317</v>
      </c>
      <c r="B248" s="603" t="s">
        <v>299</v>
      </c>
      <c r="C248" s="617"/>
      <c r="D248" s="474">
        <v>0</v>
      </c>
      <c r="E248" s="617"/>
      <c r="F248" s="617"/>
      <c r="G248" s="617"/>
      <c r="H248" s="617"/>
      <c r="I248" s="617"/>
      <c r="J248" s="617"/>
      <c r="K248" s="1690">
        <f t="shared" si="21"/>
        <v>0</v>
      </c>
      <c r="L248" s="466">
        <v>0</v>
      </c>
    </row>
    <row r="249" spans="1:12" x14ac:dyDescent="0.2">
      <c r="A249" s="1527" t="s">
        <v>1904</v>
      </c>
      <c r="B249" s="684" t="s">
        <v>300</v>
      </c>
      <c r="C249" s="617"/>
      <c r="D249" s="474">
        <v>0</v>
      </c>
      <c r="E249" s="617"/>
      <c r="F249" s="617"/>
      <c r="G249" s="617"/>
      <c r="H249" s="617"/>
      <c r="I249" s="617"/>
      <c r="J249" s="617"/>
      <c r="K249" s="1690">
        <f t="shared" si="21"/>
        <v>0</v>
      </c>
      <c r="L249" s="466">
        <v>0</v>
      </c>
    </row>
    <row r="250" spans="1:12" x14ac:dyDescent="0.2">
      <c r="A250" s="1526" t="s">
        <v>1905</v>
      </c>
      <c r="B250" s="603" t="s">
        <v>301</v>
      </c>
      <c r="C250" s="617"/>
      <c r="D250" s="474">
        <v>0</v>
      </c>
      <c r="E250" s="617"/>
      <c r="F250" s="617"/>
      <c r="G250" s="617"/>
      <c r="H250" s="617"/>
      <c r="I250" s="617"/>
      <c r="J250" s="617"/>
      <c r="K250" s="1690">
        <f t="shared" si="21"/>
        <v>0</v>
      </c>
      <c r="L250" s="466">
        <v>0</v>
      </c>
    </row>
    <row r="251" spans="1:12" x14ac:dyDescent="0.2">
      <c r="A251" s="1526" t="s">
        <v>256</v>
      </c>
      <c r="B251" s="603" t="s">
        <v>302</v>
      </c>
      <c r="C251" s="617"/>
      <c r="D251" s="474">
        <v>0</v>
      </c>
      <c r="E251" s="617"/>
      <c r="F251" s="617"/>
      <c r="G251" s="617"/>
      <c r="H251" s="617"/>
      <c r="I251" s="617"/>
      <c r="J251" s="617"/>
      <c r="K251" s="1690">
        <f t="shared" si="21"/>
        <v>0</v>
      </c>
      <c r="L251" s="466">
        <v>0</v>
      </c>
    </row>
    <row r="252" spans="1:12" x14ac:dyDescent="0.2">
      <c r="A252" s="1526" t="s">
        <v>726</v>
      </c>
      <c r="B252" s="603" t="s">
        <v>303</v>
      </c>
      <c r="C252" s="617"/>
      <c r="D252" s="474">
        <v>0</v>
      </c>
      <c r="E252" s="617"/>
      <c r="F252" s="617"/>
      <c r="G252" s="617"/>
      <c r="H252" s="617"/>
      <c r="I252" s="617"/>
      <c r="J252" s="617"/>
      <c r="K252" s="1690">
        <f t="shared" si="21"/>
        <v>0</v>
      </c>
      <c r="L252" s="466">
        <v>0</v>
      </c>
    </row>
    <row r="253" spans="1:12" x14ac:dyDescent="0.2">
      <c r="A253" s="1526" t="s">
        <v>257</v>
      </c>
      <c r="B253" s="603" t="s">
        <v>304</v>
      </c>
      <c r="C253" s="617"/>
      <c r="D253" s="474">
        <v>0</v>
      </c>
      <c r="E253" s="617"/>
      <c r="F253" s="617"/>
      <c r="G253" s="617"/>
      <c r="H253" s="617"/>
      <c r="I253" s="617"/>
      <c r="J253" s="617"/>
      <c r="K253" s="1690">
        <f t="shared" si="21"/>
        <v>0</v>
      </c>
      <c r="L253" s="466">
        <v>0</v>
      </c>
    </row>
    <row r="254" spans="1:12" ht="22.5" x14ac:dyDescent="0.2">
      <c r="A254" s="1526" t="s">
        <v>1087</v>
      </c>
      <c r="B254" s="684" t="s">
        <v>305</v>
      </c>
      <c r="C254" s="617"/>
      <c r="D254" s="474">
        <v>8106</v>
      </c>
      <c r="E254" s="617"/>
      <c r="F254" s="617"/>
      <c r="G254" s="617"/>
      <c r="H254" s="617"/>
      <c r="I254" s="617"/>
      <c r="J254" s="617"/>
      <c r="K254" s="1690">
        <f t="shared" si="21"/>
        <v>8106</v>
      </c>
      <c r="L254" s="466">
        <v>8300</v>
      </c>
    </row>
    <row r="255" spans="1:12" x14ac:dyDescent="0.2">
      <c r="A255" s="1526" t="s">
        <v>1088</v>
      </c>
      <c r="B255" s="603" t="s">
        <v>306</v>
      </c>
      <c r="C255" s="617"/>
      <c r="D255" s="474">
        <v>0</v>
      </c>
      <c r="E255" s="617"/>
      <c r="F255" s="617"/>
      <c r="G255" s="617"/>
      <c r="H255" s="617"/>
      <c r="I255" s="617"/>
      <c r="J255" s="617"/>
      <c r="K255" s="1690">
        <f t="shared" si="21"/>
        <v>0</v>
      </c>
      <c r="L255" s="466">
        <v>0</v>
      </c>
    </row>
    <row r="256" spans="1:12" x14ac:dyDescent="0.2">
      <c r="A256" s="1526" t="s">
        <v>1028</v>
      </c>
      <c r="B256" s="615" t="s">
        <v>307</v>
      </c>
      <c r="C256" s="617"/>
      <c r="D256" s="474">
        <v>0</v>
      </c>
      <c r="E256" s="617"/>
      <c r="F256" s="617"/>
      <c r="G256" s="617"/>
      <c r="H256" s="617"/>
      <c r="I256" s="617"/>
      <c r="J256" s="617"/>
      <c r="K256" s="1690">
        <f t="shared" si="21"/>
        <v>0</v>
      </c>
      <c r="L256" s="466">
        <v>0</v>
      </c>
    </row>
    <row r="257" spans="1:14" ht="12.75" customHeight="1" thickBot="1" x14ac:dyDescent="0.25">
      <c r="A257" s="1686" t="s">
        <v>741</v>
      </c>
      <c r="B257" s="1714">
        <v>2300</v>
      </c>
      <c r="C257" s="617"/>
      <c r="D257" s="1688">
        <f>SUM(D245:D256)</f>
        <v>18366</v>
      </c>
      <c r="E257" s="617"/>
      <c r="F257" s="617"/>
      <c r="G257" s="617"/>
      <c r="H257" s="617"/>
      <c r="I257" s="617"/>
      <c r="J257" s="617"/>
      <c r="K257" s="1688">
        <f>SUM(K245:K256)</f>
        <v>18366</v>
      </c>
      <c r="L257" s="1688">
        <f>SUM(L245:L256)</f>
        <v>18574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0</v>
      </c>
      <c r="E259" s="617"/>
      <c r="F259" s="617"/>
      <c r="G259" s="617"/>
      <c r="H259" s="617"/>
      <c r="I259" s="617"/>
      <c r="J259" s="617"/>
      <c r="K259" s="1690">
        <f>D259</f>
        <v>0</v>
      </c>
      <c r="L259" s="481">
        <v>0</v>
      </c>
    </row>
    <row r="260" spans="1:14" s="598" customFormat="1" x14ac:dyDescent="0.2">
      <c r="A260" s="1543" t="s">
        <v>1903</v>
      </c>
      <c r="B260" s="629">
        <v>2490</v>
      </c>
      <c r="C260" s="617"/>
      <c r="D260" s="466">
        <v>0</v>
      </c>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0</v>
      </c>
      <c r="E261" s="617"/>
      <c r="F261" s="617"/>
      <c r="G261" s="617"/>
      <c r="H261" s="617"/>
      <c r="I261" s="617"/>
      <c r="J261" s="617"/>
      <c r="K261" s="1688">
        <f>SUM(K259:K260)</f>
        <v>0</v>
      </c>
      <c r="L261" s="1688">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0</v>
      </c>
      <c r="E263" s="617"/>
      <c r="F263" s="617"/>
      <c r="G263" s="617"/>
      <c r="H263" s="617"/>
      <c r="I263" s="617"/>
      <c r="J263" s="617"/>
      <c r="K263" s="1690">
        <f>D263</f>
        <v>0</v>
      </c>
      <c r="L263" s="481">
        <v>0</v>
      </c>
    </row>
    <row r="264" spans="1:14" x14ac:dyDescent="0.2">
      <c r="A264" s="1525" t="s">
        <v>483</v>
      </c>
      <c r="B264" s="686">
        <v>2520</v>
      </c>
      <c r="C264" s="617"/>
      <c r="D264" s="466">
        <v>9451</v>
      </c>
      <c r="E264" s="617"/>
      <c r="F264" s="617"/>
      <c r="G264" s="617"/>
      <c r="H264" s="617"/>
      <c r="I264" s="617"/>
      <c r="J264" s="617"/>
      <c r="K264" s="1690">
        <f t="shared" ref="K264:K269" si="22">D264</f>
        <v>9451</v>
      </c>
      <c r="L264" s="466">
        <v>9588</v>
      </c>
    </row>
    <row r="265" spans="1:14" x14ac:dyDescent="0.2">
      <c r="A265" s="1525" t="s">
        <v>4</v>
      </c>
      <c r="B265" s="615">
        <v>2530</v>
      </c>
      <c r="C265" s="617"/>
      <c r="D265" s="466">
        <v>0</v>
      </c>
      <c r="E265" s="617"/>
      <c r="F265" s="617"/>
      <c r="G265" s="617"/>
      <c r="H265" s="617"/>
      <c r="I265" s="617"/>
      <c r="J265" s="617"/>
      <c r="K265" s="1690">
        <f t="shared" si="22"/>
        <v>0</v>
      </c>
      <c r="L265" s="466">
        <v>0</v>
      </c>
    </row>
    <row r="266" spans="1:14" x14ac:dyDescent="0.2">
      <c r="A266" s="1525" t="s">
        <v>206</v>
      </c>
      <c r="B266" s="615">
        <v>2540</v>
      </c>
      <c r="C266" s="617"/>
      <c r="D266" s="466">
        <v>13606</v>
      </c>
      <c r="E266" s="617"/>
      <c r="F266" s="617"/>
      <c r="G266" s="617"/>
      <c r="H266" s="617"/>
      <c r="I266" s="617"/>
      <c r="J266" s="617"/>
      <c r="K266" s="1690">
        <f t="shared" si="22"/>
        <v>13606</v>
      </c>
      <c r="L266" s="466">
        <v>13577</v>
      </c>
    </row>
    <row r="267" spans="1:14" x14ac:dyDescent="0.2">
      <c r="A267" s="1525" t="s">
        <v>1010</v>
      </c>
      <c r="B267" s="615">
        <v>2550</v>
      </c>
      <c r="C267" s="617"/>
      <c r="D267" s="466">
        <v>0</v>
      </c>
      <c r="E267" s="617"/>
      <c r="F267" s="617"/>
      <c r="G267" s="617"/>
      <c r="H267" s="617"/>
      <c r="I267" s="617"/>
      <c r="J267" s="617"/>
      <c r="K267" s="1690">
        <f t="shared" si="22"/>
        <v>0</v>
      </c>
      <c r="L267" s="466">
        <v>0</v>
      </c>
    </row>
    <row r="268" spans="1:14" x14ac:dyDescent="0.2">
      <c r="A268" s="1525" t="s">
        <v>102</v>
      </c>
      <c r="B268" s="615">
        <v>2560</v>
      </c>
      <c r="C268" s="617"/>
      <c r="D268" s="466">
        <v>7029</v>
      </c>
      <c r="E268" s="617"/>
      <c r="F268" s="617"/>
      <c r="G268" s="617"/>
      <c r="H268" s="617"/>
      <c r="I268" s="617"/>
      <c r="J268" s="617"/>
      <c r="K268" s="1690">
        <f t="shared" si="22"/>
        <v>7029</v>
      </c>
      <c r="L268" s="466">
        <v>7098</v>
      </c>
    </row>
    <row r="269" spans="1:14" x14ac:dyDescent="0.2">
      <c r="A269" s="1525" t="s">
        <v>103</v>
      </c>
      <c r="B269" s="615">
        <v>2570</v>
      </c>
      <c r="C269" s="617"/>
      <c r="D269" s="466">
        <v>0</v>
      </c>
      <c r="E269" s="617"/>
      <c r="F269" s="617"/>
      <c r="G269" s="617"/>
      <c r="H269" s="617"/>
      <c r="I269" s="617"/>
      <c r="J269" s="617"/>
      <c r="K269" s="1690">
        <f t="shared" si="22"/>
        <v>0</v>
      </c>
      <c r="L269" s="466">
        <v>0</v>
      </c>
    </row>
    <row r="270" spans="1:14" ht="12.75" customHeight="1" thickBot="1" x14ac:dyDescent="0.25">
      <c r="A270" s="1686" t="s">
        <v>743</v>
      </c>
      <c r="B270" s="1693" t="s">
        <v>35</v>
      </c>
      <c r="C270" s="617"/>
      <c r="D270" s="1688">
        <f>SUM(D263:D269)</f>
        <v>30086</v>
      </c>
      <c r="E270" s="617"/>
      <c r="F270" s="617"/>
      <c r="G270" s="617"/>
      <c r="H270" s="617"/>
      <c r="I270" s="617"/>
      <c r="J270" s="617"/>
      <c r="K270" s="1688">
        <f>SUM(K263:K269)</f>
        <v>30086</v>
      </c>
      <c r="L270" s="1688">
        <f>SUM(L263:L269)</f>
        <v>30263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v>0</v>
      </c>
      <c r="E272" s="617"/>
      <c r="F272" s="617"/>
      <c r="G272" s="617"/>
      <c r="H272" s="617"/>
      <c r="I272" s="617"/>
      <c r="J272" s="617"/>
      <c r="K272" s="1690">
        <f>D272</f>
        <v>0</v>
      </c>
      <c r="L272" s="481">
        <v>0</v>
      </c>
    </row>
    <row r="273" spans="1:12" x14ac:dyDescent="0.2">
      <c r="A273" s="1525" t="s">
        <v>628</v>
      </c>
      <c r="B273" s="629">
        <v>2620</v>
      </c>
      <c r="C273" s="617"/>
      <c r="D273" s="466">
        <v>0</v>
      </c>
      <c r="E273" s="617"/>
      <c r="F273" s="617"/>
      <c r="G273" s="617"/>
      <c r="H273" s="617"/>
      <c r="I273" s="617"/>
      <c r="J273" s="617"/>
      <c r="K273" s="1690">
        <f>D273</f>
        <v>0</v>
      </c>
      <c r="L273" s="466">
        <v>0</v>
      </c>
    </row>
    <row r="274" spans="1:12" ht="12" customHeight="1" x14ac:dyDescent="0.2">
      <c r="A274" s="1525" t="s">
        <v>1121</v>
      </c>
      <c r="B274" s="615">
        <v>2630</v>
      </c>
      <c r="C274" s="617"/>
      <c r="D274" s="466">
        <v>0</v>
      </c>
      <c r="E274" s="617"/>
      <c r="F274" s="617"/>
      <c r="G274" s="617"/>
      <c r="H274" s="617"/>
      <c r="I274" s="617"/>
      <c r="J274" s="617"/>
      <c r="K274" s="1690">
        <f>D274</f>
        <v>0</v>
      </c>
      <c r="L274" s="466">
        <v>0</v>
      </c>
    </row>
    <row r="275" spans="1:12" x14ac:dyDescent="0.2">
      <c r="A275" s="1525" t="s">
        <v>423</v>
      </c>
      <c r="B275" s="615">
        <v>2640</v>
      </c>
      <c r="C275" s="617"/>
      <c r="D275" s="466">
        <v>0</v>
      </c>
      <c r="E275" s="617"/>
      <c r="F275" s="617"/>
      <c r="G275" s="617"/>
      <c r="H275" s="617"/>
      <c r="I275" s="617"/>
      <c r="J275" s="617"/>
      <c r="K275" s="1690">
        <f>D275</f>
        <v>0</v>
      </c>
      <c r="L275" s="466">
        <v>0</v>
      </c>
    </row>
    <row r="276" spans="1:12" x14ac:dyDescent="0.2">
      <c r="A276" s="1525" t="s">
        <v>424</v>
      </c>
      <c r="B276" s="615">
        <v>2660</v>
      </c>
      <c r="C276" s="617"/>
      <c r="D276" s="466">
        <v>0</v>
      </c>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1" t="s">
        <v>1037</v>
      </c>
      <c r="B278" s="656" t="s">
        <v>595</v>
      </c>
      <c r="C278" s="617"/>
      <c r="D278" s="657">
        <v>0</v>
      </c>
      <c r="E278" s="617"/>
      <c r="F278" s="617"/>
      <c r="G278" s="617"/>
      <c r="H278" s="617"/>
      <c r="I278" s="617"/>
      <c r="J278" s="617"/>
      <c r="K278" s="1703">
        <f>D278</f>
        <v>0</v>
      </c>
      <c r="L278" s="657">
        <v>0</v>
      </c>
    </row>
    <row r="279" spans="1:12" ht="12.75" customHeight="1" thickBot="1" x14ac:dyDescent="0.25">
      <c r="A279" s="1716" t="s">
        <v>865</v>
      </c>
      <c r="B279" s="1699">
        <v>2000</v>
      </c>
      <c r="C279" s="617"/>
      <c r="D279" s="1695">
        <f>SUM(D238,D243,D257,D261,D270,D277,D278)</f>
        <v>56045</v>
      </c>
      <c r="E279" s="617"/>
      <c r="F279" s="617"/>
      <c r="G279" s="617"/>
      <c r="H279" s="617"/>
      <c r="I279" s="617"/>
      <c r="J279" s="617"/>
      <c r="K279" s="1695">
        <f>SUM(K238,K243,K257,K261,K270,K277,K278)</f>
        <v>56045</v>
      </c>
      <c r="L279" s="1695">
        <f>SUM(L238,L243,L257,L261,L270,L277,L278)</f>
        <v>56577</v>
      </c>
    </row>
    <row r="280" spans="1:12" ht="15.75" customHeight="1" thickTop="1" thickBot="1" x14ac:dyDescent="0.25">
      <c r="A280" s="1645" t="s">
        <v>930</v>
      </c>
      <c r="B280" s="1634">
        <v>3000</v>
      </c>
      <c r="C280" s="617"/>
      <c r="D280" s="576">
        <v>8</v>
      </c>
      <c r="E280" s="617"/>
      <c r="F280" s="617"/>
      <c r="G280" s="617"/>
      <c r="H280" s="617"/>
      <c r="I280" s="617"/>
      <c r="J280" s="617"/>
      <c r="K280" s="1697">
        <f>D280</f>
        <v>8</v>
      </c>
      <c r="L280" s="576">
        <v>25</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9" t="s">
        <v>517</v>
      </c>
      <c r="B282" s="691" t="s">
        <v>1953</v>
      </c>
      <c r="C282" s="617"/>
      <c r="D282" s="467">
        <v>0</v>
      </c>
      <c r="E282" s="617"/>
      <c r="F282" s="617"/>
      <c r="G282" s="617"/>
      <c r="H282" s="617"/>
      <c r="I282" s="617"/>
      <c r="J282" s="617"/>
      <c r="K282" s="1689">
        <f>D282</f>
        <v>0</v>
      </c>
      <c r="L282" s="467">
        <v>0</v>
      </c>
    </row>
    <row r="283" spans="1:12" x14ac:dyDescent="0.2">
      <c r="A283" s="1525" t="s">
        <v>322</v>
      </c>
      <c r="B283" s="615">
        <v>4120</v>
      </c>
      <c r="C283" s="617"/>
      <c r="D283" s="466">
        <v>0</v>
      </c>
      <c r="E283" s="617"/>
      <c r="F283" s="617"/>
      <c r="G283" s="617"/>
      <c r="H283" s="617"/>
      <c r="I283" s="617"/>
      <c r="J283" s="617"/>
      <c r="K283" s="1689">
        <f>D283</f>
        <v>0</v>
      </c>
      <c r="L283" s="466">
        <v>0</v>
      </c>
    </row>
    <row r="284" spans="1:12" x14ac:dyDescent="0.2">
      <c r="A284" s="1525" t="s">
        <v>721</v>
      </c>
      <c r="B284" s="615">
        <v>4140</v>
      </c>
      <c r="C284" s="617"/>
      <c r="D284" s="467">
        <v>0</v>
      </c>
      <c r="E284" s="617"/>
      <c r="F284" s="617"/>
      <c r="G284" s="617"/>
      <c r="H284" s="617"/>
      <c r="I284" s="617"/>
      <c r="J284" s="617"/>
      <c r="K284" s="1689">
        <f>D284</f>
        <v>0</v>
      </c>
      <c r="L284" s="466">
        <v>0</v>
      </c>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89">
        <f>H288</f>
        <v>0</v>
      </c>
      <c r="L288" s="466">
        <v>0</v>
      </c>
    </row>
    <row r="289" spans="1:14" x14ac:dyDescent="0.2">
      <c r="A289" s="1525" t="s">
        <v>90</v>
      </c>
      <c r="B289" s="615">
        <v>5120</v>
      </c>
      <c r="C289" s="617"/>
      <c r="D289" s="617"/>
      <c r="E289" s="617"/>
      <c r="F289" s="617"/>
      <c r="G289" s="617"/>
      <c r="H289" s="466">
        <v>0</v>
      </c>
      <c r="I289" s="617"/>
      <c r="J289" s="617"/>
      <c r="K289" s="1689">
        <f>H289</f>
        <v>0</v>
      </c>
      <c r="L289" s="466">
        <v>0</v>
      </c>
    </row>
    <row r="290" spans="1:14" ht="12.75" customHeight="1" x14ac:dyDescent="0.2">
      <c r="A290" s="1525" t="s">
        <v>1232</v>
      </c>
      <c r="B290" s="629" t="s">
        <v>638</v>
      </c>
      <c r="C290" s="617"/>
      <c r="D290" s="617"/>
      <c r="E290" s="617"/>
      <c r="F290" s="617"/>
      <c r="G290" s="617"/>
      <c r="H290" s="466">
        <v>0</v>
      </c>
      <c r="I290" s="617"/>
      <c r="J290" s="617"/>
      <c r="K290" s="1689">
        <f>H290</f>
        <v>0</v>
      </c>
      <c r="L290" s="466">
        <v>0</v>
      </c>
    </row>
    <row r="291" spans="1:14" x14ac:dyDescent="0.2">
      <c r="A291" s="1525" t="s">
        <v>91</v>
      </c>
      <c r="B291" s="615" t="s">
        <v>610</v>
      </c>
      <c r="C291" s="617"/>
      <c r="D291" s="617"/>
      <c r="E291" s="617"/>
      <c r="F291" s="617"/>
      <c r="G291" s="617"/>
      <c r="H291" s="466">
        <v>0</v>
      </c>
      <c r="I291" s="617"/>
      <c r="J291" s="617"/>
      <c r="K291" s="1689">
        <f>H291</f>
        <v>0</v>
      </c>
      <c r="L291" s="466">
        <v>0</v>
      </c>
    </row>
    <row r="292" spans="1:14" x14ac:dyDescent="0.2">
      <c r="A292" s="1525" t="s">
        <v>786</v>
      </c>
      <c r="B292" s="615" t="s">
        <v>639</v>
      </c>
      <c r="C292" s="617"/>
      <c r="D292" s="617"/>
      <c r="E292" s="617"/>
      <c r="F292" s="617"/>
      <c r="G292" s="617"/>
      <c r="H292" s="466">
        <v>0</v>
      </c>
      <c r="I292" s="617"/>
      <c r="J292" s="617"/>
      <c r="K292" s="1689">
        <f>H292</f>
        <v>0</v>
      </c>
      <c r="L292" s="466">
        <v>0</v>
      </c>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87" t="s">
        <v>526</v>
      </c>
      <c r="B295" s="2188"/>
      <c r="C295" s="617"/>
      <c r="D295" s="1688">
        <f>SUM(D229,D279,D280,D285)</f>
        <v>101629</v>
      </c>
      <c r="E295" s="617"/>
      <c r="F295" s="617"/>
      <c r="G295" s="617"/>
      <c r="H295" s="1688">
        <f>H293</f>
        <v>0</v>
      </c>
      <c r="I295" s="617"/>
      <c r="J295" s="617"/>
      <c r="K295" s="1688">
        <f>SUM(K229,K279,K280,K285,K293,K294)</f>
        <v>101629</v>
      </c>
      <c r="L295" s="1688">
        <f>SUM(L229,L279,L280,L285,L293,L294)</f>
        <v>109584</v>
      </c>
    </row>
    <row r="296" spans="1:14" ht="13.5" thickTop="1" x14ac:dyDescent="0.2">
      <c r="A296" s="2196" t="s">
        <v>1053</v>
      </c>
      <c r="B296" s="2197"/>
      <c r="C296" s="617"/>
      <c r="D296" s="619"/>
      <c r="E296" s="617"/>
      <c r="F296" s="617"/>
      <c r="G296" s="617"/>
      <c r="H296" s="688"/>
      <c r="I296" s="617"/>
      <c r="J296" s="617"/>
      <c r="K296" s="1702">
        <f>'Revenues 9-14'!G275-'Expenditures 15-22'!K295</f>
        <v>-7172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9" t="s">
        <v>145</v>
      </c>
      <c r="B298" s="2173"/>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v>0</v>
      </c>
      <c r="D301" s="466">
        <v>0</v>
      </c>
      <c r="E301" s="466">
        <v>0</v>
      </c>
      <c r="F301" s="466">
        <v>0</v>
      </c>
      <c r="G301" s="466">
        <v>0</v>
      </c>
      <c r="H301" s="466">
        <v>0</v>
      </c>
      <c r="I301" s="467">
        <v>0</v>
      </c>
      <c r="J301" s="467">
        <v>0</v>
      </c>
      <c r="K301" s="1689">
        <f>SUM(C301:J301)</f>
        <v>0</v>
      </c>
      <c r="L301" s="467">
        <v>0</v>
      </c>
    </row>
    <row r="302" spans="1:14" ht="13.5" customHeight="1" x14ac:dyDescent="0.2">
      <c r="A302" s="1538" t="s">
        <v>1037</v>
      </c>
      <c r="B302" s="615" t="s">
        <v>595</v>
      </c>
      <c r="C302" s="466">
        <v>0</v>
      </c>
      <c r="D302" s="466">
        <v>0</v>
      </c>
      <c r="E302" s="466">
        <v>0</v>
      </c>
      <c r="F302" s="466">
        <v>0</v>
      </c>
      <c r="G302" s="466">
        <v>0</v>
      </c>
      <c r="H302" s="466">
        <v>0</v>
      </c>
      <c r="I302" s="467">
        <v>0</v>
      </c>
      <c r="J302" s="467">
        <v>0</v>
      </c>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1958</v>
      </c>
      <c r="B306" s="691" t="s">
        <v>1953</v>
      </c>
      <c r="C306" s="617"/>
      <c r="D306" s="617"/>
      <c r="E306" s="467">
        <v>0</v>
      </c>
      <c r="F306" s="617"/>
      <c r="G306" s="617"/>
      <c r="H306" s="467">
        <v>0</v>
      </c>
      <c r="I306" s="617"/>
      <c r="J306" s="617"/>
      <c r="K306" s="1689">
        <f>SUM(E306,H306)</f>
        <v>0</v>
      </c>
      <c r="L306" s="467">
        <v>0</v>
      </c>
    </row>
    <row r="307" spans="1:14" x14ac:dyDescent="0.2">
      <c r="A307" s="1525" t="s">
        <v>322</v>
      </c>
      <c r="B307" s="615">
        <v>4120</v>
      </c>
      <c r="C307" s="617"/>
      <c r="D307" s="617"/>
      <c r="E307" s="467">
        <v>0</v>
      </c>
      <c r="F307" s="617"/>
      <c r="G307" s="617"/>
      <c r="H307" s="467">
        <v>0</v>
      </c>
      <c r="I307" s="477"/>
      <c r="J307" s="617"/>
      <c r="K307" s="1689">
        <f>SUM(E307,H307)</f>
        <v>0</v>
      </c>
      <c r="L307" s="466">
        <v>0</v>
      </c>
    </row>
    <row r="308" spans="1:14" x14ac:dyDescent="0.2">
      <c r="A308" s="1525" t="s">
        <v>721</v>
      </c>
      <c r="B308" s="615">
        <v>4140</v>
      </c>
      <c r="C308" s="617"/>
      <c r="D308" s="617"/>
      <c r="E308" s="467">
        <v>0</v>
      </c>
      <c r="F308" s="617"/>
      <c r="G308" s="617"/>
      <c r="H308" s="467">
        <v>0</v>
      </c>
      <c r="I308" s="477"/>
      <c r="J308" s="617"/>
      <c r="K308" s="1689">
        <f>SUM(E308,H308)</f>
        <v>0</v>
      </c>
      <c r="L308" s="466">
        <v>0</v>
      </c>
    </row>
    <row r="309" spans="1:14" ht="12.75" customHeight="1" x14ac:dyDescent="0.2">
      <c r="A309" s="1529" t="s">
        <v>722</v>
      </c>
      <c r="B309" s="629">
        <v>4190</v>
      </c>
      <c r="C309" s="617"/>
      <c r="D309" s="617"/>
      <c r="E309" s="467">
        <v>0</v>
      </c>
      <c r="F309" s="617"/>
      <c r="G309" s="617"/>
      <c r="H309" s="467">
        <v>0</v>
      </c>
      <c r="I309" s="477"/>
      <c r="J309" s="617"/>
      <c r="K309" s="1689">
        <f>SUM(E309,H309)</f>
        <v>0</v>
      </c>
      <c r="L309" s="466">
        <v>0</v>
      </c>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84" t="s">
        <v>295</v>
      </c>
      <c r="B312" s="2185"/>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80" t="s">
        <v>1053</v>
      </c>
      <c r="B313" s="2181"/>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3" t="s">
        <v>151</v>
      </c>
      <c r="B315" s="2194"/>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5" t="s">
        <v>954</v>
      </c>
      <c r="B317" s="2194"/>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v>0</v>
      </c>
      <c r="D319" s="467">
        <v>0</v>
      </c>
      <c r="E319" s="467">
        <v>0</v>
      </c>
      <c r="F319" s="467">
        <v>0</v>
      </c>
      <c r="G319" s="467">
        <v>0</v>
      </c>
      <c r="H319" s="467">
        <v>0</v>
      </c>
      <c r="I319" s="467">
        <v>0</v>
      </c>
      <c r="J319" s="467">
        <v>0</v>
      </c>
      <c r="K319" s="1689">
        <f>SUM(C319:J319)</f>
        <v>0</v>
      </c>
      <c r="L319" s="467">
        <v>0</v>
      </c>
      <c r="M319" s="666"/>
      <c r="N319" s="666"/>
    </row>
    <row r="320" spans="1:14" s="675" customFormat="1" x14ac:dyDescent="0.2">
      <c r="A320" s="1544" t="s">
        <v>1904</v>
      </c>
      <c r="B320" s="699" t="s">
        <v>300</v>
      </c>
      <c r="C320" s="467">
        <v>0</v>
      </c>
      <c r="D320" s="467">
        <v>0</v>
      </c>
      <c r="E320" s="467">
        <v>8586</v>
      </c>
      <c r="F320" s="467">
        <v>0</v>
      </c>
      <c r="G320" s="467">
        <v>0</v>
      </c>
      <c r="H320" s="467">
        <v>0</v>
      </c>
      <c r="I320" s="467">
        <v>0</v>
      </c>
      <c r="J320" s="467">
        <v>0</v>
      </c>
      <c r="K320" s="1689">
        <f t="shared" ref="K320:K327" si="24">SUM(C320:J320)</f>
        <v>8586</v>
      </c>
      <c r="L320" s="467">
        <v>8700</v>
      </c>
      <c r="M320" s="666"/>
      <c r="N320" s="666"/>
    </row>
    <row r="321" spans="1:14" s="675" customFormat="1" x14ac:dyDescent="0.2">
      <c r="A321" s="1540" t="s">
        <v>318</v>
      </c>
      <c r="B321" s="698" t="s">
        <v>301</v>
      </c>
      <c r="C321" s="467">
        <v>0</v>
      </c>
      <c r="D321" s="467">
        <v>0</v>
      </c>
      <c r="E321" s="467">
        <v>0</v>
      </c>
      <c r="F321" s="467">
        <v>0</v>
      </c>
      <c r="G321" s="467">
        <v>0</v>
      </c>
      <c r="H321" s="467">
        <v>0</v>
      </c>
      <c r="I321" s="467">
        <v>0</v>
      </c>
      <c r="J321" s="467">
        <v>0</v>
      </c>
      <c r="K321" s="1689">
        <f t="shared" si="24"/>
        <v>0</v>
      </c>
      <c r="L321" s="467">
        <v>0</v>
      </c>
      <c r="M321" s="666"/>
      <c r="N321" s="666"/>
    </row>
    <row r="322" spans="1:14" s="675" customFormat="1" x14ac:dyDescent="0.2">
      <c r="A322" s="1540" t="s">
        <v>256</v>
      </c>
      <c r="B322" s="698" t="s">
        <v>302</v>
      </c>
      <c r="C322" s="467">
        <v>0</v>
      </c>
      <c r="D322" s="467">
        <v>0</v>
      </c>
      <c r="E322" s="467">
        <v>24572</v>
      </c>
      <c r="F322" s="467">
        <v>0</v>
      </c>
      <c r="G322" s="467">
        <v>0</v>
      </c>
      <c r="H322" s="467">
        <v>0</v>
      </c>
      <c r="I322" s="467">
        <v>0</v>
      </c>
      <c r="J322" s="467">
        <v>0</v>
      </c>
      <c r="K322" s="1689">
        <f t="shared" si="24"/>
        <v>24572</v>
      </c>
      <c r="L322" s="467">
        <v>24500</v>
      </c>
      <c r="M322" s="666"/>
      <c r="N322" s="666"/>
    </row>
    <row r="323" spans="1:14" s="675" customFormat="1" x14ac:dyDescent="0.2">
      <c r="A323" s="1540" t="s">
        <v>726</v>
      </c>
      <c r="B323" s="698" t="s">
        <v>303</v>
      </c>
      <c r="C323" s="467">
        <v>0</v>
      </c>
      <c r="D323" s="467">
        <v>0</v>
      </c>
      <c r="E323" s="467">
        <v>0</v>
      </c>
      <c r="F323" s="467">
        <v>0</v>
      </c>
      <c r="G323" s="467">
        <v>0</v>
      </c>
      <c r="H323" s="467">
        <v>0</v>
      </c>
      <c r="I323" s="467">
        <v>0</v>
      </c>
      <c r="J323" s="467">
        <v>0</v>
      </c>
      <c r="K323" s="1689">
        <f t="shared" si="24"/>
        <v>0</v>
      </c>
      <c r="L323" s="467">
        <v>0</v>
      </c>
      <c r="M323" s="666"/>
      <c r="N323" s="666"/>
    </row>
    <row r="324" spans="1:14" s="675" customFormat="1" x14ac:dyDescent="0.2">
      <c r="A324" s="1540" t="s">
        <v>257</v>
      </c>
      <c r="B324" s="698" t="s">
        <v>304</v>
      </c>
      <c r="C324" s="467">
        <v>0</v>
      </c>
      <c r="D324" s="467">
        <v>0</v>
      </c>
      <c r="E324" s="467">
        <v>0</v>
      </c>
      <c r="F324" s="467">
        <v>0</v>
      </c>
      <c r="G324" s="467">
        <v>0</v>
      </c>
      <c r="H324" s="467">
        <v>0</v>
      </c>
      <c r="I324" s="467">
        <v>0</v>
      </c>
      <c r="J324" s="467">
        <v>0</v>
      </c>
      <c r="K324" s="1689">
        <f t="shared" si="24"/>
        <v>0</v>
      </c>
      <c r="L324" s="467">
        <v>0</v>
      </c>
      <c r="M324" s="666"/>
      <c r="N324" s="666"/>
    </row>
    <row r="325" spans="1:14" s="675" customFormat="1" ht="22.5" x14ac:dyDescent="0.2">
      <c r="A325" s="1540" t="s">
        <v>1087</v>
      </c>
      <c r="B325" s="699" t="s">
        <v>305</v>
      </c>
      <c r="C325" s="467">
        <v>68172</v>
      </c>
      <c r="D325" s="467">
        <v>863</v>
      </c>
      <c r="E325" s="467">
        <v>2048</v>
      </c>
      <c r="F325" s="467">
        <v>0</v>
      </c>
      <c r="G325" s="467">
        <v>0</v>
      </c>
      <c r="H325" s="467">
        <v>0</v>
      </c>
      <c r="I325" s="467">
        <v>0</v>
      </c>
      <c r="J325" s="467">
        <v>0</v>
      </c>
      <c r="K325" s="1689">
        <f t="shared" si="24"/>
        <v>71083</v>
      </c>
      <c r="L325" s="467">
        <v>71286</v>
      </c>
      <c r="M325" s="666"/>
      <c r="N325" s="666"/>
    </row>
    <row r="326" spans="1:14" s="675" customFormat="1" x14ac:dyDescent="0.2">
      <c r="A326" s="1540" t="s">
        <v>1088</v>
      </c>
      <c r="B326" s="698" t="s">
        <v>306</v>
      </c>
      <c r="C326" s="467">
        <v>0</v>
      </c>
      <c r="D326" s="467">
        <v>0</v>
      </c>
      <c r="E326" s="467">
        <v>0</v>
      </c>
      <c r="F326" s="467">
        <v>0</v>
      </c>
      <c r="G326" s="467">
        <v>0</v>
      </c>
      <c r="H326" s="467">
        <v>0</v>
      </c>
      <c r="I326" s="467">
        <v>0</v>
      </c>
      <c r="J326" s="467">
        <v>0</v>
      </c>
      <c r="K326" s="1689">
        <f t="shared" si="24"/>
        <v>0</v>
      </c>
      <c r="L326" s="467">
        <v>0</v>
      </c>
      <c r="M326" s="666"/>
      <c r="N326" s="666"/>
    </row>
    <row r="327" spans="1:14" s="675" customFormat="1" x14ac:dyDescent="0.2">
      <c r="A327" s="1540" t="s">
        <v>1028</v>
      </c>
      <c r="B327" s="698" t="s">
        <v>307</v>
      </c>
      <c r="C327" s="467">
        <v>0</v>
      </c>
      <c r="D327" s="467">
        <v>0</v>
      </c>
      <c r="E327" s="467">
        <v>58</v>
      </c>
      <c r="F327" s="467">
        <v>0</v>
      </c>
      <c r="G327" s="467">
        <v>0</v>
      </c>
      <c r="H327" s="467">
        <v>0</v>
      </c>
      <c r="I327" s="467">
        <v>0</v>
      </c>
      <c r="J327" s="467">
        <v>0</v>
      </c>
      <c r="K327" s="1689">
        <f t="shared" si="24"/>
        <v>58</v>
      </c>
      <c r="L327" s="467">
        <v>3500</v>
      </c>
      <c r="M327" s="666"/>
      <c r="N327" s="666"/>
    </row>
    <row r="328" spans="1:14" s="675" customFormat="1" x14ac:dyDescent="0.2">
      <c r="A328" s="1541" t="s">
        <v>492</v>
      </c>
      <c r="B328" s="691" t="s">
        <v>1194</v>
      </c>
      <c r="C328" s="474">
        <v>0</v>
      </c>
      <c r="D328" s="474">
        <v>0</v>
      </c>
      <c r="E328" s="474">
        <v>0</v>
      </c>
      <c r="F328" s="474">
        <v>0</v>
      </c>
      <c r="G328" s="474">
        <v>0</v>
      </c>
      <c r="H328" s="474">
        <v>0</v>
      </c>
      <c r="I328" s="474">
        <v>0</v>
      </c>
      <c r="J328" s="474">
        <v>0</v>
      </c>
      <c r="K328" s="1717">
        <f>SUM(C328:J328)</f>
        <v>0</v>
      </c>
      <c r="L328" s="474">
        <v>0</v>
      </c>
      <c r="M328" s="666"/>
      <c r="N328" s="666"/>
    </row>
    <row r="329" spans="1:14" s="675" customFormat="1" x14ac:dyDescent="0.2">
      <c r="A329" s="1541" t="s">
        <v>1195</v>
      </c>
      <c r="B329" s="691" t="s">
        <v>1196</v>
      </c>
      <c r="C329" s="474">
        <v>0</v>
      </c>
      <c r="D329" s="474">
        <v>0</v>
      </c>
      <c r="E329" s="474">
        <v>0</v>
      </c>
      <c r="F329" s="474">
        <v>0</v>
      </c>
      <c r="G329" s="474">
        <v>0</v>
      </c>
      <c r="H329" s="474">
        <v>0</v>
      </c>
      <c r="I329" s="474">
        <v>0</v>
      </c>
      <c r="J329" s="474">
        <v>0</v>
      </c>
      <c r="K329" s="1717">
        <f>SUM(C329:J329)</f>
        <v>0</v>
      </c>
      <c r="L329" s="474">
        <v>0</v>
      </c>
      <c r="M329" s="666"/>
      <c r="N329" s="666"/>
    </row>
    <row r="330" spans="1:14" s="675" customFormat="1" ht="12.75" customHeight="1" thickBot="1" x14ac:dyDescent="0.25">
      <c r="A330" s="1718" t="s">
        <v>741</v>
      </c>
      <c r="B330" s="1687" t="s">
        <v>590</v>
      </c>
      <c r="C330" s="1688">
        <f>SUM(C319:C329)</f>
        <v>68172</v>
      </c>
      <c r="D330" s="1688">
        <f t="shared" ref="D330:J330" si="25">SUM(D319:D329)</f>
        <v>863</v>
      </c>
      <c r="E330" s="1688">
        <f t="shared" si="25"/>
        <v>35264</v>
      </c>
      <c r="F330" s="1688">
        <f t="shared" si="25"/>
        <v>0</v>
      </c>
      <c r="G330" s="1688">
        <f t="shared" si="25"/>
        <v>0</v>
      </c>
      <c r="H330" s="1688">
        <f t="shared" si="25"/>
        <v>0</v>
      </c>
      <c r="I330" s="1688">
        <f t="shared" si="25"/>
        <v>0</v>
      </c>
      <c r="J330" s="1688">
        <f t="shared" si="25"/>
        <v>0</v>
      </c>
      <c r="K330" s="1688">
        <f>SUM(K319:K329)</f>
        <v>104299</v>
      </c>
      <c r="L330" s="1688">
        <f>SUM(L319:L329)</f>
        <v>107986</v>
      </c>
      <c r="M330" s="666"/>
      <c r="N330" s="666"/>
    </row>
    <row r="331" spans="1:14" s="675" customFormat="1" ht="12.75" customHeight="1" thickTop="1" x14ac:dyDescent="0.2">
      <c r="A331" s="1850" t="s">
        <v>1959</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1953</v>
      </c>
      <c r="C332" s="1852"/>
      <c r="D332" s="1852"/>
      <c r="E332" s="1852"/>
      <c r="F332" s="1852"/>
      <c r="G332" s="1852"/>
      <c r="H332" s="467">
        <v>0</v>
      </c>
      <c r="I332" s="1852"/>
      <c r="J332" s="1852"/>
      <c r="K332" s="1689">
        <f>H332</f>
        <v>0</v>
      </c>
      <c r="L332" s="467">
        <v>0</v>
      </c>
      <c r="M332" s="666"/>
      <c r="N332" s="666"/>
    </row>
    <row r="333" spans="1:14" s="675" customFormat="1" ht="12.75" customHeight="1" x14ac:dyDescent="0.2">
      <c r="A333" s="1851" t="s">
        <v>322</v>
      </c>
      <c r="B333" s="1846" t="s">
        <v>1955</v>
      </c>
      <c r="C333" s="1852"/>
      <c r="D333" s="1852"/>
      <c r="E333" s="1852"/>
      <c r="F333" s="1852"/>
      <c r="G333" s="1852"/>
      <c r="H333" s="467">
        <v>0</v>
      </c>
      <c r="I333" s="1852"/>
      <c r="J333" s="1852"/>
      <c r="K333" s="1689">
        <f>H333</f>
        <v>0</v>
      </c>
      <c r="L333" s="467">
        <v>0</v>
      </c>
      <c r="M333" s="666"/>
      <c r="N333" s="666"/>
    </row>
    <row r="334" spans="1:14" s="675" customFormat="1" ht="12.75" customHeight="1" thickBot="1" x14ac:dyDescent="0.25">
      <c r="A334" s="1851" t="s">
        <v>1960</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v>0</v>
      </c>
      <c r="I337" s="639"/>
      <c r="J337" s="639"/>
      <c r="K337" s="1689">
        <f>H337</f>
        <v>0</v>
      </c>
      <c r="L337" s="478">
        <v>0</v>
      </c>
    </row>
    <row r="338" spans="1:14" ht="12.75" customHeight="1" x14ac:dyDescent="0.2">
      <c r="A338" s="1539" t="s">
        <v>1232</v>
      </c>
      <c r="B338" s="691" t="s">
        <v>638</v>
      </c>
      <c r="C338" s="639"/>
      <c r="D338" s="639"/>
      <c r="E338" s="639"/>
      <c r="F338" s="639"/>
      <c r="G338" s="639"/>
      <c r="H338" s="478">
        <v>0</v>
      </c>
      <c r="I338" s="639"/>
      <c r="J338" s="639"/>
      <c r="K338" s="1689">
        <f>H338</f>
        <v>0</v>
      </c>
      <c r="L338" s="478">
        <v>0</v>
      </c>
    </row>
    <row r="339" spans="1:14" x14ac:dyDescent="0.2">
      <c r="A339" s="1525" t="s">
        <v>957</v>
      </c>
      <c r="B339" s="629">
        <v>5150</v>
      </c>
      <c r="C339" s="639"/>
      <c r="D339" s="639"/>
      <c r="E339" s="639"/>
      <c r="F339" s="639"/>
      <c r="G339" s="639"/>
      <c r="H339" s="467">
        <v>0</v>
      </c>
      <c r="I339" s="639"/>
      <c r="J339" s="639"/>
      <c r="K339" s="1689">
        <f>H339</f>
        <v>0</v>
      </c>
      <c r="L339" s="467">
        <v>0</v>
      </c>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4" t="s">
        <v>526</v>
      </c>
      <c r="B342" s="1719"/>
      <c r="C342" s="1688">
        <f>SUM(C330)</f>
        <v>68172</v>
      </c>
      <c r="D342" s="1688">
        <f>SUM(D330)</f>
        <v>863</v>
      </c>
      <c r="E342" s="1688">
        <f>SUM(E330)</f>
        <v>35264</v>
      </c>
      <c r="F342" s="1688">
        <f>SUM(F330)</f>
        <v>0</v>
      </c>
      <c r="G342" s="1688">
        <f>SUM(G330)</f>
        <v>0</v>
      </c>
      <c r="H342" s="1688">
        <f>SUM(H330,H334,H340)</f>
        <v>0</v>
      </c>
      <c r="I342" s="1688">
        <f>SUM(I330)</f>
        <v>0</v>
      </c>
      <c r="J342" s="1688">
        <f>SUM(J330)</f>
        <v>0</v>
      </c>
      <c r="K342" s="1688">
        <f>SUM(K330,K334,K340)</f>
        <v>104299</v>
      </c>
      <c r="L342" s="1695">
        <f>SUM(L330,L340,L341)</f>
        <v>107986</v>
      </c>
    </row>
    <row r="343" spans="1:14" ht="12.75" customHeight="1" thickTop="1" x14ac:dyDescent="0.2">
      <c r="A343" s="2182" t="s">
        <v>1053</v>
      </c>
      <c r="B343" s="2183"/>
      <c r="C343" s="617"/>
      <c r="D343" s="617"/>
      <c r="E343" s="617"/>
      <c r="F343" s="617"/>
      <c r="G343" s="617"/>
      <c r="H343" s="617"/>
      <c r="I343" s="617"/>
      <c r="J343" s="617"/>
      <c r="K343" s="1702">
        <f>'Revenues 9-14'!J275-'Expenditures 15-22'!K342</f>
        <v>-6060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2" t="s">
        <v>1023</v>
      </c>
      <c r="B345" s="2173"/>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0</v>
      </c>
      <c r="H348" s="466">
        <v>0</v>
      </c>
      <c r="I348" s="467">
        <v>0</v>
      </c>
      <c r="J348" s="467">
        <v>0</v>
      </c>
      <c r="K348" s="1689">
        <f>SUM(C348:J348)</f>
        <v>0</v>
      </c>
      <c r="L348" s="466">
        <v>0</v>
      </c>
    </row>
    <row r="349" spans="1:14" x14ac:dyDescent="0.2">
      <c r="A349" s="1525" t="s">
        <v>206</v>
      </c>
      <c r="B349" s="615">
        <v>2540</v>
      </c>
      <c r="C349" s="466">
        <v>0</v>
      </c>
      <c r="D349" s="466">
        <v>0</v>
      </c>
      <c r="E349" s="466">
        <v>0</v>
      </c>
      <c r="F349" s="466">
        <v>27673</v>
      </c>
      <c r="G349" s="466">
        <v>0</v>
      </c>
      <c r="H349" s="466">
        <v>0</v>
      </c>
      <c r="I349" s="467">
        <v>0</v>
      </c>
      <c r="J349" s="467">
        <v>0</v>
      </c>
      <c r="K349" s="1689">
        <f>SUM(C349:J349)</f>
        <v>27673</v>
      </c>
      <c r="L349" s="466">
        <v>28000</v>
      </c>
    </row>
    <row r="350" spans="1:14" ht="12.75" customHeight="1" thickBot="1" x14ac:dyDescent="0.25">
      <c r="A350" s="1686" t="s">
        <v>743</v>
      </c>
      <c r="B350" s="1687" t="s">
        <v>35</v>
      </c>
      <c r="C350" s="1688">
        <f>SUM(C348:C349)</f>
        <v>0</v>
      </c>
      <c r="D350" s="1688">
        <f t="shared" ref="D350:L350" si="26">SUM(D348:D349)</f>
        <v>0</v>
      </c>
      <c r="E350" s="1688">
        <f t="shared" si="26"/>
        <v>0</v>
      </c>
      <c r="F350" s="1688">
        <f t="shared" si="26"/>
        <v>27673</v>
      </c>
      <c r="G350" s="1688">
        <f t="shared" si="26"/>
        <v>0</v>
      </c>
      <c r="H350" s="1688">
        <f t="shared" si="26"/>
        <v>0</v>
      </c>
      <c r="I350" s="1688">
        <f t="shared" si="26"/>
        <v>0</v>
      </c>
      <c r="J350" s="1688">
        <f t="shared" si="26"/>
        <v>0</v>
      </c>
      <c r="K350" s="1688">
        <f t="shared" si="26"/>
        <v>27673</v>
      </c>
      <c r="L350" s="1688">
        <f t="shared" si="26"/>
        <v>28000</v>
      </c>
    </row>
    <row r="351" spans="1:14" ht="12.75" customHeight="1" thickTop="1" x14ac:dyDescent="0.2">
      <c r="A351" s="1531"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27673</v>
      </c>
      <c r="G352" s="1688">
        <f t="shared" si="27"/>
        <v>0</v>
      </c>
      <c r="H352" s="1688">
        <f t="shared" si="27"/>
        <v>0</v>
      </c>
      <c r="I352" s="1688">
        <f t="shared" si="27"/>
        <v>0</v>
      </c>
      <c r="J352" s="1688">
        <f t="shared" si="27"/>
        <v>0</v>
      </c>
      <c r="K352" s="1688">
        <f t="shared" si="27"/>
        <v>27673</v>
      </c>
      <c r="L352" s="1688">
        <f t="shared" si="27"/>
        <v>28000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3" t="s">
        <v>1961</v>
      </c>
      <c r="B354" s="684" t="s">
        <v>1953</v>
      </c>
      <c r="C354" s="617"/>
      <c r="D354" s="617"/>
      <c r="E354" s="617"/>
      <c r="F354" s="617"/>
      <c r="G354" s="617"/>
      <c r="H354" s="474">
        <v>0</v>
      </c>
      <c r="I354" s="702"/>
      <c r="J354" s="617"/>
      <c r="K354" s="1717">
        <f>H354</f>
        <v>0</v>
      </c>
      <c r="L354" s="471">
        <v>0</v>
      </c>
    </row>
    <row r="355" spans="1:14" ht="12.75" customHeight="1" x14ac:dyDescent="0.2">
      <c r="A355" s="1534" t="s">
        <v>1962</v>
      </c>
      <c r="B355" s="691" t="s">
        <v>1955</v>
      </c>
      <c r="C355" s="617"/>
      <c r="D355" s="617"/>
      <c r="E355" s="617"/>
      <c r="F355" s="617"/>
      <c r="G355" s="617"/>
      <c r="H355" s="467">
        <v>0</v>
      </c>
      <c r="I355" s="702"/>
      <c r="J355" s="617"/>
      <c r="K355" s="1761">
        <f>H355</f>
        <v>0</v>
      </c>
      <c r="L355" s="467">
        <v>0</v>
      </c>
    </row>
    <row r="356" spans="1:14" ht="12.75" customHeight="1" x14ac:dyDescent="0.2">
      <c r="A356" s="1853" t="s">
        <v>722</v>
      </c>
      <c r="B356" s="684" t="s">
        <v>579</v>
      </c>
      <c r="C356" s="617"/>
      <c r="D356" s="617"/>
      <c r="E356" s="617"/>
      <c r="F356" s="617"/>
      <c r="G356" s="617"/>
      <c r="H356" s="479">
        <v>0</v>
      </c>
      <c r="I356" s="702"/>
      <c r="J356" s="617"/>
      <c r="K356" s="1758">
        <f>H356</f>
        <v>0</v>
      </c>
      <c r="L356" s="479">
        <v>0</v>
      </c>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89">
        <f>SUM(C360:J360)</f>
        <v>0</v>
      </c>
      <c r="L360" s="466">
        <v>0</v>
      </c>
    </row>
    <row r="361" spans="1:14" ht="12.75" customHeight="1" x14ac:dyDescent="0.2">
      <c r="A361" s="1526" t="s">
        <v>640</v>
      </c>
      <c r="B361" s="603" t="s">
        <v>639</v>
      </c>
      <c r="C361" s="617"/>
      <c r="D361" s="617"/>
      <c r="E361" s="617"/>
      <c r="F361" s="617"/>
      <c r="G361" s="617"/>
      <c r="H361" s="467">
        <v>0</v>
      </c>
      <c r="I361" s="617"/>
      <c r="J361" s="617"/>
      <c r="K361" s="1689">
        <f>SUM(C361:J361)</f>
        <v>0</v>
      </c>
      <c r="L361" s="466">
        <v>0</v>
      </c>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v>0</v>
      </c>
      <c r="I363" s="639"/>
      <c r="J363" s="639"/>
      <c r="K363" s="1717">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9">
        <f>SUM(C364:J364)</f>
        <v>0</v>
      </c>
      <c r="L364" s="708">
        <v>0</v>
      </c>
    </row>
    <row r="365" spans="1:14" s="675" customFormat="1" ht="12.75" customHeight="1" thickBot="1" x14ac:dyDescent="0.25">
      <c r="A365" s="1542"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27673</v>
      </c>
      <c r="G367" s="1688">
        <f t="shared" si="28"/>
        <v>0</v>
      </c>
      <c r="H367" s="1688">
        <f t="shared" si="28"/>
        <v>0</v>
      </c>
      <c r="I367" s="1688">
        <f t="shared" si="28"/>
        <v>0</v>
      </c>
      <c r="J367" s="1688">
        <f t="shared" si="28"/>
        <v>0</v>
      </c>
      <c r="K367" s="1688">
        <f t="shared" si="28"/>
        <v>27673</v>
      </c>
      <c r="L367" s="1688">
        <f t="shared" si="28"/>
        <v>28000</v>
      </c>
    </row>
    <row r="368" spans="1:14" ht="13.5" thickTop="1" x14ac:dyDescent="0.2">
      <c r="A368" s="2196" t="s">
        <v>1053</v>
      </c>
      <c r="B368" s="2197"/>
      <c r="C368" s="655"/>
      <c r="D368" s="655"/>
      <c r="E368" s="627"/>
      <c r="F368" s="627"/>
      <c r="G368" s="627"/>
      <c r="H368" s="627"/>
      <c r="I368" s="627"/>
      <c r="J368" s="624"/>
      <c r="K368" s="1689">
        <f>'Revenues 9-14'!K275-'Expenditures 15-22'!K367</f>
        <v>-15239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1" right="0.1" top="1.5" bottom="1.5" header="0.1" footer="0.1"/>
  <pageSetup scale="59" firstPageNumber="15" fitToHeight="8" orientation="landscape" useFirstPageNumber="1" r:id="rId1"/>
  <headerFooter alignWithMargins="0">
    <oddHeader>&amp;L&amp;"Calibri,Regular"&amp;8Page &amp;P&amp;C&amp;"Calibri,Bold"&amp;9STATEMENT OF EXPENDITURES DISBURSED/EXPENDITURES, BUDGET TO ACTUAL
FOR THE YEAR ENDING JUNE 30, 2018&amp;R&amp;"Calibri,Regular"&amp;8Page &amp;P</oddHeader>
    <oddFooter>&amp;L&amp;"Calibri,Regular"&amp;8Print Date: &amp;D
&amp;F&amp;C&amp;"Calibri,Regular"&amp;8The Notes to the Basic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purl.org/dc/elements/1.1/"/>
    <ds:schemaRef ds:uri="http://www.w3.org/XML/1998/namespace"/>
    <ds:schemaRef ds:uri="http://schemas.microsoft.com/office/2006/documentManagement/types"/>
    <ds:schemaRef ds:uri="4d435f69-8686-490b-bd6d-b153bf22ab50"/>
    <ds:schemaRef ds:uri="http://schemas.openxmlformats.org/package/2006/metadata/core-properties"/>
    <ds:schemaRef ds:uri="http://schemas.microsoft.com/office/infopath/2007/PartnerControls"/>
    <ds:schemaRef ds:uri="d21dc803-237d-4c68-8692-8d731fd29118"/>
    <ds:schemaRef ds:uri="http://schemas.microsoft.com/sharepoint/v3"/>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SF&amp;QC Sec-1 37</vt:lpstr>
      <vt:lpstr>SF&amp;QC Sec-2 38</vt:lpstr>
      <vt:lpstr>SF&amp;QC Sec-2 (2) 39</vt:lpstr>
      <vt:lpstr>SSPAF 40</vt:lpstr>
      <vt:lpstr>AUDITCHECK</vt:lpstr>
      <vt:lpstr>Single Audit Cover</vt:lpstr>
      <vt:lpstr>Single Audit Checklist</vt:lpstr>
      <vt:lpstr>SEFA Reconcile</vt:lpstr>
      <vt:lpstr>SEFA NOTES</vt:lpstr>
      <vt:lpstr> SEFA</vt:lpstr>
      <vt:lpstr>SF&amp;QC Sec-3</vt:lpstr>
      <vt:lpstr>' SEFA'!Print_Area</vt:lpstr>
      <vt:lpstr>'SEFA NOTES'!Print_Area</vt:lpstr>
      <vt:lpstr>'SEFA Reconcile'!Print_Area</vt:lpstr>
      <vt:lpstr>'SF&amp;QC Sec-1 37'!Print_Area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2018-08-28T20:07:18Z</cp:lastPrinted>
  <dcterms:created xsi:type="dcterms:W3CDTF">2003-10-29T19:06:34Z</dcterms:created>
  <dcterms:modified xsi:type="dcterms:W3CDTF">2018-09-18T16:59:16Z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