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29" l="1"/>
  <c r="C182" i="29"/>
  <c r="C5" i="29"/>
  <c r="E182" i="29"/>
  <c r="C124" i="29"/>
  <c r="D264" i="29" l="1"/>
  <c r="D55" i="29"/>
  <c r="D63" i="29"/>
  <c r="D8" i="29"/>
  <c r="D60" i="29"/>
  <c r="C25" i="3"/>
  <c r="G7" i="3"/>
  <c r="I65" i="5" l="1"/>
  <c r="I4" i="3"/>
  <c r="E124" i="29" l="1"/>
  <c r="E49" i="29"/>
  <c r="E319" i="29"/>
  <c r="D124" i="29"/>
  <c r="C69" i="4" l="1"/>
  <c r="C65" i="4"/>
  <c r="C60" i="29" l="1"/>
  <c r="I13" i="11" l="1"/>
  <c r="E349" i="29"/>
  <c r="G124" i="29"/>
  <c r="F124" i="29"/>
  <c r="G5" i="29"/>
  <c r="F5" i="29"/>
  <c r="H169" i="29" l="1"/>
  <c r="H170" i="29"/>
  <c r="E8" i="108" l="1"/>
  <c r="H5" i="12"/>
  <c r="I5" i="5" l="1"/>
  <c r="C4" i="3"/>
  <c r="K4" i="3"/>
  <c r="J4" i="3"/>
  <c r="G4" i="3"/>
  <c r="F4" i="3"/>
  <c r="E4" i="3"/>
  <c r="D4" i="3"/>
  <c r="F49" i="29" l="1"/>
  <c r="D5" i="29"/>
  <c r="E9" i="108"/>
  <c r="C63" i="29" l="1"/>
  <c r="E10" i="108" s="1"/>
  <c r="D50"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B7734" i="106"/>
  <c r="D7734" i="106" s="1"/>
  <c r="B7726" i="106"/>
  <c r="F162" i="34"/>
  <c r="B30" i="36"/>
  <c r="B33" i="36" s="1"/>
  <c r="B43" i="36" s="1"/>
  <c r="B56" i="36" s="1"/>
  <c r="B66" i="36" s="1"/>
  <c r="B70" i="36" s="1"/>
  <c r="B74" i="36" s="1"/>
  <c r="D73" i="36"/>
  <c r="C191" i="5"/>
  <c r="C201" i="5"/>
  <c r="B5246" i="106" s="1"/>
  <c r="D5246" i="106" s="1"/>
  <c r="C211" i="5"/>
  <c r="B5260" i="106" s="1"/>
  <c r="D5260" i="106" s="1"/>
  <c r="C216" i="5"/>
  <c r="B4411" i="106" s="1"/>
  <c r="D4411" i="106" s="1"/>
  <c r="C224" i="5"/>
  <c r="C228" i="5"/>
  <c r="C259" i="5"/>
  <c r="B7761" i="106"/>
  <c r="L127" i="29"/>
  <c r="L129" i="29" s="1"/>
  <c r="L139" i="29"/>
  <c r="L149" i="29"/>
  <c r="I7" i="145"/>
  <c r="I6" i="145"/>
  <c r="D78" i="36"/>
  <c r="K75" i="29"/>
  <c r="K130" i="29"/>
  <c r="B2805" i="106" s="1"/>
  <c r="D2805" i="106" s="1"/>
  <c r="K185" i="29"/>
  <c r="K122" i="29"/>
  <c r="F15" i="145" s="1"/>
  <c r="F19" i="145" s="1"/>
  <c r="K67" i="29"/>
  <c r="K64" i="29"/>
  <c r="D31" i="108" s="1"/>
  <c r="K59" i="29"/>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K63" i="29"/>
  <c r="B1130" i="106" s="1"/>
  <c r="D1130" i="106" s="1"/>
  <c r="D1132" i="106"/>
  <c r="K68" i="29"/>
  <c r="K69" i="29"/>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s="1"/>
  <c r="B6334" i="106"/>
  <c r="D6334" i="106"/>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J352" i="29" s="1"/>
  <c r="J367" i="29" s="1"/>
  <c r="B7245" i="106" s="1"/>
  <c r="D7245" i="106" s="1"/>
  <c r="B7231" i="106"/>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E27" i="108"/>
  <c r="G27" i="108"/>
  <c r="F36" i="108"/>
  <c r="F37" i="108"/>
  <c r="G28" i="108"/>
  <c r="D36"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D14" i="4"/>
  <c r="B2570" i="106" s="1"/>
  <c r="D2570" i="106" s="1"/>
  <c r="F14" i="4"/>
  <c r="B2597" i="106" s="1"/>
  <c r="D2597" i="106" s="1"/>
  <c r="B2633" i="106"/>
  <c r="D2633" i="106" s="1"/>
  <c r="D7" i="118"/>
  <c r="D8" i="118"/>
  <c r="D9" i="118"/>
  <c r="H14" i="118"/>
  <c r="H19" i="118"/>
  <c r="H24" i="118"/>
  <c r="L5" i="11"/>
  <c r="B2056" i="106" s="1"/>
  <c r="D2056" i="106" s="1"/>
  <c r="D5" i="7"/>
  <c r="B1761" i="106" s="1"/>
  <c r="D1761" i="106" s="1"/>
  <c r="D13" i="7"/>
  <c r="B3726" i="106" s="1"/>
  <c r="D3726" i="106" s="1"/>
  <c r="D17" i="7"/>
  <c r="B4104" i="106" s="1"/>
  <c r="D4104" i="106" s="1"/>
  <c r="F71" i="34" l="1"/>
  <c r="F31" i="108"/>
  <c r="L22" i="37"/>
  <c r="B7727" i="106"/>
  <c r="D7727" i="106" s="1"/>
  <c r="F45" i="34"/>
  <c r="J22" i="37"/>
  <c r="F42" i="34"/>
  <c r="B7078" i="106"/>
  <c r="D7078" i="106" s="1"/>
  <c r="D12" i="7"/>
  <c r="B1769" i="106" s="1"/>
  <c r="D1769" i="106" s="1"/>
  <c r="D11" i="37"/>
  <c r="F28" i="108"/>
  <c r="D37" i="108"/>
  <c r="D41" i="108" s="1"/>
  <c r="E43" i="108" s="1"/>
  <c r="E28" i="108"/>
  <c r="H33" i="118"/>
  <c r="N22" i="3"/>
  <c r="B283" i="106" s="1"/>
  <c r="D283" i="106" s="1"/>
  <c r="B1274" i="106"/>
  <c r="D1274" i="106" s="1"/>
  <c r="B5847" i="106"/>
  <c r="D5847" i="106" s="1"/>
  <c r="H28" i="118"/>
  <c r="F34" i="34"/>
  <c r="G26" i="108"/>
  <c r="D54" i="36"/>
  <c r="H112" i="29"/>
  <c r="B7018" i="106" s="1"/>
  <c r="D7018" i="106" s="1"/>
  <c r="H173" i="5"/>
  <c r="B5906" i="106" s="1"/>
  <c r="D5906" i="106" s="1"/>
  <c r="K274" i="5"/>
  <c r="K7" i="4" s="1"/>
  <c r="B3718" i="106" s="1"/>
  <c r="D3718" i="106" s="1"/>
  <c r="F127" i="34"/>
  <c r="B4373" i="106"/>
  <c r="D4373" i="106" s="1"/>
  <c r="D15" i="7"/>
  <c r="B1772" i="106" s="1"/>
  <c r="D1772" i="106" s="1"/>
  <c r="J129" i="29"/>
  <c r="B7038" i="106" s="1"/>
  <c r="D7038" i="106" s="1"/>
  <c r="I129" i="29"/>
  <c r="B7037" i="106" s="1"/>
  <c r="D7037" i="106" s="1"/>
  <c r="F130" i="34"/>
  <c r="B7235" i="106"/>
  <c r="D7235" i="106" s="1"/>
  <c r="H29" i="118"/>
  <c r="K28" i="118" s="1"/>
  <c r="O27" i="118" s="1"/>
  <c r="O29" i="118" s="1"/>
  <c r="D31" i="36"/>
  <c r="F19" i="7"/>
  <c r="B1807" i="106" s="1"/>
  <c r="D1807" i="106" s="1"/>
  <c r="L342" i="29"/>
  <c r="K350" i="29"/>
  <c r="B3670" i="106" s="1"/>
  <c r="D3670" i="106" s="1"/>
  <c r="G30" i="108"/>
  <c r="E30" i="108"/>
  <c r="F27" i="108"/>
  <c r="F41" i="108" s="1"/>
  <c r="G43" i="108" s="1"/>
  <c r="D11" i="7"/>
  <c r="B1768" i="106" s="1"/>
  <c r="D1768" i="106" s="1"/>
  <c r="D109" i="5"/>
  <c r="B5356" i="106" s="1"/>
  <c r="D5356" i="106" s="1"/>
  <c r="B1380" i="106"/>
  <c r="D1380" i="106" s="1"/>
  <c r="E38" i="108"/>
  <c r="K184" i="29"/>
  <c r="F13" i="4" s="1"/>
  <c r="B2596" i="106" s="1"/>
  <c r="D2596" i="106" s="1"/>
  <c r="G38" i="108"/>
  <c r="B1746" i="106"/>
  <c r="D1746" i="106" s="1"/>
  <c r="E109" i="5"/>
  <c r="E4" i="4" s="1"/>
  <c r="B2630" i="106" s="1"/>
  <c r="D2630" i="106" s="1"/>
  <c r="B5730" i="106"/>
  <c r="D5730" i="106" s="1"/>
  <c r="G109" i="5"/>
  <c r="B6024" i="106" s="1"/>
  <c r="D6024" i="106" s="1"/>
  <c r="B1470" i="106"/>
  <c r="D1470" i="106" s="1"/>
  <c r="F70" i="34"/>
  <c r="E15" i="145"/>
  <c r="G15" i="145" s="1"/>
  <c r="B1126" i="106"/>
  <c r="D1126" i="106" s="1"/>
  <c r="F26" i="108"/>
  <c r="B2836" i="106"/>
  <c r="D2836" i="106" s="1"/>
  <c r="F62" i="34"/>
  <c r="G39" i="108"/>
  <c r="H149" i="29"/>
  <c r="B1272" i="106" s="1"/>
  <c r="D1272" i="106" s="1"/>
  <c r="B7047" i="106"/>
  <c r="D7047" i="106" s="1"/>
  <c r="D5" i="4"/>
  <c r="B3406" i="106" s="1"/>
  <c r="D3406" i="106" s="1"/>
  <c r="B1940" i="106"/>
  <c r="D1940" i="106" s="1"/>
  <c r="D68" i="36"/>
  <c r="B1511" i="106"/>
  <c r="D1511" i="106" s="1"/>
  <c r="G14" i="4"/>
  <c r="B2609" i="106" s="1"/>
  <c r="D2609" i="106" s="1"/>
  <c r="B1223" i="106"/>
  <c r="D1223" i="106" s="1"/>
  <c r="C129" i="29"/>
  <c r="B1225" i="106" s="1"/>
  <c r="D1225" i="106" s="1"/>
  <c r="B1136" i="106"/>
  <c r="D1136" i="106" s="1"/>
  <c r="E35" i="108"/>
  <c r="B1129" i="106"/>
  <c r="D1129" i="106" s="1"/>
  <c r="E29" i="108"/>
  <c r="G29" i="108"/>
  <c r="D22" i="37"/>
  <c r="F106" i="34"/>
  <c r="B5161" i="106"/>
  <c r="D5161" i="106" s="1"/>
  <c r="F172" i="5"/>
  <c r="B5644" i="106" s="1"/>
  <c r="D5644" i="106" s="1"/>
  <c r="B1747" i="106"/>
  <c r="D1747" i="106" s="1"/>
  <c r="D7" i="7"/>
  <c r="B1763" i="106" s="1"/>
  <c r="D1763" i="106" s="1"/>
  <c r="K26" i="12"/>
  <c r="B7743" i="106" s="1"/>
  <c r="D7743" i="106" s="1"/>
  <c r="B3647" i="106"/>
  <c r="D3647" i="106" s="1"/>
  <c r="G352" i="29"/>
  <c r="B3649" i="106" s="1"/>
  <c r="D3649" i="106" s="1"/>
  <c r="K285" i="29"/>
  <c r="D9" i="7"/>
  <c r="B1767" i="106" s="1"/>
  <c r="D1767" i="106" s="1"/>
  <c r="F128" i="34"/>
  <c r="L312" i="29"/>
  <c r="F49" i="34"/>
  <c r="I210" i="29"/>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H44" i="4"/>
  <c r="B3296" i="106" s="1"/>
  <c r="D3296" i="106" s="1"/>
  <c r="B6289" i="106"/>
  <c r="D6289" i="106" s="1"/>
  <c r="H109" i="5"/>
  <c r="F111" i="34"/>
  <c r="F131" i="34"/>
  <c r="D24" i="37"/>
  <c r="B4270" i="106" s="1"/>
  <c r="D4270" i="106" s="1"/>
  <c r="G5" i="4"/>
  <c r="B3409" i="106" s="1"/>
  <c r="D3409" i="106" s="1"/>
  <c r="F36" i="34"/>
  <c r="D69" i="36"/>
  <c r="I342" i="29"/>
  <c r="B7222" i="106" s="1"/>
  <c r="D7222" i="106" s="1"/>
  <c r="J210" i="29"/>
  <c r="B7072" i="106" s="1"/>
  <c r="D7072"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B6022" i="106" l="1"/>
  <c r="D6022" i="106" s="1"/>
  <c r="H6" i="4"/>
  <c r="B2656" i="106" s="1"/>
  <c r="D2656" i="106" s="1"/>
  <c r="K365" i="29"/>
  <c r="K16" i="4" s="1"/>
  <c r="N23" i="3"/>
  <c r="B284" i="106" s="1"/>
  <c r="D284" i="106" s="1"/>
  <c r="K352" i="29"/>
  <c r="K13" i="4" s="1"/>
  <c r="B3572" i="106" s="1"/>
  <c r="D3572" i="106" s="1"/>
  <c r="I151" i="29"/>
  <c r="F59" i="34" s="1"/>
  <c r="H77" i="4"/>
  <c r="B3299" i="106" s="1"/>
  <c r="D3299" i="106" s="1"/>
  <c r="K77" i="4"/>
  <c r="B3587" i="106" s="1"/>
  <c r="D3587" i="106" s="1"/>
  <c r="B6014" i="106"/>
  <c r="D6014" i="106" s="1"/>
  <c r="D7251" i="106"/>
  <c r="D7252" i="106"/>
  <c r="K342" i="29"/>
  <c r="F13" i="34" s="1"/>
  <c r="D7254" i="106"/>
  <c r="G367" i="29"/>
  <c r="B3650" i="106" s="1"/>
  <c r="D3650" i="106" s="1"/>
  <c r="H151" i="29"/>
  <c r="B1273" i="106" s="1"/>
  <c r="D1273" i="106" s="1"/>
  <c r="D7255" i="106"/>
  <c r="D7256" i="106"/>
  <c r="D7253" i="106"/>
  <c r="D7250" i="106"/>
  <c r="K367" i="29"/>
  <c r="B1381" i="106"/>
  <c r="D1381" i="106" s="1"/>
  <c r="C151" i="29"/>
  <c r="B1226" i="106" s="1"/>
  <c r="D1226" i="106" s="1"/>
  <c r="C114" i="29"/>
  <c r="B757" i="106" s="1"/>
  <c r="D757" i="106" s="1"/>
  <c r="B5527" i="106"/>
  <c r="D5527" i="106" s="1"/>
  <c r="C4" i="4"/>
  <c r="B2551" i="106" s="1"/>
  <c r="D2551" i="106" s="1"/>
  <c r="D4" i="4"/>
  <c r="B2564" i="106" s="1"/>
  <c r="D2564" i="106" s="1"/>
  <c r="L114" i="29"/>
  <c r="G4" i="4"/>
  <c r="B2603" i="106" s="1"/>
  <c r="D2603" i="106" s="1"/>
  <c r="B7071" i="106"/>
  <c r="D7071" i="106" s="1"/>
  <c r="F66" i="34"/>
  <c r="F73" i="34"/>
  <c r="G15" i="4"/>
  <c r="B6032" i="106" s="1"/>
  <c r="D6032" i="106" s="1"/>
  <c r="B1317" i="106"/>
  <c r="D1317" i="106" s="1"/>
  <c r="B5914" i="106"/>
  <c r="D5914" i="106" s="1"/>
  <c r="F274" i="5"/>
  <c r="B5719" i="106" s="1"/>
  <c r="D5719" i="106" s="1"/>
  <c r="F173" i="5"/>
  <c r="B1879" i="106"/>
  <c r="D1879" i="106" s="1"/>
  <c r="H22" i="37"/>
  <c r="D274" i="5"/>
  <c r="D7" i="4" s="1"/>
  <c r="B3628" i="106"/>
  <c r="D3628" i="106" s="1"/>
  <c r="I6" i="4"/>
  <c r="B5011" i="106" s="1"/>
  <c r="D5011" i="106" s="1"/>
  <c r="B1365" i="106"/>
  <c r="D1365" i="106" s="1"/>
  <c r="F65" i="34"/>
  <c r="B1996" i="106"/>
  <c r="D1996" i="106" s="1"/>
  <c r="I26" i="12"/>
  <c r="B7741" i="106" s="1"/>
  <c r="D7741" i="106" s="1"/>
  <c r="B3621" i="106"/>
  <c r="D3621" i="106" s="1"/>
  <c r="C367" i="29"/>
  <c r="B3622" i="106" s="1"/>
  <c r="D3622" i="106" s="1"/>
  <c r="G173" i="5"/>
  <c r="B5770" i="106"/>
  <c r="D5770" i="106" s="1"/>
  <c r="B6025" i="106"/>
  <c r="D6025" i="106" s="1"/>
  <c r="H4" i="4"/>
  <c r="D19" i="7"/>
  <c r="B1775" i="106" s="1"/>
  <c r="D1775" i="106" s="1"/>
  <c r="H275" i="5"/>
  <c r="B5915" i="106" s="1"/>
  <c r="D5915" i="106" s="1"/>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1145" i="106" l="1"/>
  <c r="D1145" i="106" s="1"/>
  <c r="B5507" i="106"/>
  <c r="D5507" i="106" s="1"/>
  <c r="B7243" i="106"/>
  <c r="D7243" i="106" s="1"/>
  <c r="B3672" i="106"/>
  <c r="D3672" i="106" s="1"/>
  <c r="B7051" i="106"/>
  <c r="D7051" i="106" s="1"/>
  <c r="B7224" i="106"/>
  <c r="D7224" i="106" s="1"/>
  <c r="F7" i="4"/>
  <c r="B2594" i="106" s="1"/>
  <c r="D2594" i="106" s="1"/>
  <c r="J17" i="4"/>
  <c r="J19" i="4" s="1"/>
  <c r="B6229" i="106" s="1"/>
  <c r="D6229" i="106" s="1"/>
  <c r="G41" i="108"/>
  <c r="G44" i="108" s="1"/>
  <c r="G45" i="108" s="1"/>
  <c r="F24" i="37"/>
  <c r="B5653" i="106"/>
  <c r="D5653" i="106" s="1"/>
  <c r="F6" i="4"/>
  <c r="B2593" i="106" s="1"/>
  <c r="D2593" i="106" s="1"/>
  <c r="J8" i="4"/>
  <c r="F275" i="5"/>
  <c r="B5720" i="106" s="1"/>
  <c r="D5720" i="106" s="1"/>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J20" i="4" l="1"/>
  <c r="J78" i="4" s="1"/>
  <c r="F8" i="4"/>
  <c r="D8" i="146" s="1"/>
  <c r="B6223" i="106"/>
  <c r="D6223"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0" i="4" l="1"/>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F179" i="34" l="1"/>
  <c r="F79" i="34"/>
  <c r="B6214" i="106"/>
  <c r="D6214" i="106" s="1"/>
  <c r="J41" i="3"/>
  <c r="B3588" i="106"/>
  <c r="D3588" i="106" s="1"/>
  <c r="K81" i="4"/>
  <c r="K38"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123" i="106"/>
  <c r="D123" i="106" s="1"/>
  <c r="D41" i="3"/>
  <c r="B2912" i="106"/>
  <c r="D2912" i="106" s="1"/>
  <c r="I41" i="3"/>
  <c r="B3566" i="106"/>
  <c r="D3566" i="106" s="1"/>
  <c r="K41" i="3"/>
  <c r="D51" i="36"/>
  <c r="B6216" i="106"/>
  <c r="D6216" i="106" s="1"/>
  <c r="B3278" i="106"/>
  <c r="D3278" i="106" s="1"/>
  <c r="E81" i="4"/>
  <c r="E38" i="3" s="1"/>
  <c r="B3233" i="106"/>
  <c r="D3233" i="106" s="1"/>
  <c r="C81" i="4"/>
  <c r="C39" i="3" s="1"/>
  <c r="D76" i="36"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5" i="106" l="1"/>
  <c r="D2475" i="106" s="1"/>
  <c r="F41" i="3"/>
  <c r="B124" i="106"/>
  <c r="D124" i="106" s="1"/>
  <c r="D45" i="36"/>
  <c r="D49" i="36"/>
  <c r="B213" i="106"/>
  <c r="D213" i="106" s="1"/>
  <c r="B2477" i="106"/>
  <c r="D2477" i="106" s="1"/>
  <c r="G41" i="3"/>
  <c r="D75" i="36"/>
  <c r="B2504" i="106"/>
  <c r="D2504" i="106" s="1"/>
  <c r="E41" i="3"/>
  <c r="B92" i="106"/>
  <c r="D92" i="106" s="1"/>
  <c r="C41" i="3"/>
  <c r="B2913" i="106"/>
  <c r="D2913" i="106" s="1"/>
  <c r="D50" i="36"/>
  <c r="B3568" i="106"/>
  <c r="D3568" i="106" s="1"/>
  <c r="D52" i="36"/>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<sst xmlns="http://schemas.openxmlformats.org/spreadsheetml/2006/main" count="5037" uniqueCount="2106">
  <si>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</si>
  <si>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</si>
  <si>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</si>
  <si>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</si>
  <si>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</si>
  <si>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</si>
  <si>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</si>
  <si>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</si>
  <si>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</si>
  <si>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</si>
  <si>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</si>
  <si>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</si>
  <si>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</si>
  <si>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</si>
  <si>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</si>
  <si>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</si>
  <si>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</si>
  <si>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</si>
  <si>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</si>
  <si>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</si>
  <si>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</si>
  <si>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</si>
  <si>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</si>
  <si>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</si>
  <si>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</si>
  <si>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</si>
  <si>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</si>
  <si>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</si>
  <si>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</si>
  <si>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</si>
  <si>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</si>
  <si>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</si>
  <si>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</si>
  <si>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</si>
  <si>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</si>
  <si>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</si>
  <si>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</si>
  <si>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</si>
  <si>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</si>
  <si>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</si>
  <si>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</si>
  <si>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</si>
  <si>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</si>
  <si>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</si>
  <si>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</si>
  <si>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</si>
  <si>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</si>
  <si>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</si>
  <si>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</si>
  <si>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</si>
  <si>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</si>
  <si>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</si>
  <si>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</si>
  <si>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</si>
  <si>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</si>
  <si>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</si>
  <si>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</si>
  <si>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</si>
  <si>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</si>
  <si>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</si>
  <si>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</si>
  <si>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</si>
  <si>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</si>
  <si>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</si>
  <si>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</si>
  <si>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</si>
  <si>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</si>
  <si>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</si>
  <si>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</si>
  <si>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</si>
  <si>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</si>
  <si>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</si>
  <si>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</si>
  <si>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</si>
  <si>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</si>
  <si>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</si>
  <si>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</si>
  <si>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</si>
  <si>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</si>
  <si>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</si>
  <si>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</si>
  <si>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</si>
  <si>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</si>
  <si>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</si>
  <si>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</si>
  <si>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</si>
  <si>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</si>
  <si>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</si>
  <si>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</si>
  <si>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</si>
  <si>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</si>
  <si>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</si>
  <si>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</si>
  <si>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</si>
  <si>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</si>
  <si>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</si>
  <si>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</si>
  <si>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</si>
  <si>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</si>
  <si>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</si>
  <si>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</si>
  <si>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</si>
  <si>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</si>
  <si>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</si>
  <si>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</si>
  <si>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</si>
  <si>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</si>
  <si>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</si>
  <si>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</si>
  <si>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</si>
  <si>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</si>
  <si>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</si>
  <si>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</si>
  <si>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</si>
  <si>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</si>
  <si>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</si>
  <si>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</si>
  <si>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</si>
  <si>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</si>
  <si>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</si>
  <si>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</si>
  <si>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</si>
  <si>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</si>
  <si>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</si>
  <si>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</si>
  <si>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</si>
  <si>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</si>
  <si>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</si>
  <si>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</si>
  <si>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</si>
  <si>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</si>
  <si>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</si>
  <si>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</si>
  <si>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</si>
  <si>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</si>
  <si>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</si>
  <si>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</si>
  <si>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</si>
  <si>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</si>
  <si>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</si>
  <si>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</si>
  <si>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</si>
  <si>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</si>
  <si>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</si>
  <si>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</si>
  <si>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</si>
  <si>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</si>
  <si>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</si>
  <si>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</si>
  <si>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</si>
  <si>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</si>
  <si>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</si>
  <si>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</si>
  <si>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</si>
  <si>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</si>
  <si>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</si>
  <si>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</si>
  <si>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</si>
  <si>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</si>
  <si>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</si>
  <si>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</si>
  <si>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</si>
  <si>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</si>
  <si>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</si>
  <si>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</si>
  <si>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</si>
  <si>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</si>
  <si>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</si>
  <si>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</si>
  <si>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</si>
  <si>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</si>
  <si>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</si>
  <si>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</si>
  <si>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</si>
  <si>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</si>
  <si>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</si>
  <si>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</si>
  <si>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</si>
  <si>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</si>
  <si>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</si>
  <si>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</si>
  <si>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</si>
  <si>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</si>
  <si>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</si>
  <si>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</si>
  <si>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</si>
  <si>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</si>
  <si>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</si>
  <si>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</si>
  <si>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</si>
  <si>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</si>
  <si>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</si>
  <si>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</si>
  <si>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</si>
  <si>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</si>
  <si>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</si>
  <si>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</si>
  <si>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</si>
  <si>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</si>
  <si>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</si>
  <si>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</si>
  <si>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</si>
  <si>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</si>
  <si>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</si>
  <si>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</si>
  <si>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</si>
  <si>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</si>
  <si>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</si>
  <si>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</si>
  <si>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</si>
  <si>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</si>
  <si>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</si>
  <si>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</si>
  <si>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</si>
  <si>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</si>
  <si>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</si>
  <si>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</si>
  <si>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</si>
  <si>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</si>
  <si>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</si>
  <si>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</si>
  <si>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</si>
  <si>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</si>
  <si>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</si>
  <si>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</si>
  <si>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</si>
  <si>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</si>
  <si>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</si>
  <si>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</si>
  <si>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</si>
  <si>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</si>
  <si>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</si>
  <si>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</si>
  <si>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</si>
  <si>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</si>
  <si>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</si>
  <si>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</si>
  <si>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</si>
  <si>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</si>
  <si>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</si>
  <si>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</si>
  <si>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</si>
  <si>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</si>
  <si>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</si>
  <si>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</si>
  <si>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</si>
  <si>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</si>
  <si>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</si>
  <si>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</si>
  <si>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</si>
  <si>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</si>
  <si>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</si>
  <si>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</si>
  <si>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</si>
  <si>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</si>
  <si>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</si>
  <si>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</si>
  <si>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</si>
  <si>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</si>
  <si>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</si>
  <si>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</si>
  <si>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</si>
  <si>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</si>
  <si>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</si>
  <si>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</si>
  <si>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</si>
  <si>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</si>
  <si>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</si>
  <si>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</si>
  <si>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</si>
  <si>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</si>
  <si>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</si>
  <si>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</si>
  <si>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</si>
  <si>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</si>
  <si>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</si>
  <si>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</si>
  <si>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</si>
  <si>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</si>
  <si>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</si>
  <si>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</si>
  <si>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</si>
  <si>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</si>
  <si>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</si>
  <si>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</si>
  <si>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</si>
  <si>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</si>
  <si>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</si>
  <si>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</si>
  <si>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</si>
  <si>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</si>
  <si>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</si>
  <si>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</si>
  <si>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</si>
  <si>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</si>
  <si>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</si>
  <si>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</si>
  <si>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</si>
  <si>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</si>
  <si>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</si>
  <si>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</si>
  <si>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</si>
  <si>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</si>
  <si>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</si>
  <si>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</si>
  <si>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</si>
  <si>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</si>
  <si>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</si>
  <si>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</si>
  <si>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</si>
  <si>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</si>
  <si>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</si>
  <si>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</si>
  <si>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</si>
  <si>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</si>
  <si>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</si>
  <si>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</si>
  <si>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</si>
  <si>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</si>
  <si>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</si>
  <si>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</si>
  <si>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</si>
  <si>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</si>
  <si>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</si>
  <si>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</si>
  <si>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</si>
  <si>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</si>
  <si>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</si>
  <si>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</si>
  <si>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</si>
  <si>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</si>
  <si>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</si>
  <si>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</si>
  <si>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</si>
  <si>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</si>
  <si>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</si>
  <si>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</si>
  <si>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</si>
  <si>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</si>
  <si>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</si>
  <si>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</si>
  <si>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</si>
  <si>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</si>
  <si>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</si>
  <si>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</si>
  <si>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</si>
  <si>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</si>
  <si>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</si>
  <si>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</si>
  <si>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</si>
  <si>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</si>
  <si>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</si>
  <si>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</si>
  <si>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</si>
  <si>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</si>
  <si>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</si>
  <si>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</si>
  <si>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</si>
  <si>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</si>
  <si>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</si>
  <si>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</si>
  <si>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</si>
  <si>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</si>
  <si>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</si>
  <si>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</si>
  <si>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</si>
  <si>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</si>
  <si>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</si>
  <si>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</si>
  <si>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</si>
  <si>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</si>
  <si>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</si>
  <si>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</si>
  <si>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</si>
  <si>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</si>
  <si>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</si>
  <si>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</si>
  <si>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</si>
  <si>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</si>
  <si>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</si>
  <si>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</si>
  <si>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</si>
  <si>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</si>
  <si>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</si>
  <si>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</si>
  <si>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</si>
  <si>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</si>
  <si>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</si>
  <si>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</si>
  <si>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</si>
  <si>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</si>
  <si>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</si>
  <si>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</si>
  <si>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</si>
  <si>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</si>
  <si>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</si>
  <si>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</si>
  <si>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</si>
  <si>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</si>
  <si>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</si>
  <si>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</si>
  <si>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</si>
  <si>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</si>
  <si>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</si>
  <si>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</si>
  <si>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</si>
  <si>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</si>
  <si>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</si>
  <si>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</si>
  <si>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</si>
  <si>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</si>
  <si>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</si>
  <si>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</si>
  <si>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</si>
  <si>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</si>
  <si>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</si>
  <si>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</si>
  <si>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</si>
  <si>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</si>
  <si>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</si>
  <si>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</si>
  <si>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</si>
  <si>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</si>
  <si>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</si>
  <si>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</si>
  <si>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</si>
  <si>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</si>
  <si>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</si>
  <si>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</si>
  <si>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</si>
  <si>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</si>
  <si>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</si>
  <si>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</si>
  <si>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</si>
  <si>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</si>
  <si>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</si>
  <si>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</si>
  <si>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</si>
  <si>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</si>
  <si>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</si>
  <si>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</si>
  <si>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</si>
  <si>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</si>
  <si>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</si>
  <si>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</si>
  <si>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</si>
  <si>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</si>
  <si>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</si>
  <si>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</si>
  <si>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</si>
  <si>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</si>
  <si>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</si>
  <si>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</si>
  <si>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</si>
  <si>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</si>
  <si>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</si>
  <si>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</si>
  <si>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</si>
  <si>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</si>
  <si>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</si>
  <si>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</si>
  <si>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</si>
  <si>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</si>
  <si>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</si>
  <si>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</si>
  <si>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</si>
  <si>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</si>
  <si>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</si>
  <si>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</si>
  <si>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</si>
  <si>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</si>
  <si>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</si>
  <si>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</si>
  <si>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</si>
  <si>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</si>
  <si>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</si>
  <si>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</si>
  <si>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</si>
  <si>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</si>
  <si>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</si>
  <si>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</si>
  <si>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</si>
  <si>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</si>
  <si>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</si>
  <si>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</si>
  <si>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</si>
  <si>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</si>
  <si>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</si>
  <si>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</si>
  <si>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</si>
  <si>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</si>
  <si>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</si>
  <si>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</si>
  <si>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</si>
  <si>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</si>
  <si>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</si>
  <si>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</si>
  <si>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</si>
  <si>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</si>
  <si>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</si>
  <si>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</si>
  <si>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</si>
  <si>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</si>
  <si>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</si>
  <si>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</si>
  <si>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</si>
  <si>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</si>
  <si>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</si>
  <si>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</si>
  <si>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</si>
  <si>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</si>
  <si>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</si>
  <si>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</si>
  <si>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</si>
  <si>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</si>
  <si>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</si>
  <si>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</si>
  <si>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</si>
  <si>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</si>
  <si>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</si>
  <si>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</si>
  <si>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</si>
  <si>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</si>
  <si>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</si>
  <si>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</si>
  <si>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</si>
  <si>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</si>
  <si>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</si>
  <si>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</si>
  <si>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</si>
  <si>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</si>
  <si>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</si>
  <si>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</si>
  <si>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</si>
  <si>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</si>
  <si>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</si>
  <si>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</si>
  <si>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</si>
  <si>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</si>
  <si>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</si>
  <si>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</si>
  <si>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</si>
  <si>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</si>
  <si>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</si>
  <si>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</si>
  <si>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</si>
  <si>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</si>
  <si>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</si>
  <si>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</si>
  <si>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</si>
  <si>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</si>
  <si>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</si>
  <si>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</si>
  <si>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</si>
  <si>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</si>
  <si>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</si>
  <si>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</si>
  <si>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</si>
  <si>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</si>
  <si>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</si>
  <si>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</si>
  <si>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</si>
  <si>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</si>
  <si>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</si>
  <si>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</si>
  <si>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</si>
  <si>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</si>
  <si>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</si>
  <si>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</si>
  <si>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</si>
  <si>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</si>
  <si>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</si>
  <si>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</si>
  <si>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</si>
  <si>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</si>
  <si>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</si>
  <si>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</si>
  <si>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</si>
  <si>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</si>
  <si>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</si>
  <si>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</si>
  <si>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</si>
  <si>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</si>
  <si>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</si>
  <si>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</si>
  <si>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</si>
  <si>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</si>
  <si>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</si>
  <si>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</si>
  <si>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</si>
  <si>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</si>
  <si>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</si>
  <si>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</si>
  <si>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</si>
  <si>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</si>
  <si>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</si>
  <si>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</si>
  <si>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</si>
  <si>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</si>
  <si>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</si>
  <si>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</si>
  <si>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</si>
  <si>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</si>
  <si>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</si>
  <si>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</si>
  <si>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</si>
  <si>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</si>
  <si>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</si>
  <si>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</si>
  <si>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</si>
  <si>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</si>
  <si>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</si>
  <si>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</si>
  <si>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</si>
  <si>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</si>
  <si>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</si>
  <si>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</si>
  <si>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</si>
  <si>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</si>
  <si>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</si>
  <si>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</si>
  <si>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</si>
  <si>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</si>
  <si>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</si>
  <si>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</si>
  <si>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</si>
  <si>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</si>
  <si>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</si>
  <si>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</si>
  <si>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</si>
  <si>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</si>
  <si>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</si>
  <si>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</si>
  <si>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</si>
  <si>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</si>
  <si>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</si>
  <si>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</si>
  <si>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</si>
  <si>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</si>
  <si>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</si>
  <si>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</si>
  <si>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</si>
  <si>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</si>
  <si>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</si>
  <si>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</si>
  <si>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</si>
  <si>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</si>
  <si>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</si>
  <si>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</si>
  <si>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</si>
  <si>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</si>
  <si>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</si>
  <si>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</si>
  <si>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</si>
  <si>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</si>
  <si>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</si>
  <si>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</si>
  <si>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</si>
  <si>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</si>
  <si>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</si>
  <si>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</si>
  <si>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</si>
  <si>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</si>
  <si>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</si>
  <si>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</si>
  <si>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</si>
  <si>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</si>
  <si>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</si>
  <si>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</si>
  <si>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</si>
  <si>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</si>
  <si>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</si>
  <si>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</si>
  <si>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</si>
  <si>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</si>
  <si>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</si>
  <si>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</si>
  <si>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</si>
  <si>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</si>
  <si>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</si>
  <si>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</si>
  <si>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</si>
  <si>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</si>
  <si>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</si>
  <si>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</si>
  <si>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</si>
  <si>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</si>
  <si>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</si>
  <si>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</si>
  <si>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</si>
  <si>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</si>
  <si>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</si>
  <si>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</si>
  <si>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</si>
  <si>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</si>
  <si>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</si>
  <si>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</si>
  <si>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</si>
  <si>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</si>
  <si>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</si>
  <si>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</si>
  <si>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</si>
  <si>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</si>
  <si>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</si>
  <si>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</si>
  <si>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</si>
  <si>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</si>
  <si>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</si>
  <si>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</si>
  <si>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</si>
  <si>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</si>
  <si>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</si>
  <si>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</si>
  <si>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</si>
  <si>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</si>
  <si>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</si>
  <si>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</si>
  <si>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</si>
  <si>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</si>
  <si>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</si>
  <si>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</si>
  <si>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</si>
  <si>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</si>
  <si>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</si>
  <si>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</si>
  <si>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</si>
  <si>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</si>
  <si>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</si>
  <si>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</si>
  <si>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</si>
  <si>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</si>
  <si>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</si>
  <si>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</si>
  <si>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</si>
  <si>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</si>
  <si>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</si>
  <si>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</si>
  <si>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</si>
  <si>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</si>
  <si>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</si>
  <si>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</si>
  <si>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</si>
  <si>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</si>
  <si>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</si>
  <si>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</si>
  <si>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</si>
  <si>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</si>
  <si>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</si>
  <si>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</si>
  <si>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</si>
  <si>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</si>
  <si>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</si>
  <si>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</si>
  <si>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</si>
  <si>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</si>
  <si>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</si>
  <si>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</si>
  <si>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</si>
  <si>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</si>
  <si>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</si>
  <si>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</si>
  <si>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</si>
  <si>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</si>
  <si>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</si>
  <si>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</si>
  <si>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</si>
  <si>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</si>
  <si>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</si>
  <si>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</si>
  <si>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</si>
  <si>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</si>
  <si>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</si>
  <si>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</si>
  <si>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</si>
  <si>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</si>
  <si>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</si>
  <si>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</si>
  <si>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</si>
  <si>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</si>
  <si>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</si>
  <si>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</si>
  <si>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</si>
  <si>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</si>
  <si>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</si>
  <si>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</si>
  <si>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</si>
  <si>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</si>
  <si>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</si>
  <si>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</si>
  <si>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</si>
  <si>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</si>
  <si>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</si>
  <si>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</si>
  <si>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</si>
  <si>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</si>
  <si>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</si>
  <si>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</si>
  <si>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</si>
  <si>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</si>
  <si>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</si>
  <si>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</si>
  <si>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</si>
  <si>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</si>
  <si>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</si>
  <si>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</si>
  <si>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</si>
  <si>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</si>
  <si>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</si>
  <si>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</si>
  <si>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</si>
  <si>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</si>
  <si>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</si>
  <si>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</si>
  <si>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</si>
  <si>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</si>
  <si>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</si>
  <si>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</si>
  <si>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</si>
  <si>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</si>
  <si>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</si>
  <si>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</si>
  <si>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</si>
  <si>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</si>
  <si>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</si>
  <si>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</si>
  <si>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</si>
  <si>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</si>
  <si>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</si>
  <si>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</si>
  <si>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</si>
  <si>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</si>
  <si>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</si>
  <si>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</si>
  <si>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</si>
  <si>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</si>
  <si>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</si>
  <si>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</si>
  <si>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</si>
  <si>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</si>
  <si>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</si>
  <si>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</si>
  <si>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</si>
  <si>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</si>
  <si>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</si>
  <si>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</si>
  <si>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</si>
  <si>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</si>
  <si>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</si>
  <si>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</si>
  <si>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</si>
  <si>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</si>
  <si>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</si>
  <si>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</si>
  <si>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</si>
  <si>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</si>
  <si>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</si>
  <si>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</si>
  <si>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</si>
  <si>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</si>
  <si>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</si>
  <si>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</si>
  <si>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</si>
  <si>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</si>
  <si>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</si>
  <si>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</si>
  <si>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</si>
  <si>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</si>
  <si>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</si>
  <si>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</si>
  <si>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</si>
  <si>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</si>
  <si>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</si>
  <si>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</si>
  <si>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</si>
  <si>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</si>
  <si>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</si>
  <si>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</si>
  <si>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</si>
  <si>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</si>
  <si>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</si>
  <si>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</si>
  <si>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</si>
  <si>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</si>
  <si>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</si>
  <si>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</si>
  <si>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</si>
  <si>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</si>
  <si>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</si>
  <si>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</si>
  <si>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</si>
  <si>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</si>
  <si>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</si>
  <si>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</si>
  <si>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</si>
  <si>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</si>
  <si>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</si>
  <si>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</si>
  <si>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</si>
  <si>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</si>
  <si>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</si>
  <si>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</si>
  <si>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</si>
  <si>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</si>
  <si>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</si>
  <si>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</si>
  <si>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</si>
  <si>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</si>
  <si>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</si>
  <si>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</si>
  <si>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</si>
  <si>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</si>
  <si>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</si>
  <si>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</si>
  <si>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</si>
  <si>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</si>
  <si>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</si>
  <si>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</si>
  <si>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</si>
  <si>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</si>
  <si>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</si>
  <si>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</si>
  <si>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</si>
  <si>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</si>
  <si>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</si>
  <si>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</si>
  <si>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</si>
  <si>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</si>
  <si>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</si>
  <si>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</si>
  <si>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</si>
  <si>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</si>
  <si>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</si>
  <si>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</si>
  <si>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</si>
  <si>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</si>
  <si>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</si>
  <si>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</si>
  <si>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</si>
  <si>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</si>
  <si>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</si>
  <si>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</si>
  <si>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</si>
  <si>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</si>
  <si>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</si>
  <si>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</si>
  <si>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</si>
  <si>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</si>
  <si>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</si>
  <si>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</si>
  <si>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</si>
  <si>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</si>
  <si>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</si>
  <si>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</si>
  <si>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</si>
  <si>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</si>
  <si>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</si>
  <si>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</si>
  <si>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</si>
  <si>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</si>
  <si>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</si>
  <si>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</si>
  <si>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</si>
  <si>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</si>
  <si>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</si>
  <si>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</si>
  <si>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</si>
  <si>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</si>
  <si>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</si>
  <si>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</si>
  <si>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</si>
  <si>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</si>
  <si>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</si>
  <si>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</si>
  <si>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</si>
  <si>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</si>
  <si>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</si>
  <si>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</si>
  <si>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</si>
  <si>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</si>
  <si>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</si>
  <si>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</si>
  <si>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</si>
  <si>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</si>
  <si>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</si>
  <si>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</si>
  <si>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</si>
  <si>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</si>
  <si>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</si>
  <si>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</si>
  <si>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</si>
  <si>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</si>
  <si>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</si>
  <si>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</si>
  <si>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</si>
  <si>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</si>
  <si>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</si>
  <si>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</si>
  <si>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</si>
  <si>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</si>
  <si>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</si>
  <si>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</si>
  <si>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</si>
  <si>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</si>
  <si>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</si>
  <si>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</si>
  <si>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</si>
  <si>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</si>
  <si>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</si>
  <si>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</si>
  <si>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</si>
  <si>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</si>
  <si>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</si>
  <si>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</si>
  <si>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</si>
  <si>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</si>
  <si>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</si>
  <si>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</si>
  <si>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</si>
  <si>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</si>
  <si>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</si>
  <si>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</si>
  <si>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</si>
  <si>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</si>
  <si>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</si>
  <si>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</si>
  <si>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</si>
  <si>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</si>
  <si>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</si>
  <si>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</si>
  <si>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</si>
  <si>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</si>
  <si>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</si>
  <si>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</si>
  <si>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</si>
  <si>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</si>
  <si>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</si>
  <si>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</si>
  <si>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</si>
  <si>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</si>
  <si>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</si>
  <si>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</si>
  <si>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</si>
  <si>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</si>
  <si>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</si>
  <si>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</si>
  <si>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</si>
  <si>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</si>
  <si>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</si>
  <si>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</si>
  <si>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</si>
  <si>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</si>
  <si>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</si>
  <si>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</si>
  <si>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</si>
  <si>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</si>
  <si>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</si>
  <si>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</si>
  <si>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</si>
  <si>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</si>
  <si>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</si>
  <si>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</si>
  <si>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</si>
  <si>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</si>
  <si>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</si>
  <si>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</si>
  <si>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</si>
  <si>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</si>
  <si>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</si>
  <si>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</si>
  <si>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</si>
  <si>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</si>
  <si>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</si>
  <si>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</si>
  <si>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</si>
  <si>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</si>
  <si>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</si>
  <si>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</si>
  <si>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</si>
  <si>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</si>
  <si>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</si>
  <si>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</si>
  <si>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</si>
  <si>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</si>
  <si>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</si>
  <si>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</si>
  <si>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</si>
  <si>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</si>
  <si>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</si>
  <si>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</si>
  <si>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</si>
  <si>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</si>
  <si>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</si>
  <si>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</si>
  <si>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</si>
  <si>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</si>
  <si>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</si>
  <si>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</si>
  <si>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</si>
  <si>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</si>
  <si>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</si>
  <si>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</si>
  <si>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</si>
  <si>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</si>
  <si>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</si>
  <si>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</si>
  <si>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</si>
  <si>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</si>
  <si>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</si>
  <si>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</si>
  <si>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</si>
  <si>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</si>
  <si>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</si>
  <si>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</si>
  <si>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</si>
  <si>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</si>
  <si>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</si>
  <si>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</si>
  <si>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</si>
  <si>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</si>
  <si>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</si>
  <si>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</si>
  <si>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</si>
  <si>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</si>
  <si>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</si>
  <si>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</si>
  <si>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</si>
  <si>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</si>
  <si>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</si>
  <si>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</si>
  <si>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</si>
  <si>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</si>
  <si>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</si>
  <si>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</si>
  <si>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</si>
  <si>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</si>
  <si>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</si>
  <si>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</si>
  <si>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</si>
  <si>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</si>
  <si>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</si>
  <si>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</si>
  <si>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</si>
  <si>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</si>
  <si>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</si>
  <si>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</si>
  <si>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</si>
  <si>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</si>
  <si>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</si>
  <si>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</si>
  <si>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</si>
  <si>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</si>
  <si>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</si>
  <si>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</si>
  <si>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</si>
  <si>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</si>
  <si>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</si>
  <si>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</si>
  <si>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</si>
  <si>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</si>
  <si>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</si>
  <si>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</si>
  <si>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</si>
  <si>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</si>
  <si>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</si>
  <si>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</si>
  <si>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</si>
  <si>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</si>
  <si>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</si>
  <si>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</si>
  <si>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</si>
  <si>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</si>
  <si>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</si>
  <si>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</si>
  <si>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</si>
  <si>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</si>
  <si>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</si>
  <si>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</si>
  <si>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</si>
  <si>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</si>
  <si>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</si>
  <si>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</si>
  <si>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</si>
  <si>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</si>
  <si>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</si>
  <si>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</si>
  <si>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</si>
  <si>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</si>
  <si>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</si>
  <si>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</si>
  <si>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</si>
  <si>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</si>
  <si>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</si>
  <si>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</si>
  <si>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</si>
  <si>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</si>
  <si>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</si>
  <si>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</si>
  <si>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</si>
  <si>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</si>
  <si>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</si>
  <si>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</si>
  <si>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</si>
  <si>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</si>
  <si>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</si>
  <si>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</si>
  <si>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</si>
  <si>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</si>
  <si>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</si>
  <si>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</si>
  <si>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</si>
  <si>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</si>
  <si>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</si>
  <si>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</si>
  <si>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</si>
  <si>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</si>
  <si>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</si>
  <si>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</si>
  <si>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</si>
  <si>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</si>
  <si>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</si>
  <si>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</si>
  <si>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</si>
  <si>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</si>
  <si>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</si>
  <si>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</si>
  <si>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</si>
  <si>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</si>
  <si>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</si>
  <si>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</si>
  <si>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</si>
  <si>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</si>
  <si>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</si>
  <si>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</si>
  <si>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</si>
  <si>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</si>
  <si>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</si>
  <si>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</si>
  <si>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</si>
  <si>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</si>
  <si>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</si>
  <si>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</si>
  <si>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</si>
  <si>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</si>
  <si>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</si>
  <si>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</si>
  <si>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</si>
  <si>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</si>
  <si>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</si>
  <si>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</si>
  <si>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</si>
  <si>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</si>
  <si>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</si>
  <si>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</si>
  <si>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</si>
  <si>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</si>
  <si>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</si>
  <si>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</si>
  <si>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</si>
  <si>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</si>
  <si>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</si>
  <si>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</si>
  <si>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</si>
  <si>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</si>
  <si>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</si>
  <si>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</si>
  <si>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</si>
  <si>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</si>
  <si>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</si>
  <si>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</si>
  <si>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</si>
  <si>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</si>
  <si>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</si>
  <si>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</si>
  <si>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</si>
  <si>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</si>
  <si>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</si>
  <si>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</si>
  <si>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</si>
  <si>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</si>
  <si>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</si>
  <si>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</si>
  <si>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</si>
  <si>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</si>
  <si>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</si>
  <si>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</si>
  <si>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</si>
  <si>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</si>
  <si>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</si>
  <si>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</si>
  <si>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</si>
  <si>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</si>
  <si>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</si>
  <si>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</si>
  <si>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</si>
  <si>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</si>
  <si>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</si>
  <si>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</si>
  <si>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</si>
  <si>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</si>
  <si>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</si>
  <si>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</si>
  <si>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</si>
  <si>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</si>
  <si>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</si>
  <si>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</si>
  <si>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</si>
  <si>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</si>
  <si>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</si>
  <si>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</si>
  <si>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</si>
  <si>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</si>
  <si>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</si>
  <si>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</si>
  <si>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</si>
  <si>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</si>
  <si>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</si>
  <si>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</si>
  <si>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</si>
  <si>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</si>
  <si>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</si>
  <si>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</si>
  <si>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</si>
  <si>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</si>
  <si>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</si>
  <si>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</si>
  <si>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</si>
  <si>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</si>
  <si>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</si>
  <si>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</si>
  <si>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</si>
  <si>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</si>
  <si>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</si>
  <si>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</si>
  <si>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</si>
  <si>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</si>
  <si>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</si>
  <si>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</si>
  <si>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</si>
  <si>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</si>
  <si>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</si>
  <si>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</si>
  <si>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</si>
  <si>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</si>
  <si>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</si>
  <si>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</si>
  <si>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</si>
  <si>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</si>
  <si>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</si>
  <si>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</si>
  <si>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</si>
  <si>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</si>
  <si>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</si>
  <si>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</si>
  <si>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</si>
  <si>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</si>
  <si>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</si>
  <si>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</si>
  <si>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</si>
  <si>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</si>
  <si>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</si>
  <si>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</si>
  <si>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</si>
  <si>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</si>
  <si>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</si>
  <si>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</si>
  <si>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</si>
  <si>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</si>
  <si>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</si>
  <si>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</si>
  <si>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</si>
  <si>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</si>
  <si>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</si>
  <si>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</si>
  <si>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</si>
  <si>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</si>
  <si>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</si>
  <si>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</si>
  <si>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</si>
  <si>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</si>
  <si>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</si>
  <si>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</si>
  <si>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</si>
  <si>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</si>
  <si>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</si>
  <si>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</si>
  <si>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</si>
  <si>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</si>
  <si>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</si>
  <si>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</si>
  <si>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</si>
  <si>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</si>
  <si>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</si>
  <si>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</si>
  <si>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</si>
  <si>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</si>
  <si>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</si>
  <si>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</si>
  <si>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</si>
  <si>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</si>
  <si>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</si>
  <si>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</si>
  <si>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</si>
  <si>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</si>
  <si>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</si>
  <si>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</si>
  <si>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</si>
  <si>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</si>
  <si>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</si>
  <si>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</si>
  <si>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</si>
  <si>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</si>
  <si>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</si>
  <si>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</si>
  <si>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</si>
  <si>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</si>
  <si>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</si>
  <si>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</si>
  <si>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</si>
  <si>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</si>
  <si>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</si>
  <si>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</si>
  <si>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</si>
  <si>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</si>
  <si>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</si>
  <si>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</si>
  <si>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</si>
  <si>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</si>
  <si>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</si>
  <si>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</si>
  <si>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</si>
  <si>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</si>
  <si>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</si>
  <si>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</si>
  <si>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</si>
  <si>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</si>
  <si>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</si>
  <si>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</si>
  <si>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</si>
  <si>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</si>
  <si>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</si>
  <si>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</si>
  <si>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</si>
  <si>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</si>
  <si>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</si>
  <si>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</si>
  <si>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</si>
  <si>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</si>
  <si>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</si>
  <si>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</si>
  <si>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</si>
  <si>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</si>
  <si>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</si>
  <si>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</si>
  <si>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</si>
  <si>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</si>
  <si>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</si>
  <si>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</si>
  <si>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</si>
  <si>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</si>
  <si>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</si>
  <si>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</si>
  <si>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</si>
  <si>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</si>
  <si>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</si>
  <si>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</si>
  <si>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</si>
  <si>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</si>
  <si>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</si>
  <si>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</si>
  <si>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</si>
  <si>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</si>
  <si>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</si>
  <si>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</si>
  <si>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</si>
  <si>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</si>
  <si>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</si>
  <si>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</si>
  <si>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</si>
  <si>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</si>
  <si>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</si>
  <si>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</si>
  <si>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</si>
  <si>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</si>
  <si>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</si>
  <si>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</si>
  <si>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</si>
  <si>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</si>
  <si>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</si>
  <si>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</si>
  <si>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</si>
  <si>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</si>
  <si>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</si>
  <si>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</si>
  <si>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</si>
  <si>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</si>
  <si>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</si>
  <si>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</si>
  <si>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</si>
  <si>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</si>
  <si>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</si>
  <si>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</si>
  <si>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</si>
  <si>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</si>
  <si>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</si>
  <si>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</si>
  <si>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</si>
  <si>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</si>
  <si>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</si>
  <si>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</si>
  <si>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</si>
  <si>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</si>
  <si>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</si>
  <si>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</si>
  <si>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</si>
  <si>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</si>
  <si>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</si>
  <si>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</si>
  <si>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</si>
  <si>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</si>
  <si>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</si>
  <si>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</si>
  <si>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</si>
  <si>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</si>
  <si>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</si>
  <si>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</si>
  <si>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</si>
  <si>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</si>
  <si>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</si>
  <si>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</si>
  <si>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</si>
  <si>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</si>
  <si>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</si>
  <si>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</si>
  <si>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</si>
  <si>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</si>
  <si>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</si>
  <si>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</si>
  <si>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</si>
  <si>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</si>
  <si>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</si>
  <si>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</si>
  <si>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</si>
  <si>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</si>
  <si>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</si>
  <si>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</si>
  <si>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</si>
  <si>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</si>
  <si>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</si>
  <si>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</si>
  <si>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</si>
  <si>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</si>
  <si>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</si>
  <si>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</si>
  <si>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</si>
  <si>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</si>
  <si>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</si>
  <si>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</si>
  <si>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</si>
  <si>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</si>
  <si>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</si>
  <si>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</si>
  <si>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</si>
  <si>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</si>
  <si>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</si>
  <si>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</si>
  <si>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</si>
  <si>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</si>
  <si>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</si>
  <si>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</si>
  <si>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</si>
  <si>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</si>
  <si>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</si>
  <si>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</si>
  <si>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</si>
  <si>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</si>
  <si>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</si>
  <si>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</si>
  <si>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</si>
  <si>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</si>
  <si>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</si>
  <si>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</si>
  <si>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</si>
  <si>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</si>
  <si>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</si>
  <si>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</si>
  <si>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</si>
  <si>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</si>
  <si>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</si>
  <si>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</si>
  <si>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</si>
  <si>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</si>
  <si>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</si>
  <si>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</si>
  <si>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</si>
  <si>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</si>
  <si>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</si>
  <si>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</si>
  <si>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</si>
  <si>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</si>
  <si>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</si>
  <si>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</si>
  <si>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</si>
  <si>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</si>
  <si>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</si>
  <si>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</si>
  <si>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</si>
  <si>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</si>
  <si>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</si>
  <si>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</si>
  <si>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</si>
  <si>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</si>
  <si>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</si>
  <si>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</si>
  <si>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</si>
  <si>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</si>
  <si>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</si>
  <si>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</si>
  <si>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</si>
  <si>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</si>
  <si>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</si>
  <si>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</si>
  <si>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</si>
  <si>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</si>
  <si>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</si>
  <si>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</si>
  <si>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</si>
  <si>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</si>
  <si>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</si>
  <si>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</si>
  <si>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</si>
  <si>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</si>
  <si>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</si>
  <si>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</si>
  <si>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</si>
  <si>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</si>
  <si>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</si>
  <si>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</si>
  <si>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</si>
  <si>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</si>
  <si>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</si>
  <si>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</si>
  <si>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</si>
  <si>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</si>
  <si>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</si>
  <si>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</si>
  <si>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</si>
  <si>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</si>
  <si>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</si>
  <si>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</si>
  <si>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</si>
  <si>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</si>
  <si>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</si>
  <si>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</si>
  <si>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</si>
  <si>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</si>
  <si>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</si>
  <si>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</si>
  <si>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</si>
  <si>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</si>
  <si>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</si>
  <si>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</si>
  <si>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</si>
  <si>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</si>
  <si>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</si>
  <si>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</si>
  <si>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</si>
  <si>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</si>
  <si>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</si>
  <si>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</si>
  <si>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</si>
  <si>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</si>
  <si>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</si>
  <si>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</si>
  <si>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</si>
  <si>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</si>
  <si>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</si>
  <si>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</si>
  <si>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</si>
  <si>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</si>
  <si>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</si>
  <si>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</si>
  <si>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</si>
  <si>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</si>
  <si>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</si>
  <si>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</si>
  <si>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</si>
  <si>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</si>
  <si>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</si>
  <si>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</si>
  <si>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</si>
  <si>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</si>
  <si>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</si>
  <si>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</si>
  <si>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</si>
  <si>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</si>
  <si>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</si>
  <si>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</si>
  <si>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</si>
  <si>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</si>
  <si>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</si>
  <si>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</si>
  <si>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</si>
  <si>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</si>
  <si>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</si>
  <si>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</si>
  <si>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</si>
  <si>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</si>
  <si>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</si>
  <si>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</si>
  <si>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</si>
  <si>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</si>
  <si>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</si>
  <si>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</si>
  <si>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</si>
  <si>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</si>
  <si>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</si>
  <si>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</si>
  <si>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</si>
  <si>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</si>
  <si>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</si>
  <si>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</si>
  <si>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</si>
  <si>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</si>
  <si>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</si>
  <si>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</si>
  <si>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</si>
  <si>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</si>
  <si>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</si>
  <si>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</si>
  <si>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</si>
  <si>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</si>
  <si>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</si>
  <si>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</si>
  <si>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</si>
  <si>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</si>
  <si>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</si>
  <si>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</si>
  <si>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</si>
  <si>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</si>
  <si>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</si>
  <si>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</si>
  <si>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</si>
  <si>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</si>
  <si>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</si>
  <si>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</si>
  <si>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</si>
  <si>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</si>
  <si>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</si>
  <si>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</si>
  <si>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</si>
  <si>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</si>
  <si>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</si>
  <si>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</si>
  <si>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</si>
  <si>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</si>
  <si>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</si>
  <si>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</si>
  <si>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</si>
  <si>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</si>
  <si>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</si>
  <si>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</si>
  <si>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</si>
  <si>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</si>
  <si>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</si>
  <si>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</si>
  <si>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</si>
  <si>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</si>
  <si>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</si>
  <si>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</si>
  <si>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</si>
  <si>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</si>
  <si>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</si>
  <si>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</si>
  <si>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</si>
  <si>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</si>
  <si>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</si>
  <si>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</si>
  <si>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</si>
  <si>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</si>
  <si>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</si>
  <si>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</si>
  <si>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</si>
  <si>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</si>
  <si>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</si>
  <si>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</si>
  <si>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</si>
  <si>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</si>
  <si>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</si>
  <si>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</si>
  <si>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</si>
  <si>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</si>
  <si>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</si>
  <si>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</si>
  <si>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</si>
  <si>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</si>
  <si>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</si>
  <si>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</si>
  <si>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</si>
  <si>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</si>
  <si>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</si>
  <si>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</si>
  <si>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</si>
  <si>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</si>
  <si>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</si>
  <si>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</si>
  <si>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</si>
  <si>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</si>
  <si>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</si>
  <si>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</si>
  <si>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</si>
  <si>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</si>
  <si>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</si>
  <si>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</si>
  <si>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</si>
  <si>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</si>
  <si>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</si>
  <si>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</si>
  <si>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</si>
  <si>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</si>
  <si>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</si>
  <si>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</si>
  <si>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</si>
  <si>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</si>
  <si>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</si>
  <si>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</si>
  <si>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</si>
  <si>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</si>
  <si>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</si>
  <si>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</si>
  <si>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</si>
  <si>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</si>
  <si>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</si>
  <si>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</si>
  <si>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</si>
  <si>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</si>
  <si>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</si>
  <si>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</si>
  <si>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</si>
  <si>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</si>
  <si>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</si>
  <si>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</si>
  <si>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</si>
  <si>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</si>
  <si>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</si>
  <si>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</si>
  <si>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</si>
  <si>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</si>
  <si>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</si>
  <si>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</si>
  <si>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</si>
  <si>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</si>
  <si>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</si>
  <si>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</si>
  <si>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</si>
  <si>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</si>
  <si>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</si>
  <si>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</si>
  <si>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</si>
  <si>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</si>
  <si>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</si>
  <si>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</si>
  <si>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</si>
  <si>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</si>
  <si>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</si>
  <si>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</si>
  <si>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</si>
  <si>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</si>
  <si>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</si>
  <si>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</si>
  <si>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</si>
  <si>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</si>
  <si>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</si>
  <si>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</si>
  <si>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</si>
  <si>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</si>
  <si>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</si>
  <si>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</si>
  <si>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</si>
  <si>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</si>
  <si>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</si>
  <si>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</si>
  <si>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</si>
  <si>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</si>
  <si>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</si>
  <si>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</si>
  <si>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</si>
  <si>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</si>
  <si>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</si>
  <si>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</si>
  <si>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</si>
  <si>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</si>
  <si>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</si>
  <si>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</si>
  <si>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</si>
  <si>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</si>
  <si>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</si>
  <si>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</si>
  <si>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</si>
  <si>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</si>
  <si>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</si>
  <si>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</si>
  <si>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</si>
  <si>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</si>
  <si>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</si>
  <si>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</si>
  <si>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</si>
  <si>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</si>
  <si>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</si>
  <si>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</si>
  <si>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</si>
  <si>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</si>
  <si>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</si>
  <si>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</si>
  <si>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</si>
  <si>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</si>
  <si>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</si>
  <si>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</si>
  <si>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</si>
  <si>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</si>
  <si>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</si>
  <si>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</si>
  <si>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</si>
  <si>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</si>
  <si>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</si>
  <si>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</si>
  <si>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</si>
  <si>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</si>
  <si>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</si>
  <si>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</si>
  <si>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</si>
  <si>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</si>
  <si>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</si>
  <si>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</si>
  <si>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</si>
  <si>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</si>
  <si>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</si>
  <si>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</si>
  <si>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</si>
  <si>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</si>
  <si>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</si>
  <si>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</si>
  <si>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</si>
  <si>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</si>
  <si>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</si>
  <si>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</si>
  <si>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</si>
  <si>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</si>
  <si>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</si>
  <si>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</si>
  <si>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</si>
  <si>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</si>
  <si>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</si>
  <si>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</si>
  <si>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</si>
  <si>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</si>
  <si>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</si>
  <si>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</si>
  <si>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</si>
  <si>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</si>
  <si>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</si>
  <si>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</si>
  <si>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</si>
  <si>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</si>
  <si>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</si>
  <si>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</si>
  <si>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</si>
  <si>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</si>
  <si>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</si>
  <si>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</si>
  <si>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</si>
  <si>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</si>
  <si>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</si>
  <si>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</si>
  <si>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</si>
  <si>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</si>
  <si>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</si>
  <si>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</si>
  <si>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</si>
  <si>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</si>
  <si>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</si>
  <si>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</si>
  <si>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</si>
  <si>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</si>
  <si>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</si>
  <si>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</si>
  <si>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</si>
  <si>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</si>
  <si>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</si>
  <si>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</si>
  <si>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</si>
  <si>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</si>
  <si>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</si>
  <si>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</si>
  <si>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</si>
  <si>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</si>
  <si>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</si>
  <si>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</si>
  <si>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</si>
  <si>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</si>
  <si>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</si>
  <si>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</si>
  <si>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</si>
  <si>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</si>
  <si>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</si>
  <si>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</si>
  <si>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</si>
  <si>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</si>
  <si>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</si>
  <si>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</si>
  <si>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</si>
  <si>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</si>
  <si>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</si>
  <si>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</si>
  <si>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</si>
  <si>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</si>
  <si>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</si>
  <si>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</si>
  <si>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</si>
  <si>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</si>
  <si>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</si>
  <si>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</si>
  <si>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</si>
  <si>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</si>
  <si>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</si>
  <si>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</si>
  <si>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</si>
  <si>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</si>
  <si>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</si>
  <si>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</si>
  <si>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</si>
  <si>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</si>
  <si>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</si>
  <si>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</si>
  <si>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</si>
  <si>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</si>
  <si>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</si>
  <si>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</si>
  <si>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</si>
  <si>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</si>
  <si>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</si>
  <si>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</si>
  <si>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</si>
  <si>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</si>
  <si>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</si>
  <si>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</si>
  <si>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</si>
  <si>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</si>
  <si>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</si>
  <si>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</si>
  <si>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</si>
  <si>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</si>
  <si>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</si>
  <si>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</si>
  <si>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</si>
  <si>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</si>
  <si>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</si>
  <si>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</si>
  <si>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</si>
  <si>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</si>
  <si>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</si>
  <si>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</si>
  <si>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</si>
  <si>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</si>
  <si>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</si>
  <si>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</si>
  <si>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</si>
  <si>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</si>
  <si>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</si>
  <si>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</si>
  <si>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</si>
  <si>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</si>
  <si>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</si>
  <si>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</si>
  <si>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</si>
  <si>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</si>
  <si>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</si>
  <si>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</si>
  <si>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</si>
  <si>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General Obligation School Bonds, 2011</t>
  </si>
  <si>
    <t>General Obligation School Bonds, 2013</t>
  </si>
  <si>
    <t>General Obligation School Bonds, 2017</t>
  </si>
  <si>
    <t>Franklin-Jefferson Special Education</t>
  </si>
  <si>
    <t>Kujawa &amp; Batteau, P.C.</t>
  </si>
  <si>
    <t>Kevin Batteau</t>
  </si>
  <si>
    <t>309 S. Walnut St.</t>
  </si>
  <si>
    <t>Pinckneyville</t>
  </si>
  <si>
    <t>IL</t>
  </si>
  <si>
    <t>618-357-3000</t>
  </si>
  <si>
    <t>618-357-3654</t>
  </si>
  <si>
    <t>kbatteau@kandb-cpa.com</t>
  </si>
  <si>
    <t>Jefferson</t>
  </si>
  <si>
    <t>McClellan CCSD 12</t>
  </si>
  <si>
    <t>9475 N. IL Highway 148</t>
  </si>
  <si>
    <t>Mt. Vernon</t>
  </si>
  <si>
    <t>ccds@mcclellanschool.net</t>
  </si>
  <si>
    <t>62864-6379</t>
  </si>
  <si>
    <t>618-244-8072</t>
  </si>
  <si>
    <t>618-201-0368</t>
  </si>
  <si>
    <t>Board/Supplies &amp; Material</t>
  </si>
  <si>
    <t>10-2310-400</t>
  </si>
  <si>
    <t>US Bank</t>
  </si>
  <si>
    <t>Tammy Beckham</t>
  </si>
  <si>
    <t>tbeckham@mcclellanschool.net</t>
  </si>
  <si>
    <t>N/A</t>
  </si>
  <si>
    <t>X</t>
  </si>
  <si>
    <t>13-041-0120-04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</si>
</sst>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xdr:row>
          <xdr:rowOff>66675</xdr:rowOff>
        </xdr:from>
        <xdr:to>
          <xdr:col>1</xdr:col>
          <xdr:colOff>1095375</xdr:colOff>
          <xdr:row>6</xdr:row>
          <xdr:rowOff>104775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A708B60F-B70B-4702-9D83-638D0F2BB1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2105</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2090</v>
      </c>
      <c r="B15" s="2039"/>
      <c r="C15" s="2039"/>
      <c r="D15" s="2039"/>
      <c r="E15" s="2039"/>
      <c r="F15" s="2039"/>
      <c r="G15" s="2039"/>
      <c r="H15" s="2040"/>
      <c r="T15" s="2045" t="s">
        <v>2083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2091</v>
      </c>
      <c r="B17" s="1996"/>
      <c r="C17" s="1996"/>
      <c r="D17" s="1996"/>
      <c r="E17" s="1996"/>
      <c r="F17" s="1996"/>
      <c r="G17" s="1996"/>
      <c r="H17" s="2021"/>
      <c r="T17" s="2052" t="s">
        <v>2084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2092</v>
      </c>
      <c r="B19" s="1981"/>
      <c r="C19" s="1981"/>
      <c r="D19" s="1981"/>
      <c r="E19" s="1981"/>
      <c r="F19" s="1981"/>
      <c r="G19" s="1981"/>
      <c r="H19" s="1961"/>
      <c r="I19" s="30"/>
      <c r="J19" s="99"/>
      <c r="K19" s="40"/>
      <c r="L19" s="38"/>
      <c r="M19" s="112" t="s">
        <v>333</v>
      </c>
      <c r="P19" s="27"/>
      <c r="Q19" s="27"/>
      <c r="R19" s="27"/>
      <c r="S19" s="31"/>
      <c r="T19" s="2035" t="s">
        <v>2085</v>
      </c>
      <c r="U19" s="1960"/>
      <c r="V19" s="1960"/>
      <c r="W19" s="1961"/>
      <c r="X19" s="2050" t="s">
        <v>2086</v>
      </c>
      <c r="Y19" s="2051"/>
      <c r="Z19" s="2048">
        <v>62274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2093</v>
      </c>
      <c r="B21" s="1960"/>
      <c r="C21" s="1960"/>
      <c r="D21" s="1960"/>
      <c r="E21" s="1960"/>
      <c r="F21" s="1960"/>
      <c r="G21" s="1960"/>
      <c r="H21" s="1961"/>
      <c r="I21" s="2015" t="s">
        <v>699</v>
      </c>
      <c r="J21" s="2010"/>
      <c r="K21" s="2010"/>
      <c r="L21" s="2010"/>
      <c r="M21" s="2010"/>
      <c r="N21" s="2010"/>
      <c r="O21" s="2010"/>
      <c r="P21" s="2010"/>
      <c r="Q21" s="2010"/>
      <c r="R21" s="2010"/>
      <c r="S21" s="2016"/>
      <c r="T21" s="2059" t="s">
        <v>2087</v>
      </c>
      <c r="U21" s="2060"/>
      <c r="V21" s="2060"/>
      <c r="W21" s="2060"/>
      <c r="X21" s="2065" t="s">
        <v>2088</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2094</v>
      </c>
      <c r="B23" s="2013"/>
      <c r="C23" s="2013"/>
      <c r="D23" s="2013"/>
      <c r="E23" s="2013"/>
      <c r="F23" s="2013"/>
      <c r="G23" s="2013"/>
      <c r="H23" s="2014"/>
      <c r="T23" s="1995">
        <v>65.028419999999997</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t="s">
        <v>2095</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2101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2102</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2096</v>
      </c>
      <c r="B42" s="1979"/>
      <c r="C42" s="1980"/>
      <c r="D42" s="1978" t="s">
        <v>2097</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integeral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topLeftCell="A16" colorId="8" zoomScaleNormal="110" workbookViewId="0">
      <selection activeCell="A28" sqref="A2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267506</v>
      </c>
      <c r="C4" s="1546"/>
      <c r="D4" s="1774">
        <f>B4-C4</f>
        <v>267506</v>
      </c>
      <c r="E4" s="1546">
        <v>278332.15999999997</v>
      </c>
      <c r="F4" s="1774">
        <f>E4-C4</f>
        <v>278332.15999999997</v>
      </c>
    </row>
    <row r="5" spans="1:6" ht="13.7" customHeight="1" x14ac:dyDescent="0.2">
      <c r="A5" s="716" t="s">
        <v>925</v>
      </c>
      <c r="B5" s="1772">
        <f>'Revenues 9-14'!D5</f>
        <v>37683</v>
      </c>
      <c r="C5" s="585"/>
      <c r="D5" s="1775">
        <f t="shared" ref="D5:D18" si="0">B5-C5</f>
        <v>37683</v>
      </c>
      <c r="E5" s="585">
        <v>39208.11</v>
      </c>
      <c r="F5" s="1775">
        <f>E5-C5</f>
        <v>39208.11</v>
      </c>
    </row>
    <row r="6" spans="1:6" ht="13.7" customHeight="1" x14ac:dyDescent="0.2">
      <c r="A6" s="716" t="s">
        <v>431</v>
      </c>
      <c r="B6" s="1772">
        <f>'Revenues 9-14'!E5</f>
        <v>29515</v>
      </c>
      <c r="C6" s="585"/>
      <c r="D6" s="1775">
        <f t="shared" si="0"/>
        <v>29515</v>
      </c>
      <c r="E6" s="585">
        <v>30359.81</v>
      </c>
      <c r="F6" s="1775">
        <f t="shared" ref="F6:F18" si="1">E6-C6</f>
        <v>30359.81</v>
      </c>
    </row>
    <row r="7" spans="1:6" ht="13.7" customHeight="1" x14ac:dyDescent="0.2">
      <c r="A7" s="716" t="s">
        <v>157</v>
      </c>
      <c r="B7" s="1772">
        <f>'Revenues 9-14'!F5</f>
        <v>5310</v>
      </c>
      <c r="C7" s="585"/>
      <c r="D7" s="1775">
        <f t="shared" si="0"/>
        <v>5310</v>
      </c>
      <c r="E7" s="585">
        <v>5526.3</v>
      </c>
      <c r="F7" s="1775">
        <f t="shared" si="1"/>
        <v>5526.3</v>
      </c>
    </row>
    <row r="8" spans="1:6" ht="13.7" customHeight="1" x14ac:dyDescent="0.2">
      <c r="A8" s="716" t="s">
        <v>1241</v>
      </c>
      <c r="B8" s="1772">
        <f>'Revenues 9-14'!G5</f>
        <v>5310</v>
      </c>
      <c r="C8" s="585"/>
      <c r="D8" s="1775">
        <f t="shared" si="0"/>
        <v>5310</v>
      </c>
      <c r="E8" s="585">
        <v>5526.3</v>
      </c>
      <c r="F8" s="1775">
        <f t="shared" si="1"/>
        <v>5526.3</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8322</v>
      </c>
      <c r="C10" s="585"/>
      <c r="D10" s="1775">
        <f t="shared" si="0"/>
        <v>8322</v>
      </c>
      <c r="E10" s="585">
        <v>8390.2199999999993</v>
      </c>
      <c r="F10" s="1775">
        <f t="shared" si="1"/>
        <v>8390.2199999999993</v>
      </c>
    </row>
    <row r="11" spans="1:6" x14ac:dyDescent="0.2">
      <c r="A11" s="716" t="s">
        <v>429</v>
      </c>
      <c r="B11" s="1772">
        <f>'Revenues 9-14'!J5</f>
        <v>11147</v>
      </c>
      <c r="C11" s="585"/>
      <c r="D11" s="1775">
        <f t="shared" si="0"/>
        <v>11147</v>
      </c>
      <c r="E11" s="585">
        <v>11598.62</v>
      </c>
      <c r="F11" s="1775">
        <f t="shared" si="1"/>
        <v>11598.62</v>
      </c>
    </row>
    <row r="12" spans="1:6" ht="13.7" customHeight="1" x14ac:dyDescent="0.2">
      <c r="A12" s="716" t="s">
        <v>159</v>
      </c>
      <c r="B12" s="1772">
        <f>'Revenues 9-14'!K5</f>
        <v>5310</v>
      </c>
      <c r="C12" s="585"/>
      <c r="D12" s="1775">
        <f t="shared" si="0"/>
        <v>5310</v>
      </c>
      <c r="E12" s="585">
        <v>5526.3</v>
      </c>
      <c r="F12" s="1775">
        <f t="shared" si="1"/>
        <v>5526.3</v>
      </c>
    </row>
    <row r="13" spans="1:6" ht="13.7" customHeight="1" x14ac:dyDescent="0.2">
      <c r="A13" s="716" t="s">
        <v>993</v>
      </c>
      <c r="B13" s="1772">
        <f>SUM('Revenues 9-14'!C6:D6)</f>
        <v>0</v>
      </c>
      <c r="C13" s="585"/>
      <c r="D13" s="1775">
        <f t="shared" si="0"/>
        <v>0</v>
      </c>
      <c r="E13" s="585">
        <v>0</v>
      </c>
      <c r="F13" s="1775">
        <f t="shared" si="1"/>
        <v>0</v>
      </c>
    </row>
    <row r="14" spans="1:6" ht="13.7" customHeight="1" x14ac:dyDescent="0.2">
      <c r="A14" s="716" t="s">
        <v>430</v>
      </c>
      <c r="B14" s="1772">
        <f>SUM('Revenues 9-14'!C7:D7,'Revenues 9-14'!F7:H7)</f>
        <v>1062</v>
      </c>
      <c r="C14" s="585"/>
      <c r="D14" s="1775">
        <f t="shared" si="0"/>
        <v>1062</v>
      </c>
      <c r="E14" s="585">
        <v>1106.72</v>
      </c>
      <c r="F14" s="1775">
        <f t="shared" si="1"/>
        <v>1106.72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1062</v>
      </c>
      <c r="C16" s="585"/>
      <c r="D16" s="1775">
        <f t="shared" si="0"/>
        <v>1062</v>
      </c>
      <c r="E16" s="585">
        <v>1106.72</v>
      </c>
      <c r="F16" s="1775">
        <f t="shared" si="1"/>
        <v>1106.72</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372227</v>
      </c>
      <c r="C19" s="1773">
        <f>SUM(C4:C18)</f>
        <v>0</v>
      </c>
      <c r="D19" s="1773">
        <f>SUM(D4:D18)</f>
        <v>372227</v>
      </c>
      <c r="E19" s="1773">
        <f>SUM(E4:E18)</f>
        <v>386681.25999999983</v>
      </c>
      <c r="F19" s="1773">
        <f>SUM(F4:F18)</f>
        <v>386681.25999999983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integeral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colorId="8" zoomScaleNormal="110" workbookViewId="0">
      <selection activeCell="E9" sqref="E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2078</v>
      </c>
      <c r="B31" s="734">
        <v>40603</v>
      </c>
      <c r="C31" s="735">
        <v>231800</v>
      </c>
      <c r="D31" s="736">
        <v>1</v>
      </c>
      <c r="E31" s="735"/>
      <c r="F31" s="735"/>
      <c r="G31" s="735"/>
      <c r="H31" s="735"/>
      <c r="I31" s="1778">
        <f>((E31+F31)-H31)+G31</f>
        <v>0</v>
      </c>
      <c r="J31" s="735"/>
      <c r="K31" s="737"/>
    </row>
    <row r="32" spans="1:11" ht="12" customHeight="1" x14ac:dyDescent="0.2">
      <c r="A32" s="733" t="s">
        <v>2079</v>
      </c>
      <c r="B32" s="734">
        <v>41380</v>
      </c>
      <c r="C32" s="735">
        <v>500000</v>
      </c>
      <c r="D32" s="736">
        <v>7</v>
      </c>
      <c r="E32" s="735">
        <v>460000</v>
      </c>
      <c r="F32" s="735"/>
      <c r="G32" s="735"/>
      <c r="H32" s="735">
        <v>20000</v>
      </c>
      <c r="I32" s="1778">
        <f>((E32+F32)-H32)+G32</f>
        <v>440000</v>
      </c>
      <c r="J32" s="735">
        <v>406931</v>
      </c>
      <c r="K32" s="737"/>
    </row>
    <row r="33" spans="1:11" ht="12" customHeight="1" x14ac:dyDescent="0.2">
      <c r="A33" s="733" t="s">
        <v>2080</v>
      </c>
      <c r="B33" s="734">
        <v>42825</v>
      </c>
      <c r="C33" s="735">
        <v>445800</v>
      </c>
      <c r="D33" s="736">
        <v>1</v>
      </c>
      <c r="E33" s="735">
        <v>445800</v>
      </c>
      <c r="F33" s="735"/>
      <c r="G33" s="735"/>
      <c r="H33" s="735">
        <v>11100</v>
      </c>
      <c r="I33" s="1778">
        <f t="shared" ref="I33:I48" si="1">((E33+F33)-H33)+G33</f>
        <v>434700</v>
      </c>
      <c r="J33" s="735">
        <v>434700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1177600</v>
      </c>
      <c r="D49" s="746"/>
      <c r="E49" s="1778">
        <f t="shared" ref="E49:J49" si="2">SUM(E31:E48)</f>
        <v>905800</v>
      </c>
      <c r="F49" s="1778">
        <f t="shared" si="2"/>
        <v>0</v>
      </c>
      <c r="G49" s="1778">
        <f t="shared" si="2"/>
        <v>0</v>
      </c>
      <c r="H49" s="1778">
        <f t="shared" si="2"/>
        <v>31100</v>
      </c>
      <c r="I49" s="1778">
        <f t="shared" si="2"/>
        <v>874700</v>
      </c>
      <c r="J49" s="1778">
        <f t="shared" si="2"/>
        <v>841631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integeral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topLeftCell="A4" colorId="8" zoomScaleNormal="110" workbookViewId="0">
      <selection activeCell="J7" sqref="J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f>'Revenues 9-14'!C7</f>
        <v>1062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1062</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1062</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1062</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integeral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C6" sqref="C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2000</v>
      </c>
      <c r="D5" s="842"/>
      <c r="E5" s="842"/>
      <c r="F5" s="1782">
        <f>(C5+D5)-E5</f>
        <v>2000</v>
      </c>
      <c r="G5" s="838"/>
      <c r="H5" s="843"/>
      <c r="I5" s="843"/>
      <c r="J5" s="843"/>
      <c r="K5" s="794"/>
      <c r="L5" s="1791">
        <f>F5-K5</f>
        <v>2000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380909</v>
      </c>
      <c r="D8" s="845">
        <v>5710</v>
      </c>
      <c r="E8" s="845"/>
      <c r="F8" s="1782">
        <f>(C8+D8)-E8</f>
        <v>386619</v>
      </c>
      <c r="G8" s="844">
        <v>50</v>
      </c>
      <c r="H8" s="766">
        <v>301573</v>
      </c>
      <c r="I8" s="766">
        <v>7732</v>
      </c>
      <c r="J8" s="766"/>
      <c r="K8" s="1791">
        <f>(H8+I8)-J8</f>
        <v>309305</v>
      </c>
      <c r="L8" s="1791">
        <f>F8-K8</f>
        <v>77314</v>
      </c>
    </row>
    <row r="9" spans="1:14" ht="14.25" thickTop="1" thickBot="1" x14ac:dyDescent="0.25">
      <c r="A9" s="779" t="s">
        <v>1181</v>
      </c>
      <c r="B9" s="841">
        <v>232</v>
      </c>
      <c r="C9" s="766">
        <v>0</v>
      </c>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29930</v>
      </c>
      <c r="D10" s="847">
        <v>22478</v>
      </c>
      <c r="E10" s="847"/>
      <c r="F10" s="1786">
        <f>(C10+D10)-E10</f>
        <v>52408</v>
      </c>
      <c r="G10" s="844">
        <v>20</v>
      </c>
      <c r="H10" s="848">
        <v>8789</v>
      </c>
      <c r="I10" s="848">
        <v>2237</v>
      </c>
      <c r="J10" s="848"/>
      <c r="K10" s="1791">
        <f>(H10+I10)-J10</f>
        <v>11026</v>
      </c>
      <c r="L10" s="1791">
        <f>F10-K10</f>
        <v>41382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234874</v>
      </c>
      <c r="D12" s="845"/>
      <c r="E12" s="845"/>
      <c r="F12" s="1782">
        <f>(C12+D12)-E12</f>
        <v>234874</v>
      </c>
      <c r="G12" s="844">
        <v>10</v>
      </c>
      <c r="H12" s="766">
        <v>233155</v>
      </c>
      <c r="I12" s="766">
        <v>688</v>
      </c>
      <c r="J12" s="766"/>
      <c r="K12" s="1791">
        <f>(H12+I12)-J12</f>
        <v>233843</v>
      </c>
      <c r="L12" s="1791">
        <f>F12-K12</f>
        <v>1031</v>
      </c>
    </row>
    <row r="13" spans="1:14" ht="14.25" thickTop="1" thickBot="1" x14ac:dyDescent="0.25">
      <c r="A13" s="849" t="s">
        <v>1184</v>
      </c>
      <c r="B13" s="841">
        <v>252</v>
      </c>
      <c r="C13" s="845">
        <v>99632</v>
      </c>
      <c r="D13" s="845">
        <v>8357</v>
      </c>
      <c r="E13" s="845"/>
      <c r="F13" s="1782">
        <f>(C13+D13)-E13</f>
        <v>107989</v>
      </c>
      <c r="G13" s="844">
        <v>5</v>
      </c>
      <c r="H13" s="766">
        <v>97612</v>
      </c>
      <c r="I13" s="766">
        <f>680+165+1671</f>
        <v>2516</v>
      </c>
      <c r="J13" s="766"/>
      <c r="K13" s="1791">
        <f>(H13+I13)-J13</f>
        <v>100128</v>
      </c>
      <c r="L13" s="1791">
        <f>F13-K13</f>
        <v>7861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747345</v>
      </c>
      <c r="D16" s="1782">
        <f>SUM(D3,D5:D6,D8:D10,D12:D15)</f>
        <v>36545</v>
      </c>
      <c r="E16" s="1782">
        <f>SUM(E3,E5:E6,E8:E10,E12:E15)</f>
        <v>0</v>
      </c>
      <c r="F16" s="1782">
        <f>SUM(F3,F5:F6,F8:F10,F12:F15)</f>
        <v>783890</v>
      </c>
      <c r="G16" s="844"/>
      <c r="H16" s="1782">
        <f>SUM(H3,H6,H8:H10,H12:H14,)</f>
        <v>641129</v>
      </c>
      <c r="I16" s="1782">
        <f>SUM(I3,I6,I8:I10,I12:I14,)</f>
        <v>13173</v>
      </c>
      <c r="J16" s="1782">
        <f>SUM(J3,J6,J8:J10,J12:J14,)</f>
        <v>0</v>
      </c>
      <c r="K16" s="1782">
        <f>(H16+I16)-J16</f>
        <v>654302</v>
      </c>
      <c r="L16" s="1782">
        <f>F16-K16</f>
        <v>129588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13173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integeral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58" colorId="8" zoomScale="110" zoomScaleNormal="110" workbookViewId="0">
      <selection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548852</v>
      </c>
      <c r="G8" s="866"/>
    </row>
    <row r="9" spans="1:7" x14ac:dyDescent="0.2">
      <c r="A9" s="870" t="s">
        <v>480</v>
      </c>
      <c r="B9" s="871" t="s">
        <v>1989</v>
      </c>
      <c r="C9" s="872"/>
      <c r="D9" s="870" t="s">
        <v>522</v>
      </c>
      <c r="E9" s="869"/>
      <c r="F9" s="1935">
        <f>'Expenditures 15-22'!K151</f>
        <v>41281</v>
      </c>
      <c r="G9" s="873"/>
    </row>
    <row r="10" spans="1:7" x14ac:dyDescent="0.2">
      <c r="A10" s="870" t="s">
        <v>520</v>
      </c>
      <c r="B10" s="871" t="s">
        <v>1990</v>
      </c>
      <c r="C10" s="872"/>
      <c r="D10" s="870" t="s">
        <v>522</v>
      </c>
      <c r="E10" s="869"/>
      <c r="F10" s="1935">
        <f>'Expenditures 15-22'!K174</f>
        <v>75347</v>
      </c>
      <c r="G10" s="873"/>
    </row>
    <row r="11" spans="1:7" x14ac:dyDescent="0.2">
      <c r="A11" s="870" t="s">
        <v>481</v>
      </c>
      <c r="B11" s="871" t="s">
        <v>1991</v>
      </c>
      <c r="C11" s="872"/>
      <c r="D11" s="870" t="s">
        <v>522</v>
      </c>
      <c r="E11" s="869"/>
      <c r="F11" s="1935">
        <f>'Expenditures 15-22'!K210</f>
        <v>28240</v>
      </c>
      <c r="G11" s="873"/>
    </row>
    <row r="12" spans="1:7" x14ac:dyDescent="0.2">
      <c r="A12" s="870" t="s">
        <v>482</v>
      </c>
      <c r="B12" s="871" t="s">
        <v>1992</v>
      </c>
      <c r="C12" s="872"/>
      <c r="D12" s="870" t="s">
        <v>522</v>
      </c>
      <c r="E12" s="869"/>
      <c r="F12" s="1935">
        <f>'Expenditures 15-22'!K295</f>
        <v>1999</v>
      </c>
      <c r="G12" s="873"/>
    </row>
    <row r="13" spans="1:7" x14ac:dyDescent="0.2">
      <c r="A13" s="870" t="s">
        <v>108</v>
      </c>
      <c r="B13" s="871" t="s">
        <v>1993</v>
      </c>
      <c r="C13" s="872"/>
      <c r="D13" s="870" t="s">
        <v>522</v>
      </c>
      <c r="E13" s="869"/>
      <c r="F13" s="1935">
        <f>'Expenditures 15-22'!K342</f>
        <v>17522</v>
      </c>
      <c r="G13" s="874"/>
    </row>
    <row r="14" spans="1:7" ht="12" customHeight="1" thickBot="1" x14ac:dyDescent="0.25">
      <c r="A14" s="1792"/>
      <c r="B14" s="1793"/>
      <c r="C14" s="1794"/>
      <c r="D14" s="1795" t="s">
        <v>522</v>
      </c>
      <c r="E14" s="1796" t="s">
        <v>1015</v>
      </c>
      <c r="F14" s="1797">
        <f>SUM(F8:F13)</f>
        <v>713241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21296</v>
      </c>
      <c r="G53" s="866"/>
    </row>
    <row r="54" spans="1:7" x14ac:dyDescent="0.2">
      <c r="A54" s="870" t="s">
        <v>479</v>
      </c>
      <c r="B54" s="870" t="s">
        <v>1552</v>
      </c>
      <c r="C54" s="890" t="s">
        <v>1039</v>
      </c>
      <c r="D54" s="886" t="s">
        <v>1157</v>
      </c>
      <c r="E54" s="869"/>
      <c r="F54" s="1939">
        <f>'Expenditures 15-22'!G114</f>
        <v>5889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11388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31100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69673</v>
      </c>
      <c r="G76" s="866"/>
    </row>
    <row r="77" spans="1:8" s="894" customFormat="1" ht="12" customHeight="1" thickTop="1" thickBot="1" x14ac:dyDescent="0.25">
      <c r="A77" s="1801"/>
      <c r="B77" s="1798"/>
      <c r="C77" s="1794"/>
      <c r="D77" s="1799" t="s">
        <v>2012</v>
      </c>
      <c r="E77" s="1796"/>
      <c r="F77" s="1802">
        <f>(F14-F76)</f>
        <v>643568</v>
      </c>
      <c r="G77" s="870"/>
    </row>
    <row r="78" spans="1:8" s="894" customFormat="1" ht="12" customHeight="1" thickTop="1" x14ac:dyDescent="0.2">
      <c r="A78" s="1803"/>
      <c r="B78" s="1798"/>
      <c r="C78" s="1794"/>
      <c r="D78" s="1799" t="s">
        <v>2059</v>
      </c>
      <c r="E78" s="1796"/>
      <c r="F78" s="899">
        <v>51.68</v>
      </c>
      <c r="G78" s="900"/>
      <c r="H78" s="870"/>
    </row>
    <row r="79" spans="1:8" s="894" customFormat="1" ht="12" customHeight="1" thickBot="1" x14ac:dyDescent="0.25">
      <c r="A79" s="1804"/>
      <c r="B79" s="1798"/>
      <c r="C79" s="1794"/>
      <c r="D79" s="1799" t="s">
        <v>2013</v>
      </c>
      <c r="E79" s="1796" t="s">
        <v>1015</v>
      </c>
      <c r="F79" s="1805">
        <f>IF(F78&gt;0,F77/F78," Complete Line 78")</f>
        <v>12452.941176470589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4666</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1085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16807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6073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18394</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1430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294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48975</v>
      </c>
    </row>
    <row r="179" spans="1:7" ht="12" customHeight="1" x14ac:dyDescent="0.2">
      <c r="A179" s="1792"/>
      <c r="B179" s="1806"/>
      <c r="C179" s="1807"/>
      <c r="D179" s="1808" t="s">
        <v>2015</v>
      </c>
      <c r="E179" s="1809"/>
      <c r="F179" s="1811">
        <f>'PCTC-OEPP 27-28'!F77-F178</f>
        <v>594593</v>
      </c>
    </row>
    <row r="180" spans="1:7" ht="12" customHeight="1" x14ac:dyDescent="0.2">
      <c r="A180" s="1792"/>
      <c r="B180" s="1806"/>
      <c r="C180" s="1807"/>
      <c r="D180" s="1808" t="s">
        <v>1924</v>
      </c>
      <c r="E180" s="1809"/>
      <c r="F180" s="1811">
        <f>'Cap Outlay Deprec 26'!I18</f>
        <v>13173</v>
      </c>
    </row>
    <row r="181" spans="1:7" ht="12" customHeight="1" x14ac:dyDescent="0.2">
      <c r="A181" s="1792"/>
      <c r="B181" s="1806"/>
      <c r="C181" s="1807"/>
      <c r="D181" s="1808" t="s">
        <v>2016</v>
      </c>
      <c r="E181" s="1809"/>
      <c r="F181" s="1811">
        <f>F179+F180</f>
        <v>607766</v>
      </c>
    </row>
    <row r="182" spans="1:7" ht="12" customHeight="1" x14ac:dyDescent="0.2">
      <c r="A182" s="1792"/>
      <c r="B182" s="1812"/>
      <c r="C182" s="1807"/>
      <c r="D182" s="1808" t="str">
        <f>D78</f>
        <v>9 Month ADA from District Average Daily Attendance/Prior General State Aid Inquiry 2017-2018</v>
      </c>
      <c r="E182" s="1809"/>
      <c r="F182" s="1813">
        <f>'PCTC-OEPP 27-28'!F78</f>
        <v>51.68</v>
      </c>
      <c r="G182" s="931"/>
    </row>
    <row r="183" spans="1:7" ht="12" customHeight="1" thickBot="1" x14ac:dyDescent="0.25">
      <c r="A183" s="1792"/>
      <c r="B183" s="1812"/>
      <c r="C183" s="1807"/>
      <c r="D183" s="1808" t="s">
        <v>2017</v>
      </c>
      <c r="E183" s="1809" t="s">
        <v>1626</v>
      </c>
      <c r="F183" s="1814">
        <f>F181/F182</f>
        <v>11760.178018575851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integeral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17" sqref="B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2098</v>
      </c>
      <c r="B17" s="1957" t="s">
        <v>2099</v>
      </c>
      <c r="C17" s="1958" t="s">
        <v>2100</v>
      </c>
      <c r="D17" s="1867">
        <v>4788.72</v>
      </c>
      <c r="E17" s="1562">
        <f t="shared" ref="E17:E141" si="1">IF(D17&lt;=25000,D17,IF(D17&gt;25000,25000,0))</f>
        <v>4788.72</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4788.72</v>
      </c>
      <c r="E141" s="1563">
        <f t="shared" si="1"/>
        <v>4788.72</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28" colorId="8" zoomScaleNormal="110" workbookViewId="0">
      <selection activeCell="A46" sqref="A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f>'Expenditures 15-22'!C60+'Expenditures 15-22'!D264</f>
        <v>28258</v>
      </c>
      <c r="F8" s="975"/>
      <c r="G8" s="976"/>
      <c r="H8" s="162"/>
      <c r="I8" s="162"/>
    </row>
    <row r="9" spans="1:9" s="669" customFormat="1" ht="12" customHeight="1" x14ac:dyDescent="0.2">
      <c r="A9" s="971" t="s">
        <v>132</v>
      </c>
      <c r="B9" s="972"/>
      <c r="C9" s="972"/>
      <c r="D9" s="973"/>
      <c r="E9" s="974">
        <f>'Expenditures 15-22'!C61+'Expenditures 15-22'!C124</f>
        <v>4728</v>
      </c>
      <c r="F9" s="975"/>
      <c r="G9" s="976"/>
      <c r="H9" s="162"/>
      <c r="I9" s="162"/>
    </row>
    <row r="10" spans="1:9" s="669" customFormat="1" ht="12" customHeight="1" x14ac:dyDescent="0.2">
      <c r="A10" s="971" t="s">
        <v>2076</v>
      </c>
      <c r="B10" s="972"/>
      <c r="C10" s="977"/>
      <c r="D10" s="973"/>
      <c r="E10" s="974">
        <f>'Expenditures 15-22'!C63</f>
        <v>10109</v>
      </c>
      <c r="F10" s="975"/>
      <c r="G10" s="976"/>
      <c r="H10" s="162"/>
      <c r="I10" s="162"/>
    </row>
    <row r="11" spans="1:9" s="669" customFormat="1" ht="22.5" customHeight="1" x14ac:dyDescent="0.2">
      <c r="A11" s="2305" t="s">
        <v>1945</v>
      </c>
      <c r="B11" s="2306"/>
      <c r="C11" s="2306"/>
      <c r="D11" s="2307"/>
      <c r="E11" s="978">
        <v>2676.44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366689</v>
      </c>
      <c r="F19" s="1822"/>
      <c r="G19" s="1824">
        <f>'Expenditures 15-22'!K33-SUM('Expenditures 15-22'!G33,'Expenditures 15-22'!I33)+'Expenditures 15-22'!D229</f>
        <v>366689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v>
      </c>
      <c r="F21" s="1825"/>
      <c r="G21" s="1828">
        <f>'Expenditures 15-22'!K42-SUM('Expenditures 15-22'!G42,'Expenditures 15-22'!I42)+'Expenditures 15-22'!K120-SUM('Expenditures 15-22'!G120,'Expenditures 15-22'!I120)+'Expenditures 15-22'!K180-SUM('Expenditures 15-22'!G180,'Expenditures 15-22'!I180)+'Expenditures 15-22'!D238</f>
        <v>17</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106461</v>
      </c>
      <c r="F23" s="1825"/>
      <c r="G23" s="1827">
        <f>'Expenditures 15-22'!K53-SUM('Expenditures 15-22'!G53,'Expenditures 15-22'!I53)+'Expenditures 15-22'!D257+'Expenditures 15-22'!K330-SUM('Expenditures 15-22'!G330,'Expenditures 15-22'!I330)</f>
        <v>106461</v>
      </c>
      <c r="H23" s="988"/>
      <c r="I23" s="162"/>
    </row>
    <row r="24" spans="1:9" s="669" customFormat="1" ht="12" customHeight="1" x14ac:dyDescent="0.2">
      <c r="A24" s="995" t="s">
        <v>587</v>
      </c>
      <c r="B24" s="996"/>
      <c r="C24" s="994">
        <v>2400</v>
      </c>
      <c r="D24" s="1825"/>
      <c r="E24" s="1827">
        <f>'Expenditures 15-22'!K57-SUM('Expenditures 15-22'!G57,'Expenditures 15-22'!I57)+'Expenditures 15-22'!D261</f>
        <v>480</v>
      </c>
      <c r="F24" s="1825"/>
      <c r="G24" s="1828">
        <f>'Expenditures 15-22'!K57-SUM('Expenditures 15-22'!G57,'Expenditures 15-22'!I57)+'Expenditures 15-22'!D261</f>
        <v>480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7149</v>
      </c>
      <c r="E27" s="1827">
        <f>E8</f>
        <v>28258</v>
      </c>
      <c r="F27" s="1827">
        <f>'Expenditures 15-22'!K60-SUM('Expenditures 15-22'!G60,'Expenditures 15-22'!I60)+'Expenditures 15-22'!D264-E8</f>
        <v>7149</v>
      </c>
      <c r="G27" s="1828">
        <f>E8</f>
        <v>28258</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31773</v>
      </c>
      <c r="F28" s="1829">
        <f>'Expenditures 15-22'!K61-SUM('Expenditures 15-22'!G61,'Expenditures 15-22'!I61)+'Expenditures 15-22'!K124-SUM('Expenditures 15-22'!G124,'Expenditures 15-22'!I124)+'Expenditures 15-22'!D266-E9</f>
        <v>27045</v>
      </c>
      <c r="G28" s="1828">
        <f>E9</f>
        <v>4728</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30247</v>
      </c>
      <c r="F29" s="1825"/>
      <c r="G29" s="1828">
        <f>'Expenditures 15-22'!K62-SUM('Expenditures 15-22'!G62,'Expenditures 15-22'!I62)+'Expenditures 15-22'!K125-SUM('Expenditures 15-22'!G125,'Expenditures 15-22'!I125)+'Expenditures 15-22'!K182-SUM('Expenditures 15-22'!G182,'Expenditures 15-22'!I182)+'Expenditures 15-22'!D267</f>
        <v>30247</v>
      </c>
      <c r="H29" s="986"/>
    </row>
    <row r="30" spans="1:9" ht="12" customHeight="1" x14ac:dyDescent="0.2">
      <c r="A30" s="995" t="s">
        <v>102</v>
      </c>
      <c r="B30" s="998"/>
      <c r="C30" s="994">
        <v>2560</v>
      </c>
      <c r="D30" s="1825"/>
      <c r="E30" s="1827">
        <f>'Expenditures 15-22'!K63-SUM('Expenditures 15-22'!G63,'Expenditures 15-22'!I63)+'Expenditures 15-22'!D268-E10</f>
        <v>17693</v>
      </c>
      <c r="F30" s="1825"/>
      <c r="G30" s="1827">
        <f>'Expenditures 15-22'!K63-SUM('Expenditures 15-22'!G63,'Expenditures 15-22'!I63)+'Expenditures 15-22'!D268-E10</f>
        <v>17693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445</v>
      </c>
      <c r="E37" s="1827">
        <f>E14</f>
        <v>0</v>
      </c>
      <c r="F37" s="1827">
        <f>'Expenditures 15-22'!K71-SUM('Expenditures 15-22'!G71,'Expenditures 15-22'!I71)+'Expenditures 15-22'!D276-E14</f>
        <v>445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7594</v>
      </c>
      <c r="E41" s="1829">
        <f>SUM(E19:E40)</f>
        <v>581618</v>
      </c>
      <c r="F41" s="1829">
        <f>SUM(F19:F39)</f>
        <v>34639</v>
      </c>
      <c r="G41" s="1829">
        <f>SUM(G19:G40)</f>
        <v>554573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7594</v>
      </c>
      <c r="F43" s="1830" t="s">
        <v>495</v>
      </c>
      <c r="G43" s="1831">
        <f>F41</f>
        <v>34639</v>
      </c>
    </row>
    <row r="44" spans="1:7" ht="12" customHeight="1" x14ac:dyDescent="0.2">
      <c r="A44" s="988"/>
      <c r="B44" s="162"/>
      <c r="C44" s="1002"/>
      <c r="D44" s="1830" t="s">
        <v>494</v>
      </c>
      <c r="E44" s="1831">
        <f>E41</f>
        <v>581618</v>
      </c>
      <c r="F44" s="1830" t="s">
        <v>494</v>
      </c>
      <c r="G44" s="1831">
        <f>G41</f>
        <v>554573</v>
      </c>
    </row>
    <row r="45" spans="1:7" ht="12" customHeight="1" x14ac:dyDescent="0.2">
      <c r="A45" s="988"/>
      <c r="B45" s="162"/>
      <c r="C45" s="162"/>
      <c r="D45" s="1832" t="s">
        <v>1063</v>
      </c>
      <c r="E45" s="1833">
        <f>(E43/E44)</f>
        <v>1.3056679813898469E-2</v>
      </c>
      <c r="F45" s="1832" t="s">
        <v>1063</v>
      </c>
      <c r="G45" s="1833">
        <f>(G43/G44)</f>
        <v>6.2460667937313932E-2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integeral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zoomScaleSheetLayoutView="10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McClellan CCSD 12</v>
      </c>
      <c r="D6" s="2326"/>
      <c r="E6" s="2326"/>
      <c r="F6" s="1877"/>
    </row>
    <row r="7" spans="1:10" ht="11.25" customHeight="1" thickBot="1" x14ac:dyDescent="0.3">
      <c r="A7" s="1875"/>
      <c r="B7" s="1876"/>
      <c r="C7" s="2327" t="str">
        <f>COVER!A13</f>
        <v>13-041-0120-04</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2081</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fitToHeight="0" orientation="landscape" r:id="rId1"/>
  <headerFooter>
    <oddFooter>&amp;L"The notes are an integeral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topLeftCell="A10" colorId="8" zoomScaleNormal="110" workbookViewId="0">
      <selection activeCell="F28" sqref="F28:G2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McClellan CCSD 12</v>
      </c>
      <c r="J6" s="2336"/>
      <c r="Q6" s="1686"/>
    </row>
    <row r="7" spans="1:17" x14ac:dyDescent="0.2">
      <c r="A7" s="2337" t="s">
        <v>924</v>
      </c>
      <c r="B7" s="2338"/>
      <c r="C7" s="2338"/>
      <c r="D7" s="2338"/>
      <c r="E7" s="2339"/>
      <c r="F7" s="1018"/>
      <c r="G7" s="1010"/>
      <c r="H7" s="1017" t="s">
        <v>390</v>
      </c>
      <c r="I7" s="2340" t="str">
        <f>COVER!A13</f>
        <v>13-041-0120-04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70085</v>
      </c>
      <c r="F12" s="1040"/>
      <c r="G12" s="1834">
        <f t="shared" ref="G12:G18" si="0">SUM(E12:F12)</f>
        <v>70085</v>
      </c>
      <c r="H12" s="1041">
        <v>83750</v>
      </c>
      <c r="I12" s="1040"/>
      <c r="J12" s="1834">
        <f t="shared" ref="J12:J18" si="1">SUM(H12:I12)</f>
        <v>83750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70085</v>
      </c>
      <c r="F19" s="1836">
        <f t="shared" si="2"/>
        <v>0</v>
      </c>
      <c r="G19" s="1836">
        <f t="shared" si="2"/>
        <v>70085</v>
      </c>
      <c r="H19" s="1836">
        <f t="shared" si="2"/>
        <v>83750</v>
      </c>
      <c r="I19" s="1836">
        <f t="shared" si="2"/>
        <v>0</v>
      </c>
      <c r="J19" s="1836">
        <f t="shared" si="2"/>
        <v>83750</v>
      </c>
    </row>
    <row r="20" spans="1:10" ht="13.5" thickTop="1" x14ac:dyDescent="0.2">
      <c r="A20" s="1036">
        <v>9</v>
      </c>
      <c r="B20" s="2347" t="s">
        <v>1703</v>
      </c>
      <c r="C20" s="2347"/>
      <c r="D20" s="2348"/>
      <c r="E20" s="1047"/>
      <c r="F20" s="1047"/>
      <c r="G20" s="1047"/>
      <c r="H20" s="1047"/>
      <c r="I20" s="1047"/>
      <c r="J20" s="1837">
        <f>IF(AND(G19&gt;0,J19&gt;0),(((J19-G19)/G19)),"Enter Budget Data")</f>
        <v>0.19497752728829279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t="s">
        <v>2104</v>
      </c>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integeral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zoomScaleNormal="110" workbookViewId="0">
      <selection activeCell="B55" sqref="B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McClellan CCSD 12</v>
      </c>
    </row>
    <row r="65" spans="2:2" x14ac:dyDescent="0.2">
      <c r="B65" s="1071" t="str">
        <f>COVER!A13</f>
        <v>13-041-0120-04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integeral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election activeCell="B85" sqref="B8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&amp;L"The notes are an integeral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topLeftCell="A13" colorId="8" zoomScaleNormal="110" workbookViewId="0">
      <selection activeCell="C53" sqref="C5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integeral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integeral part of these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180975</xdr:colOff>
                <xdr:row>2</xdr:row>
                <xdr:rowOff>66675</xdr:rowOff>
              </from>
              <to>
                <xdr:col>1</xdr:col>
                <xdr:colOff>1095375</xdr:colOff>
                <xdr:row>6</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zoomScaleNormal="110" workbookViewId="0">
      <selection activeCell="A14" sqref="A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610003</v>
      </c>
      <c r="C8" s="1838">
        <f>'Acct Summary 7-8'!D8</f>
        <v>49610</v>
      </c>
      <c r="D8" s="1838">
        <f>'Acct Summary 7-8'!F8</f>
        <v>11525</v>
      </c>
      <c r="E8" s="1838">
        <f>'Acct Summary 7-8'!I8</f>
        <v>9880</v>
      </c>
      <c r="F8" s="1838">
        <f>SUM(B8:E8)</f>
        <v>681018</v>
      </c>
    </row>
    <row r="9" spans="1:8" s="1080" customFormat="1" ht="14.25" customHeight="1" thickBot="1" x14ac:dyDescent="0.25">
      <c r="A9" s="1079" t="s">
        <v>1436</v>
      </c>
      <c r="B9" s="1839">
        <f>'Acct Summary 7-8'!C17</f>
        <v>548852</v>
      </c>
      <c r="C9" s="1839">
        <f>'Acct Summary 7-8'!D17</f>
        <v>41281</v>
      </c>
      <c r="D9" s="1839">
        <f>'Acct Summary 7-8'!F17</f>
        <v>28240</v>
      </c>
      <c r="E9" s="1838"/>
      <c r="F9" s="1838">
        <f>SUM(B9:E9)</f>
        <v>618373</v>
      </c>
    </row>
    <row r="10" spans="1:8" s="1080" customFormat="1" ht="14.25" thickTop="1" thickBot="1" x14ac:dyDescent="0.25">
      <c r="A10" s="1081" t="s">
        <v>1437</v>
      </c>
      <c r="B10" s="1840">
        <f>(B8-B9)</f>
        <v>61151</v>
      </c>
      <c r="C10" s="1840">
        <f>(C8-C9)</f>
        <v>8329</v>
      </c>
      <c r="D10" s="1840">
        <f>(D8-D9)</f>
        <v>-16715</v>
      </c>
      <c r="E10" s="1839">
        <f>(E8-E9)</f>
        <v>9880</v>
      </c>
      <c r="F10" s="1841">
        <f>SUM(F8-F9)</f>
        <v>62645</v>
      </c>
    </row>
    <row r="11" spans="1:8" s="1080" customFormat="1" ht="14.25" thickTop="1" thickBot="1" x14ac:dyDescent="0.25">
      <c r="A11" s="1082" t="s">
        <v>1785</v>
      </c>
      <c r="B11" s="1842">
        <f>'Acct Summary 7-8'!C81</f>
        <v>95302</v>
      </c>
      <c r="C11" s="1842">
        <f>'Acct Summary 7-8'!D81</f>
        <v>19707</v>
      </c>
      <c r="D11" s="1842">
        <f>'Acct Summary 7-8'!F81</f>
        <v>65546</v>
      </c>
      <c r="E11" s="1842">
        <f>'Acct Summary 7-8'!I81</f>
        <v>356773</v>
      </c>
      <c r="F11" s="1843">
        <f>SUM(B11:E11)</f>
        <v>537328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integeral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&amp;L&amp;8"The notes are an integeral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13-041-0120-04</v>
      </c>
    </row>
    <row r="3" spans="1:2" x14ac:dyDescent="0.2">
      <c r="A3" t="s">
        <v>1013</v>
      </c>
      <c r="B3" s="138" t="str">
        <f>COVER!A15</f>
        <v>Jefferson</v>
      </c>
    </row>
    <row r="4" spans="1:2" x14ac:dyDescent="0.2">
      <c r="A4" t="s">
        <v>1064</v>
      </c>
      <c r="B4" s="138" t="str">
        <f>COVER!A17</f>
        <v>McClellan CCSD 12</v>
      </c>
    </row>
    <row r="5" spans="1:2" x14ac:dyDescent="0.2">
      <c r="A5" t="s">
        <v>728</v>
      </c>
      <c r="B5" s="138" t="str">
        <f>COVER!A38</f>
        <v>Tammy Beckham</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v>
      </c>
    </row>
    <row r="19" spans="1:2" x14ac:dyDescent="0.2">
      <c r="A19" t="s">
        <v>941</v>
      </c>
      <c r="B19" s="138" t="str">
        <f>COVER!T25</f>
        <v>kbatteau@kandb-cpa.com</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98290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2988</v>
      </c>
      <c r="C91" s="2" t="s">
        <v>594</v>
      </c>
      <c r="D91" s="2" t="str">
        <f t="shared" si="0"/>
        <v>Error?</v>
      </c>
    </row>
    <row r="92" spans="1:4" x14ac:dyDescent="0.2">
      <c r="A92" s="5">
        <v>31</v>
      </c>
      <c r="B92" s="138">
        <f>'Assets-Liab 5-6'!C39</f>
        <v>95302</v>
      </c>
      <c r="D92" s="2" t="str">
        <f t="shared" si="0"/>
        <v>Error?</v>
      </c>
    </row>
    <row r="93" spans="1:4" x14ac:dyDescent="0.2">
      <c r="A93" s="5">
        <v>32</v>
      </c>
      <c r="B93" s="138">
        <f>'Assets-Liab 5-6'!C41</f>
        <v>98290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19707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19707</v>
      </c>
      <c r="D123" s="2" t="str">
        <f t="shared" si="0"/>
        <v>Error?</v>
      </c>
    </row>
    <row r="124" spans="1:4" x14ac:dyDescent="0.2">
      <c r="A124" s="5">
        <v>63</v>
      </c>
      <c r="B124" s="138">
        <f>'Assets-Liab 5-6'!D41</f>
        <v>19707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33069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33069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65546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65546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40795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40795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v>
      </c>
      <c r="D273" s="2" t="str">
        <f t="shared" si="3"/>
        <v>Error?</v>
      </c>
    </row>
    <row r="274" spans="1:4" x14ac:dyDescent="0.2">
      <c r="A274" s="5">
        <v>213</v>
      </c>
      <c r="B274" s="138">
        <f>'Assets-Liab 5-6'!M17</f>
        <v>386619</v>
      </c>
      <c r="D274" s="2" t="str">
        <f t="shared" si="3"/>
        <v>Error?</v>
      </c>
    </row>
    <row r="275" spans="1:4" x14ac:dyDescent="0.2">
      <c r="A275" s="5">
        <v>214</v>
      </c>
      <c r="B275" s="138">
        <f>'Assets-Liab 5-6'!M18</f>
        <v>52408</v>
      </c>
      <c r="D275" s="2" t="str">
        <f t="shared" si="3"/>
        <v>Error?</v>
      </c>
    </row>
    <row r="276" spans="1:4" x14ac:dyDescent="0.2">
      <c r="A276" s="5">
        <v>215</v>
      </c>
      <c r="B276" s="138">
        <f>'Assets-Liab 5-6'!M19</f>
        <v>342863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783890</v>
      </c>
      <c r="C279" s="2" t="s">
        <v>594</v>
      </c>
      <c r="D279" s="2" t="str">
        <f t="shared" si="3"/>
        <v>Error?</v>
      </c>
    </row>
    <row r="280" spans="1:4" x14ac:dyDescent="0.2">
      <c r="A280" s="5">
        <v>219</v>
      </c>
      <c r="B280" s="138">
        <f>'Assets-Liab 5-6'!M40</f>
        <v>783890</v>
      </c>
      <c r="D280" s="2" t="str">
        <f t="shared" si="3"/>
        <v>Error?</v>
      </c>
    </row>
    <row r="281" spans="1:4" x14ac:dyDescent="0.2">
      <c r="A281" s="5">
        <v>220</v>
      </c>
      <c r="B281" s="138">
        <f>'Assets-Liab 5-6'!M41</f>
        <v>783890</v>
      </c>
      <c r="C281" s="2" t="s">
        <v>594</v>
      </c>
      <c r="D281" s="2" t="str">
        <f t="shared" si="3"/>
        <v>Error?</v>
      </c>
    </row>
    <row r="282" spans="1:4" x14ac:dyDescent="0.2">
      <c r="A282" s="5">
        <v>221</v>
      </c>
      <c r="B282" s="138">
        <f>'Assets-Liab 5-6'!N21</f>
        <v>33069</v>
      </c>
      <c r="D282" s="2" t="str">
        <f t="shared" si="3"/>
        <v>Error?</v>
      </c>
    </row>
    <row r="283" spans="1:4" x14ac:dyDescent="0.2">
      <c r="A283" s="5">
        <v>222</v>
      </c>
      <c r="B283" s="138">
        <f>'Assets-Liab 5-6'!N22</f>
        <v>841631</v>
      </c>
      <c r="D283" s="2" t="str">
        <f t="shared" si="3"/>
        <v>Error?</v>
      </c>
    </row>
    <row r="284" spans="1:4" x14ac:dyDescent="0.2">
      <c r="A284" s="5">
        <v>223</v>
      </c>
      <c r="B284" s="138">
        <f>'Assets-Liab 5-6'!N23</f>
        <v>874700</v>
      </c>
      <c r="C284" s="2" t="s">
        <v>594</v>
      </c>
      <c r="D284" s="2" t="str">
        <f t="shared" si="3"/>
        <v>Error?</v>
      </c>
    </row>
    <row r="285" spans="1:4" x14ac:dyDescent="0.2">
      <c r="A285" s="5">
        <v>224</v>
      </c>
      <c r="B285" s="138">
        <f>'Assets-Liab 5-6'!N36</f>
        <v>874700</v>
      </c>
      <c r="D285" s="2" t="str">
        <f t="shared" si="3"/>
        <v>Error?</v>
      </c>
    </row>
    <row r="286" spans="1:4" x14ac:dyDescent="0.2">
      <c r="A286" s="10">
        <v>225</v>
      </c>
      <c r="D286" s="2" t="str">
        <f t="shared" si="3"/>
        <v>OK</v>
      </c>
    </row>
    <row r="287" spans="1:4" x14ac:dyDescent="0.2">
      <c r="A287" s="5">
        <v>226</v>
      </c>
      <c r="B287" s="138">
        <f>'Assets-Liab 5-6'!N37</f>
        <v>874700</v>
      </c>
      <c r="C287" s="2" t="s">
        <v>594</v>
      </c>
      <c r="D287" s="2" t="str">
        <f t="shared" si="3"/>
        <v>Error?</v>
      </c>
    </row>
    <row r="288" spans="1:4" x14ac:dyDescent="0.2">
      <c r="A288" s="5">
        <v>227</v>
      </c>
      <c r="B288" s="138">
        <f>'Assets-Liab 5-6'!N41</f>
        <v>874700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222809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275650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62183</v>
      </c>
      <c r="D733" s="2" t="str">
        <f t="shared" si="10"/>
        <v>Error?</v>
      </c>
    </row>
    <row r="734" spans="1:4" x14ac:dyDescent="0.2">
      <c r="A734" s="5">
        <v>673</v>
      </c>
      <c r="B734" s="138">
        <f>'Expenditures 15-22'!C53</f>
        <v>62183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27311</v>
      </c>
      <c r="D739" s="2" t="str">
        <f t="shared" si="10"/>
        <v>Error?</v>
      </c>
    </row>
    <row r="740" spans="1:4" x14ac:dyDescent="0.2">
      <c r="A740" s="5">
        <v>679</v>
      </c>
      <c r="B740" s="138">
        <f>'Expenditures 15-22'!C61</f>
        <v>486</v>
      </c>
      <c r="D740" s="2" t="str">
        <f t="shared" si="10"/>
        <v>Error?</v>
      </c>
    </row>
    <row r="741" spans="1:4" x14ac:dyDescent="0.2">
      <c r="A741" s="5">
        <v>680</v>
      </c>
      <c r="B741" s="138">
        <f>'Expenditures 15-22'!C62</f>
        <v>1259</v>
      </c>
      <c r="D741" s="2" t="str">
        <f t="shared" si="10"/>
        <v>Error?</v>
      </c>
    </row>
    <row r="742" spans="1:4" x14ac:dyDescent="0.2">
      <c r="A742" s="5">
        <v>681</v>
      </c>
      <c r="B742" s="138">
        <f>'Expenditures 15-22'!C63</f>
        <v>10109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39165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101348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376998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44506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48265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6700</v>
      </c>
      <c r="D791" s="2" t="str">
        <f t="shared" si="11"/>
        <v>Error?</v>
      </c>
    </row>
    <row r="792" spans="1:4" x14ac:dyDescent="0.2">
      <c r="A792" s="5">
        <v>731</v>
      </c>
      <c r="B792" s="138">
        <f>'Expenditures 15-22'!D53</f>
        <v>6700</v>
      </c>
      <c r="C792" s="2" t="s">
        <v>594</v>
      </c>
      <c r="D792" s="2" t="str">
        <f t="shared" si="11"/>
        <v>Error?</v>
      </c>
    </row>
    <row r="793" spans="1:4" x14ac:dyDescent="0.2">
      <c r="A793" s="5">
        <v>732</v>
      </c>
      <c r="B793" s="138">
        <f>'Expenditures 15-22'!D55</f>
        <v>480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7191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55456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24429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31526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13500</v>
      </c>
      <c r="D848" s="2" t="str">
        <f t="shared" si="12"/>
        <v>Error?</v>
      </c>
    </row>
    <row r="849" spans="1:4" x14ac:dyDescent="0.2">
      <c r="A849" s="5">
        <v>788</v>
      </c>
      <c r="B849" s="138">
        <f>'Expenditures 15-22'!E50</f>
        <v>925</v>
      </c>
      <c r="D849" s="2" t="str">
        <f t="shared" si="12"/>
        <v>Error?</v>
      </c>
    </row>
    <row r="850" spans="1:4" x14ac:dyDescent="0.2">
      <c r="A850" s="5">
        <v>789</v>
      </c>
      <c r="B850" s="138">
        <f>'Expenditures 15-22'!E53</f>
        <v>14425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1107</v>
      </c>
      <c r="D855" s="2" t="str">
        <f t="shared" si="12"/>
        <v>Error?</v>
      </c>
    </row>
    <row r="856" spans="1:4" x14ac:dyDescent="0.2">
      <c r="A856" s="5">
        <v>795</v>
      </c>
      <c r="B856" s="138">
        <f>'Expenditures 15-22'!E61</f>
        <v>1334</v>
      </c>
      <c r="D856" s="2" t="str">
        <f t="shared" si="12"/>
        <v>Error?</v>
      </c>
    </row>
    <row r="857" spans="1:4" x14ac:dyDescent="0.2">
      <c r="A857" s="5">
        <v>796</v>
      </c>
      <c r="B857" s="138">
        <f>'Expenditures 15-22'!E62</f>
        <v>748</v>
      </c>
      <c r="D857" s="2" t="str">
        <f t="shared" si="12"/>
        <v>Error?</v>
      </c>
    </row>
    <row r="858" spans="1:4" x14ac:dyDescent="0.2">
      <c r="A858" s="5">
        <v>797</v>
      </c>
      <c r="B858" s="138">
        <f>'Expenditures 15-22'!E63</f>
        <v>135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3324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17749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49275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10360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10360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5354</v>
      </c>
      <c r="D906" s="2" t="str">
        <f t="shared" si="13"/>
        <v>Error?</v>
      </c>
    </row>
    <row r="907" spans="1:4" x14ac:dyDescent="0.2">
      <c r="A907" s="5">
        <v>846</v>
      </c>
      <c r="B907" s="138">
        <f>'Expenditures 15-22'!F50</f>
        <v>277</v>
      </c>
      <c r="D907" s="2" t="str">
        <f t="shared" si="13"/>
        <v>Error?</v>
      </c>
    </row>
    <row r="908" spans="1:4" x14ac:dyDescent="0.2">
      <c r="A908" s="5">
        <v>847</v>
      </c>
      <c r="B908" s="138">
        <f>'Expenditures 15-22'!F53</f>
        <v>5631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6042</v>
      </c>
      <c r="D913" s="2" t="str">
        <f t="shared" si="13"/>
        <v>Error?</v>
      </c>
    </row>
    <row r="914" spans="1:4" x14ac:dyDescent="0.2">
      <c r="A914" s="5">
        <v>853</v>
      </c>
      <c r="B914" s="138">
        <f>'Expenditures 15-22'!F61</f>
        <v>11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17449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23502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445</v>
      </c>
      <c r="D925" s="2" t="str">
        <f t="shared" si="13"/>
        <v>Error?</v>
      </c>
    </row>
    <row r="926" spans="1:4" x14ac:dyDescent="0.2">
      <c r="A926" s="10">
        <v>865</v>
      </c>
      <c r="D926" s="2" t="str">
        <f t="shared" si="13"/>
        <v>OK</v>
      </c>
    </row>
    <row r="927" spans="1:4" x14ac:dyDescent="0.2">
      <c r="A927" s="5">
        <v>866</v>
      </c>
      <c r="B927" s="138">
        <f>'Expenditures 15-22'!F72</f>
        <v>445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29578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39938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5889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5889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21296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21296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307993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600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371690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18854</v>
      </c>
      <c r="C1120" s="2" t="s">
        <v>594</v>
      </c>
      <c r="D1120" s="2" t="str">
        <f t="shared" si="16"/>
        <v>Error?</v>
      </c>
    </row>
    <row r="1121" spans="1:4" x14ac:dyDescent="0.2">
      <c r="A1121" s="5">
        <v>1060</v>
      </c>
      <c r="B1121" s="138">
        <f>'Expenditures 15-22'!K50</f>
        <v>70085</v>
      </c>
      <c r="C1121" s="2" t="s">
        <v>594</v>
      </c>
      <c r="D1121" s="2" t="str">
        <f t="shared" si="16"/>
        <v>Error?</v>
      </c>
    </row>
    <row r="1122" spans="1:4" x14ac:dyDescent="0.2">
      <c r="A1122" s="5">
        <v>1061</v>
      </c>
      <c r="B1122" s="138">
        <f>'Expenditures 15-22'!K53</f>
        <v>88939</v>
      </c>
      <c r="C1122" s="2" t="s">
        <v>594</v>
      </c>
      <c r="D1122" s="2" t="str">
        <f t="shared" si="16"/>
        <v>Error?</v>
      </c>
    </row>
    <row r="1123" spans="1:4" x14ac:dyDescent="0.2">
      <c r="A1123" s="5">
        <v>1062</v>
      </c>
      <c r="B1123" s="138">
        <f>'Expenditures 15-22'!K55</f>
        <v>480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480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34460</v>
      </c>
      <c r="C1127" s="2" t="s">
        <v>594</v>
      </c>
      <c r="D1127" s="2" t="str">
        <f t="shared" si="16"/>
        <v>Error?</v>
      </c>
    </row>
    <row r="1128" spans="1:4" x14ac:dyDescent="0.2">
      <c r="A1128" s="5">
        <v>1067</v>
      </c>
      <c r="B1128" s="138">
        <f>'Expenditures 15-22'!K61</f>
        <v>1831</v>
      </c>
      <c r="C1128" s="2" t="s">
        <v>594</v>
      </c>
      <c r="D1128" s="2" t="str">
        <f t="shared" si="16"/>
        <v>Error?</v>
      </c>
    </row>
    <row r="1129" spans="1:4" x14ac:dyDescent="0.2">
      <c r="A1129" s="5">
        <v>1068</v>
      </c>
      <c r="B1129" s="138">
        <f>'Expenditures 15-22'!K62</f>
        <v>2007</v>
      </c>
      <c r="C1129" s="2" t="s">
        <v>594</v>
      </c>
      <c r="D1129" s="2" t="str">
        <f t="shared" si="16"/>
        <v>Error?</v>
      </c>
    </row>
    <row r="1130" spans="1:4" x14ac:dyDescent="0.2">
      <c r="A1130" s="5">
        <v>1069</v>
      </c>
      <c r="B1130" s="138">
        <f>'Expenditures 15-22'!K63</f>
        <v>27704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66002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445</v>
      </c>
      <c r="C1139" s="2" t="s">
        <v>594</v>
      </c>
      <c r="D1139" s="2" t="str">
        <f t="shared" si="16"/>
        <v>Error?</v>
      </c>
    </row>
    <row r="1140" spans="1:4" x14ac:dyDescent="0.2">
      <c r="A1140" s="10">
        <v>1079</v>
      </c>
      <c r="D1140" s="2" t="str">
        <f t="shared" si="16"/>
        <v>OK</v>
      </c>
    </row>
    <row r="1141" spans="1:4" x14ac:dyDescent="0.2">
      <c r="A1141" s="5">
        <v>1080</v>
      </c>
      <c r="B1141" s="138">
        <f>'Expenditures 15-22'!K72</f>
        <v>445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155866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21296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548852</v>
      </c>
      <c r="C1152" s="2" t="s">
        <v>594</v>
      </c>
      <c r="D1152" s="2" t="str">
        <f t="shared" si="17"/>
        <v>Error?</v>
      </c>
    </row>
    <row r="1153" spans="1:4" x14ac:dyDescent="0.2">
      <c r="A1153" s="5">
        <v>1092</v>
      </c>
      <c r="B1153" s="138">
        <f>'Expenditures 15-22'!K115</f>
        <v>61151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4242</v>
      </c>
      <c r="D1221" s="2" t="str">
        <f t="shared" si="18"/>
        <v>Error?</v>
      </c>
    </row>
    <row r="1222" spans="1:4" x14ac:dyDescent="0.2">
      <c r="A1222" s="10">
        <v>1161</v>
      </c>
      <c r="D1222" s="2" t="str">
        <f t="shared" si="18"/>
        <v>OK</v>
      </c>
    </row>
    <row r="1223" spans="1:4" x14ac:dyDescent="0.2">
      <c r="A1223" s="5">
        <v>1162</v>
      </c>
      <c r="B1223" s="138">
        <f>'Expenditures 15-22'!C127</f>
        <v>4242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4242</v>
      </c>
      <c r="C1225" s="2" t="s">
        <v>594</v>
      </c>
      <c r="D1225" s="2" t="str">
        <f t="shared" si="18"/>
        <v>Error?</v>
      </c>
    </row>
    <row r="1226" spans="1:4" x14ac:dyDescent="0.2">
      <c r="A1226" s="5">
        <v>1165</v>
      </c>
      <c r="B1226" s="138">
        <f>'Expenditures 15-22'!C151</f>
        <v>4242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367</v>
      </c>
      <c r="D1229" s="2" t="str">
        <f t="shared" si="18"/>
        <v>Error?</v>
      </c>
    </row>
    <row r="1230" spans="1:4" x14ac:dyDescent="0.2">
      <c r="A1230" s="10">
        <v>1169</v>
      </c>
      <c r="D1230" s="2" t="str">
        <f t="shared" si="18"/>
        <v>OK</v>
      </c>
    </row>
    <row r="1231" spans="1:4" x14ac:dyDescent="0.2">
      <c r="A1231" s="5">
        <v>1170</v>
      </c>
      <c r="B1231" s="138">
        <f>'Expenditures 15-22'!D127</f>
        <v>367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367</v>
      </c>
      <c r="C1233" s="2" t="s">
        <v>594</v>
      </c>
      <c r="D1233" s="2" t="str">
        <f t="shared" si="18"/>
        <v>Error?</v>
      </c>
    </row>
    <row r="1234" spans="1:4" x14ac:dyDescent="0.2">
      <c r="A1234" s="5">
        <v>1173</v>
      </c>
      <c r="B1234" s="138">
        <f>'Expenditures 15-22'!D151</f>
        <v>367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17445</v>
      </c>
      <c r="D1237" s="2" t="str">
        <f t="shared" si="18"/>
        <v>Error?</v>
      </c>
    </row>
    <row r="1238" spans="1:4" x14ac:dyDescent="0.2">
      <c r="A1238" s="10">
        <v>1177</v>
      </c>
      <c r="D1238" s="2" t="str">
        <f t="shared" si="18"/>
        <v>OK</v>
      </c>
    </row>
    <row r="1239" spans="1:4" x14ac:dyDescent="0.2">
      <c r="A1239" s="5">
        <v>1178</v>
      </c>
      <c r="B1239" s="138">
        <f>'Expenditures 15-22'!E127</f>
        <v>17445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17445</v>
      </c>
      <c r="C1241" s="2" t="s">
        <v>594</v>
      </c>
      <c r="D1241" s="2" t="str">
        <f t="shared" si="18"/>
        <v>Error?</v>
      </c>
    </row>
    <row r="1242" spans="1:4" x14ac:dyDescent="0.2">
      <c r="A1242" s="5">
        <v>1181</v>
      </c>
      <c r="B1242" s="138">
        <f>'Expenditures 15-22'!E151</f>
        <v>17445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7822</v>
      </c>
      <c r="D1245" s="2" t="str">
        <f t="shared" si="18"/>
        <v>Error?</v>
      </c>
    </row>
    <row r="1246" spans="1:4" x14ac:dyDescent="0.2">
      <c r="A1246" s="10">
        <v>1185</v>
      </c>
      <c r="D1246" s="2" t="str">
        <f t="shared" si="18"/>
        <v>OK</v>
      </c>
    </row>
    <row r="1247" spans="1:4" x14ac:dyDescent="0.2">
      <c r="A1247" s="5">
        <v>1186</v>
      </c>
      <c r="B1247" s="138">
        <f>'Expenditures 15-22'!F127</f>
        <v>7822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7839</v>
      </c>
      <c r="C1249" s="2" t="s">
        <v>594</v>
      </c>
      <c r="D1249" s="2" t="str">
        <f t="shared" si="18"/>
        <v>Error?</v>
      </c>
    </row>
    <row r="1250" spans="1:4" x14ac:dyDescent="0.2">
      <c r="A1250" s="5">
        <v>1189</v>
      </c>
      <c r="B1250" s="138">
        <f>'Expenditures 15-22'!F151</f>
        <v>7839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11388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11388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11388</v>
      </c>
      <c r="C1258" s="2" t="s">
        <v>594</v>
      </c>
      <c r="D1258" s="2" t="str">
        <f t="shared" si="18"/>
        <v>Error?</v>
      </c>
    </row>
    <row r="1259" spans="1:4" x14ac:dyDescent="0.2">
      <c r="A1259" s="5">
        <v>1198</v>
      </c>
      <c r="B1259" s="138">
        <f>'Expenditures 15-22'!G151</f>
        <v>11388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41264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41264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41281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41281</v>
      </c>
      <c r="C1288" s="2" t="s">
        <v>594</v>
      </c>
      <c r="D1288" s="2" t="str">
        <f t="shared" si="19"/>
        <v>Error?</v>
      </c>
    </row>
    <row r="1289" spans="1:4" x14ac:dyDescent="0.2">
      <c r="A1289" s="5">
        <v>1228</v>
      </c>
      <c r="B1289" s="138">
        <f>'Expenditures 15-22'!K152</f>
        <v>8329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44247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31100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75347</v>
      </c>
      <c r="C1317" s="2" t="s">
        <v>594</v>
      </c>
      <c r="D1317" s="2" t="str">
        <f t="shared" si="19"/>
        <v>Error?</v>
      </c>
    </row>
    <row r="1318" spans="1:4" x14ac:dyDescent="0.2">
      <c r="A1318" s="5">
        <v>1257</v>
      </c>
      <c r="B1318" s="138">
        <f>'Expenditures 15-22'!H174</f>
        <v>75347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44247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31100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75347</v>
      </c>
      <c r="C1331" s="2" t="s">
        <v>594</v>
      </c>
      <c r="D1331" s="2" t="str">
        <f t="shared" si="19"/>
        <v>Error?</v>
      </c>
    </row>
    <row r="1332" spans="1:4" x14ac:dyDescent="0.2">
      <c r="A1332" s="5">
        <v>1271</v>
      </c>
      <c r="B1332" s="138">
        <f>'Expenditures 15-22'!K174</f>
        <v>75347</v>
      </c>
      <c r="C1332" s="2" t="s">
        <v>594</v>
      </c>
      <c r="D1332" s="2" t="str">
        <f t="shared" si="19"/>
        <v>Error?</v>
      </c>
    </row>
    <row r="1333" spans="1:4" x14ac:dyDescent="0.2">
      <c r="A1333" s="5">
        <v>1272</v>
      </c>
      <c r="B1333" s="138">
        <f>'Expenditures 15-22'!K175</f>
        <v>-45517</v>
      </c>
      <c r="C1333" s="2" t="s">
        <v>594</v>
      </c>
      <c r="D1333" s="2" t="str">
        <f t="shared" si="19"/>
        <v>Error?</v>
      </c>
    </row>
    <row r="1334" spans="1:4" x14ac:dyDescent="0.2">
      <c r="A1334" s="10">
        <v>1273</v>
      </c>
      <c r="D1334" s="2" t="str">
        <f t="shared" si="19"/>
        <v>OK</v>
      </c>
    </row>
    <row r="1335" spans="1:4" x14ac:dyDescent="0.2">
      <c r="A1335" s="5">
        <v>1274</v>
      </c>
      <c r="B1335" s="138">
        <f>'Expenditures 15-22'!C182</f>
        <v>7651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7651</v>
      </c>
      <c r="C1339" s="2" t="s">
        <v>594</v>
      </c>
      <c r="D1339" s="2" t="str">
        <f t="shared" si="19"/>
        <v>Error?</v>
      </c>
    </row>
    <row r="1340" spans="1:4" x14ac:dyDescent="0.2">
      <c r="A1340" s="5">
        <v>1279</v>
      </c>
      <c r="B1340" s="138">
        <f>'Expenditures 15-22'!C210</f>
        <v>7651</v>
      </c>
      <c r="C1340" s="2" t="s">
        <v>594</v>
      </c>
      <c r="D1340" s="2" t="str">
        <f t="shared" si="19"/>
        <v>Error?</v>
      </c>
    </row>
    <row r="1341" spans="1:4" x14ac:dyDescent="0.2">
      <c r="A1341" s="5">
        <v>1280</v>
      </c>
      <c r="B1341" s="138">
        <f>'Expenditures 15-22'!D182</f>
        <v>768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768</v>
      </c>
      <c r="C1345" s="2" t="s">
        <v>594</v>
      </c>
      <c r="D1345" s="2" t="str">
        <f t="shared" si="20"/>
        <v>Error?</v>
      </c>
    </row>
    <row r="1346" spans="1:4" x14ac:dyDescent="0.2">
      <c r="A1346" s="5">
        <v>1285</v>
      </c>
      <c r="B1346" s="138">
        <f>'Expenditures 15-22'!D210</f>
        <v>768</v>
      </c>
      <c r="C1346" s="2" t="s">
        <v>594</v>
      </c>
      <c r="D1346" s="2" t="str">
        <f t="shared" si="20"/>
        <v>Error?</v>
      </c>
    </row>
    <row r="1347" spans="1:4" x14ac:dyDescent="0.2">
      <c r="A1347" s="5">
        <v>1286</v>
      </c>
      <c r="B1347" s="138">
        <f>'Expenditures 15-22'!E182</f>
        <v>7704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7704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7704</v>
      </c>
      <c r="C1353" s="2" t="s">
        <v>594</v>
      </c>
      <c r="D1353" s="2" t="str">
        <f t="shared" si="20"/>
        <v>Error?</v>
      </c>
    </row>
    <row r="1354" spans="1:4" x14ac:dyDescent="0.2">
      <c r="A1354" s="5">
        <v>1293</v>
      </c>
      <c r="B1354" s="138">
        <f>'Expenditures 15-22'!F182</f>
        <v>12117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12117</v>
      </c>
      <c r="C1358" s="2" t="s">
        <v>594</v>
      </c>
      <c r="D1358" s="2" t="str">
        <f t="shared" si="20"/>
        <v>Error?</v>
      </c>
    </row>
    <row r="1359" spans="1:4" x14ac:dyDescent="0.2">
      <c r="A1359" s="5">
        <v>1298</v>
      </c>
      <c r="B1359" s="138">
        <f>'Expenditures 15-22'!F210</f>
        <v>12117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28240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28240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28240</v>
      </c>
      <c r="C1388" s="2" t="s">
        <v>594</v>
      </c>
      <c r="D1388" s="2" t="str">
        <f t="shared" si="20"/>
        <v>Error?</v>
      </c>
    </row>
    <row r="1389" spans="1:4" x14ac:dyDescent="0.2">
      <c r="A1389" s="5">
        <v>1328</v>
      </c>
      <c r="B1389" s="138">
        <f>'Expenditures 15-22'!K211</f>
        <v>-16715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1111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1111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888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947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98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1111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1111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1999</v>
      </c>
      <c r="C1517" s="2" t="s">
        <v>594</v>
      </c>
      <c r="D1517" s="2" t="str">
        <f t="shared" si="22"/>
        <v>Error?</v>
      </c>
    </row>
    <row r="1518" spans="1:4" x14ac:dyDescent="0.2">
      <c r="A1518" s="5">
        <v>1457</v>
      </c>
      <c r="B1518" s="138">
        <f>'Expenditures 15-22'!K296</f>
        <v>4468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109498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95302</v>
      </c>
      <c r="C1630" s="2" t="s">
        <v>594</v>
      </c>
      <c r="D1630" s="2" t="str">
        <f t="shared" si="24"/>
        <v>Error?</v>
      </c>
    </row>
    <row r="1631" spans="1:4" x14ac:dyDescent="0.2">
      <c r="A1631" s="5">
        <v>1570</v>
      </c>
      <c r="B1631" s="138">
        <f>'Acct Summary 7-8'!D79</f>
        <v>11378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19707</v>
      </c>
      <c r="C1644" s="2" t="s">
        <v>594</v>
      </c>
      <c r="D1644" s="2" t="str">
        <f t="shared" si="24"/>
        <v>Error?</v>
      </c>
    </row>
    <row r="1645" spans="1:4" x14ac:dyDescent="0.2">
      <c r="A1645" s="5">
        <v>1584</v>
      </c>
      <c r="B1645" s="138">
        <f>'Acct Summary 7-8'!E79</f>
        <v>3239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33069</v>
      </c>
      <c r="C1658" s="2" t="s">
        <v>594</v>
      </c>
      <c r="D1658" s="2" t="str">
        <f t="shared" si="24"/>
        <v>Error?</v>
      </c>
    </row>
    <row r="1659" spans="1:4" x14ac:dyDescent="0.2">
      <c r="A1659" s="5">
        <v>1598</v>
      </c>
      <c r="B1659" s="138">
        <f>'Acct Summary 7-8'!F79</f>
        <v>82261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65546</v>
      </c>
      <c r="C1672" s="2" t="s">
        <v>594</v>
      </c>
      <c r="D1672" s="2" t="str">
        <f t="shared" si="25"/>
        <v>Error?</v>
      </c>
    </row>
    <row r="1673" spans="1:4" x14ac:dyDescent="0.2">
      <c r="A1673" s="5">
        <v>1612</v>
      </c>
      <c r="B1673" s="138">
        <f>'Acct Summary 7-8'!G79</f>
        <v>36327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40795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267506</v>
      </c>
      <c r="C1744" s="2" t="s">
        <v>594</v>
      </c>
      <c r="D1744" s="2" t="str">
        <f t="shared" si="26"/>
        <v>Error?</v>
      </c>
    </row>
    <row r="1745" spans="1:5" x14ac:dyDescent="0.2">
      <c r="A1745" s="5">
        <v>1684</v>
      </c>
      <c r="B1745" s="138">
        <f>'Tax Sched 23'!B5</f>
        <v>37683</v>
      </c>
      <c r="C1745" s="2" t="s">
        <v>594</v>
      </c>
      <c r="D1745" s="2" t="str">
        <f t="shared" si="26"/>
        <v>Error?</v>
      </c>
    </row>
    <row r="1746" spans="1:5" x14ac:dyDescent="0.2">
      <c r="A1746" s="5">
        <v>1685</v>
      </c>
      <c r="B1746" s="138">
        <f>'Tax Sched 23'!B6</f>
        <v>29515</v>
      </c>
      <c r="C1746" s="2" t="s">
        <v>594</v>
      </c>
      <c r="D1746" s="2" t="str">
        <f t="shared" si="26"/>
        <v>Error?</v>
      </c>
    </row>
    <row r="1747" spans="1:5" x14ac:dyDescent="0.2">
      <c r="A1747" s="5">
        <v>1686</v>
      </c>
      <c r="B1747" s="138">
        <f>'Tax Sched 23'!B7</f>
        <v>5310</v>
      </c>
      <c r="C1747" s="2" t="s">
        <v>594</v>
      </c>
      <c r="D1747" s="2" t="str">
        <f t="shared" si="26"/>
        <v>Error?</v>
      </c>
    </row>
    <row r="1748" spans="1:5" x14ac:dyDescent="0.2">
      <c r="A1748" s="5">
        <v>1687</v>
      </c>
      <c r="B1748" s="138">
        <f>'Tax Sched 23'!B8</f>
        <v>5310</v>
      </c>
      <c r="C1748" s="2" t="s">
        <v>594</v>
      </c>
      <c r="D1748" s="2" t="str">
        <f t="shared" si="26"/>
        <v>Error?</v>
      </c>
    </row>
    <row r="1749" spans="1:5" x14ac:dyDescent="0.2">
      <c r="A1749" s="5">
        <v>1688</v>
      </c>
      <c r="B1749" s="138">
        <f>'Tax Sched 23'!B10</f>
        <v>8322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11147</v>
      </c>
      <c r="C1752" s="2" t="s">
        <v>594</v>
      </c>
      <c r="D1752" s="2" t="str">
        <f t="shared" si="26"/>
        <v>Error?</v>
      </c>
    </row>
    <row r="1753" spans="1:5" x14ac:dyDescent="0.2">
      <c r="A1753" s="5">
        <v>1692</v>
      </c>
      <c r="B1753" s="138">
        <f>'Tax Sched 23'!B12</f>
        <v>5310</v>
      </c>
      <c r="C1753" s="2" t="s">
        <v>594</v>
      </c>
      <c r="D1753" s="2" t="str">
        <f t="shared" si="26"/>
        <v>Error?</v>
      </c>
    </row>
    <row r="1754" spans="1:5" x14ac:dyDescent="0.2">
      <c r="A1754" s="5">
        <v>1693</v>
      </c>
      <c r="B1754" s="138">
        <f>'Tax Sched 23'!B14</f>
        <v>1062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372227</v>
      </c>
      <c r="C1759" s="2" t="s">
        <v>594</v>
      </c>
      <c r="D1759" s="2" t="str">
        <f t="shared" si="26"/>
        <v>Error?</v>
      </c>
    </row>
    <row r="1760" spans="1:5" x14ac:dyDescent="0.2">
      <c r="A1760" s="5">
        <v>1699</v>
      </c>
      <c r="B1760" s="138">
        <f>'Tax Sched 23'!D4</f>
        <v>267506</v>
      </c>
      <c r="C1760" s="2" t="s">
        <v>594</v>
      </c>
      <c r="D1760" s="2" t="str">
        <f t="shared" si="26"/>
        <v>Error?</v>
      </c>
    </row>
    <row r="1761" spans="1:5" x14ac:dyDescent="0.2">
      <c r="A1761" s="5">
        <v>1700</v>
      </c>
      <c r="B1761" s="138">
        <f>'Tax Sched 23'!D5</f>
        <v>37683</v>
      </c>
      <c r="C1761" s="2" t="s">
        <v>594</v>
      </c>
      <c r="D1761" s="2" t="str">
        <f t="shared" si="26"/>
        <v>Error?</v>
      </c>
    </row>
    <row r="1762" spans="1:5" s="8" customFormat="1" x14ac:dyDescent="0.2">
      <c r="A1762" s="5">
        <v>1701</v>
      </c>
      <c r="B1762" s="138">
        <f>'Tax Sched 23'!D6</f>
        <v>29515</v>
      </c>
      <c r="C1762" s="2" t="s">
        <v>594</v>
      </c>
      <c r="D1762" s="2" t="str">
        <f t="shared" si="26"/>
        <v>Error?</v>
      </c>
      <c r="E1762" s="9"/>
    </row>
    <row r="1763" spans="1:5" x14ac:dyDescent="0.2">
      <c r="A1763" s="5">
        <v>1702</v>
      </c>
      <c r="B1763" s="138">
        <f>'Tax Sched 23'!D7</f>
        <v>5310</v>
      </c>
      <c r="C1763" s="2" t="s">
        <v>594</v>
      </c>
      <c r="D1763" s="2" t="str">
        <f t="shared" si="26"/>
        <v>Error?</v>
      </c>
    </row>
    <row r="1764" spans="1:5" x14ac:dyDescent="0.2">
      <c r="A1764" s="5">
        <v>1703</v>
      </c>
      <c r="B1764" s="138">
        <f>'Tax Sched 23'!D8</f>
        <v>5310</v>
      </c>
      <c r="C1764" s="2" t="s">
        <v>594</v>
      </c>
      <c r="D1764" s="2" t="str">
        <f t="shared" si="26"/>
        <v>Error?</v>
      </c>
    </row>
    <row r="1765" spans="1:5" x14ac:dyDescent="0.2">
      <c r="A1765" s="5">
        <v>1704</v>
      </c>
      <c r="B1765" s="138">
        <f>'Tax Sched 23'!D10</f>
        <v>8322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11147</v>
      </c>
      <c r="C1768" s="2" t="s">
        <v>594</v>
      </c>
      <c r="D1768" s="2" t="str">
        <f t="shared" si="26"/>
        <v>Error?</v>
      </c>
    </row>
    <row r="1769" spans="1:5" x14ac:dyDescent="0.2">
      <c r="A1769" s="5">
        <v>1708</v>
      </c>
      <c r="B1769" s="138">
        <f>'Tax Sched 23'!D12</f>
        <v>5310</v>
      </c>
      <c r="C1769" s="2" t="s">
        <v>594</v>
      </c>
      <c r="D1769" s="2" t="str">
        <f t="shared" si="26"/>
        <v>Error?</v>
      </c>
    </row>
    <row r="1770" spans="1:5" x14ac:dyDescent="0.2">
      <c r="A1770" s="5">
        <v>1709</v>
      </c>
      <c r="B1770" s="138">
        <f>'Tax Sched 23'!D14</f>
        <v>1062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372227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278332.15999999997</v>
      </c>
      <c r="C1792" s="2" t="s">
        <v>594</v>
      </c>
      <c r="D1792" s="2" t="str">
        <f t="shared" si="27"/>
        <v>Error?</v>
      </c>
    </row>
    <row r="1793" spans="1:4" x14ac:dyDescent="0.2">
      <c r="A1793" s="5">
        <v>1732</v>
      </c>
      <c r="B1793" s="138">
        <f>'Tax Sched 23'!F5</f>
        <v>39208.11</v>
      </c>
      <c r="C1793" s="2" t="s">
        <v>594</v>
      </c>
      <c r="D1793" s="2" t="str">
        <f t="shared" si="27"/>
        <v>Error?</v>
      </c>
    </row>
    <row r="1794" spans="1:4" x14ac:dyDescent="0.2">
      <c r="A1794" s="5">
        <v>1733</v>
      </c>
      <c r="B1794" s="138">
        <f>'Tax Sched 23'!F6</f>
        <v>30359.81</v>
      </c>
      <c r="C1794" s="2" t="s">
        <v>594</v>
      </c>
      <c r="D1794" s="2" t="str">
        <f t="shared" si="27"/>
        <v>Error?</v>
      </c>
    </row>
    <row r="1795" spans="1:4" x14ac:dyDescent="0.2">
      <c r="A1795" s="5">
        <v>1734</v>
      </c>
      <c r="B1795" s="138">
        <f>'Tax Sched 23'!F7</f>
        <v>5526.3</v>
      </c>
      <c r="C1795" s="2" t="s">
        <v>594</v>
      </c>
      <c r="D1795" s="2" t="str">
        <f t="shared" si="27"/>
        <v>Error?</v>
      </c>
    </row>
    <row r="1796" spans="1:4" x14ac:dyDescent="0.2">
      <c r="A1796" s="5">
        <v>1735</v>
      </c>
      <c r="B1796" s="138">
        <f>'Tax Sched 23'!F8</f>
        <v>5526.3</v>
      </c>
      <c r="C1796" s="2" t="s">
        <v>594</v>
      </c>
      <c r="D1796" s="2" t="str">
        <f t="shared" si="27"/>
        <v>Error?</v>
      </c>
    </row>
    <row r="1797" spans="1:4" x14ac:dyDescent="0.2">
      <c r="A1797" s="5">
        <v>1736</v>
      </c>
      <c r="B1797" s="138">
        <f>'Tax Sched 23'!F10</f>
        <v>8390.2199999999993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11598.62</v>
      </c>
      <c r="C1800" s="2" t="s">
        <v>594</v>
      </c>
      <c r="D1800" s="2" t="str">
        <f t="shared" si="27"/>
        <v>Error?</v>
      </c>
    </row>
    <row r="1801" spans="1:4" x14ac:dyDescent="0.2">
      <c r="A1801" s="5">
        <v>1740</v>
      </c>
      <c r="B1801" s="138">
        <f>'Tax Sched 23'!F12</f>
        <v>5526.3</v>
      </c>
      <c r="C1801" s="2" t="s">
        <v>594</v>
      </c>
      <c r="D1801" s="2" t="str">
        <f t="shared" si="27"/>
        <v>Error?</v>
      </c>
    </row>
    <row r="1802" spans="1:4" x14ac:dyDescent="0.2">
      <c r="A1802" s="5">
        <v>1741</v>
      </c>
      <c r="B1802" s="138">
        <f>'Tax Sched 23'!F14</f>
        <v>1106.72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386681.25999999983</v>
      </c>
      <c r="C1807" s="2" t="s">
        <v>594</v>
      </c>
      <c r="D1807" s="2" t="str">
        <f t="shared" si="27"/>
        <v>Error?</v>
      </c>
    </row>
    <row r="1808" spans="1:4" x14ac:dyDescent="0.2">
      <c r="A1808" s="5">
        <v>1747</v>
      </c>
      <c r="B1808" s="138">
        <f>'Tax Sched 23'!E4</f>
        <v>278332.15999999997</v>
      </c>
      <c r="D1808" s="2" t="str">
        <f t="shared" si="27"/>
        <v>Error?</v>
      </c>
    </row>
    <row r="1809" spans="1:4" x14ac:dyDescent="0.2">
      <c r="A1809" s="5">
        <v>1748</v>
      </c>
      <c r="B1809" s="138">
        <f>'Tax Sched 23'!E5</f>
        <v>39208.11</v>
      </c>
      <c r="D1809" s="2" t="str">
        <f t="shared" si="27"/>
        <v>Error?</v>
      </c>
    </row>
    <row r="1810" spans="1:4" x14ac:dyDescent="0.2">
      <c r="A1810" s="5">
        <v>1749</v>
      </c>
      <c r="B1810" s="138">
        <f>'Tax Sched 23'!E6</f>
        <v>30359.81</v>
      </c>
      <c r="D1810" s="2" t="str">
        <f t="shared" si="27"/>
        <v>Error?</v>
      </c>
    </row>
    <row r="1811" spans="1:4" x14ac:dyDescent="0.2">
      <c r="A1811" s="5">
        <v>1750</v>
      </c>
      <c r="B1811" s="138">
        <f>'Tax Sched 23'!E7</f>
        <v>5526.3</v>
      </c>
      <c r="D1811" s="2" t="str">
        <f t="shared" si="27"/>
        <v>Error?</v>
      </c>
    </row>
    <row r="1812" spans="1:4" x14ac:dyDescent="0.2">
      <c r="A1812" s="5">
        <v>1751</v>
      </c>
      <c r="B1812" s="138">
        <f>'Tax Sched 23'!E8</f>
        <v>5526.3</v>
      </c>
      <c r="D1812" s="2" t="str">
        <f t="shared" si="27"/>
        <v>Error?</v>
      </c>
    </row>
    <row r="1813" spans="1:4" x14ac:dyDescent="0.2">
      <c r="A1813" s="5">
        <v>1752</v>
      </c>
      <c r="B1813" s="138">
        <f>'Tax Sched 23'!E10</f>
        <v>8390.2199999999993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11598.62</v>
      </c>
      <c r="D1816" s="2" t="str">
        <f t="shared" si="27"/>
        <v>Error?</v>
      </c>
    </row>
    <row r="1817" spans="1:4" x14ac:dyDescent="0.2">
      <c r="A1817" s="5">
        <v>1756</v>
      </c>
      <c r="B1817" s="138">
        <f>'Tax Sched 23'!E12</f>
        <v>5526.3</v>
      </c>
      <c r="D1817" s="2" t="str">
        <f t="shared" si="27"/>
        <v>Error?</v>
      </c>
    </row>
    <row r="1818" spans="1:4" x14ac:dyDescent="0.2">
      <c r="A1818" s="5">
        <v>1757</v>
      </c>
      <c r="B1818" s="138">
        <f>'Tax Sched 23'!E14</f>
        <v>1106.72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386681.25999999983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905800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1062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1062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1062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v>
      </c>
      <c r="D2008" s="2" t="str">
        <f t="shared" si="30"/>
        <v>Error?</v>
      </c>
    </row>
    <row r="2009" spans="1:4" x14ac:dyDescent="0.2">
      <c r="A2009" s="5">
        <v>1948</v>
      </c>
      <c r="B2009" s="138">
        <f>'Cap Outlay Deprec 26'!C8</f>
        <v>380909</v>
      </c>
      <c r="D2009" s="2" t="str">
        <f t="shared" si="30"/>
        <v>Error?</v>
      </c>
    </row>
    <row r="2010" spans="1:4" x14ac:dyDescent="0.2">
      <c r="A2010" s="5">
        <v>1949</v>
      </c>
      <c r="B2010" s="138">
        <f>'Cap Outlay Deprec 26'!C10</f>
        <v>29930</v>
      </c>
      <c r="D2010" s="2" t="str">
        <f t="shared" si="30"/>
        <v>Error?</v>
      </c>
    </row>
    <row r="2011" spans="1:4" x14ac:dyDescent="0.2">
      <c r="A2011" s="5">
        <v>1950</v>
      </c>
      <c r="B2011" s="138">
        <f>'Cap Outlay Deprec 26'!C12</f>
        <v>234874</v>
      </c>
      <c r="D2011" s="2" t="str">
        <f t="shared" si="30"/>
        <v>Error?</v>
      </c>
    </row>
    <row r="2012" spans="1:4" x14ac:dyDescent="0.2">
      <c r="A2012" s="5">
        <v>1951</v>
      </c>
      <c r="B2012" s="138">
        <f>'Cap Outlay Deprec 26'!C13</f>
        <v>99632</v>
      </c>
      <c r="D2012" s="2" t="str">
        <f t="shared" si="30"/>
        <v>Error?</v>
      </c>
    </row>
    <row r="2013" spans="1:4" x14ac:dyDescent="0.2">
      <c r="A2013" s="5">
        <v>1952</v>
      </c>
      <c r="B2013" s="138">
        <f>'Cap Outlay Deprec 26'!C16</f>
        <v>747345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5710</v>
      </c>
      <c r="D2015" s="2" t="str">
        <f t="shared" si="30"/>
        <v>Error?</v>
      </c>
    </row>
    <row r="2016" spans="1:4" x14ac:dyDescent="0.2">
      <c r="A2016" s="5">
        <v>1955</v>
      </c>
      <c r="B2016" s="138">
        <f>'Cap Outlay Deprec 26'!D10</f>
        <v>22478</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8357</v>
      </c>
      <c r="D2018" s="2" t="str">
        <f t="shared" si="30"/>
        <v>Error?</v>
      </c>
    </row>
    <row r="2019" spans="1:4" x14ac:dyDescent="0.2">
      <c r="A2019" s="5">
        <v>1958</v>
      </c>
      <c r="B2019" s="138">
        <f>'Cap Outlay Deprec 26'!D16</f>
        <v>36545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2000</v>
      </c>
      <c r="C2026" s="2" t="s">
        <v>594</v>
      </c>
      <c r="D2026" s="2" t="str">
        <f t="shared" si="30"/>
        <v>Error?</v>
      </c>
    </row>
    <row r="2027" spans="1:4" x14ac:dyDescent="0.2">
      <c r="A2027" s="5">
        <v>1966</v>
      </c>
      <c r="B2027" s="138">
        <f>'Cap Outlay Deprec 26'!F8</f>
        <v>386619</v>
      </c>
      <c r="C2027" s="2" t="s">
        <v>594</v>
      </c>
      <c r="D2027" s="2" t="str">
        <f t="shared" si="30"/>
        <v>Error?</v>
      </c>
    </row>
    <row r="2028" spans="1:4" x14ac:dyDescent="0.2">
      <c r="A2028" s="5">
        <v>1967</v>
      </c>
      <c r="B2028" s="138">
        <f>'Cap Outlay Deprec 26'!F10</f>
        <v>52408</v>
      </c>
      <c r="C2028" s="2" t="s">
        <v>594</v>
      </c>
      <c r="D2028" s="2" t="str">
        <f t="shared" si="30"/>
        <v>Error?</v>
      </c>
    </row>
    <row r="2029" spans="1:4" x14ac:dyDescent="0.2">
      <c r="A2029" s="5">
        <v>1968</v>
      </c>
      <c r="B2029" s="138">
        <f>'Cap Outlay Deprec 26'!F12</f>
        <v>234874</v>
      </c>
      <c r="C2029" s="2" t="s">
        <v>594</v>
      </c>
      <c r="D2029" s="2" t="str">
        <f t="shared" si="30"/>
        <v>Error?</v>
      </c>
    </row>
    <row r="2030" spans="1:4" x14ac:dyDescent="0.2">
      <c r="A2030" s="5">
        <v>1969</v>
      </c>
      <c r="B2030" s="138">
        <f>'Cap Outlay Deprec 26'!F13</f>
        <v>107989</v>
      </c>
      <c r="C2030" s="2" t="s">
        <v>594</v>
      </c>
      <c r="D2030" s="2" t="str">
        <f t="shared" si="30"/>
        <v>Error?</v>
      </c>
    </row>
    <row r="2031" spans="1:4" x14ac:dyDescent="0.2">
      <c r="A2031" s="5">
        <v>1970</v>
      </c>
      <c r="B2031" s="138">
        <f>'Cap Outlay Deprec 26'!F16</f>
        <v>783890</v>
      </c>
      <c r="C2031" s="2" t="s">
        <v>594</v>
      </c>
      <c r="D2031" s="2" t="str">
        <f t="shared" si="30"/>
        <v>Error?</v>
      </c>
    </row>
    <row r="2032" spans="1:4" x14ac:dyDescent="0.2">
      <c r="A2032" s="10">
        <v>1971</v>
      </c>
      <c r="D2032" s="2" t="str">
        <f t="shared" si="30"/>
        <v>OK</v>
      </c>
    </row>
    <row r="2033" spans="1:4" x14ac:dyDescent="0.2">
      <c r="A2033" s="5">
        <v>1972</v>
      </c>
      <c r="B2033" s="138">
        <f>'Cap Outlay Deprec 26'!H8</f>
        <v>301573</v>
      </c>
      <c r="D2033" s="2" t="str">
        <f t="shared" si="30"/>
        <v>Error?</v>
      </c>
    </row>
    <row r="2034" spans="1:4" x14ac:dyDescent="0.2">
      <c r="A2034" s="5">
        <v>1973</v>
      </c>
      <c r="B2034" s="138">
        <f>'Cap Outlay Deprec 26'!H10</f>
        <v>8789</v>
      </c>
      <c r="D2034" s="2" t="str">
        <f t="shared" si="30"/>
        <v>Error?</v>
      </c>
    </row>
    <row r="2035" spans="1:4" x14ac:dyDescent="0.2">
      <c r="A2035" s="5">
        <v>1974</v>
      </c>
      <c r="B2035" s="138">
        <f>'Cap Outlay Deprec 26'!H12</f>
        <v>233155</v>
      </c>
      <c r="D2035" s="2" t="str">
        <f t="shared" si="30"/>
        <v>Error?</v>
      </c>
    </row>
    <row r="2036" spans="1:4" x14ac:dyDescent="0.2">
      <c r="A2036" s="5">
        <v>1975</v>
      </c>
      <c r="B2036" s="138">
        <f>'Cap Outlay Deprec 26'!H13</f>
        <v>97612</v>
      </c>
      <c r="D2036" s="2" t="str">
        <f t="shared" si="30"/>
        <v>Error?</v>
      </c>
    </row>
    <row r="2037" spans="1:4" x14ac:dyDescent="0.2">
      <c r="A2037" s="5">
        <v>1976</v>
      </c>
      <c r="B2037" s="138">
        <f>'Cap Outlay Deprec 26'!H16</f>
        <v>641129</v>
      </c>
      <c r="C2037" s="2" t="s">
        <v>594</v>
      </c>
      <c r="D2037" s="2" t="str">
        <f t="shared" si="30"/>
        <v>Error?</v>
      </c>
    </row>
    <row r="2038" spans="1:4" x14ac:dyDescent="0.2">
      <c r="A2038" s="10">
        <v>1977</v>
      </c>
      <c r="D2038" s="2" t="str">
        <f t="shared" si="30"/>
        <v>OK</v>
      </c>
    </row>
    <row r="2039" spans="1:4" x14ac:dyDescent="0.2">
      <c r="A2039" s="5">
        <v>1978</v>
      </c>
      <c r="B2039" s="138">
        <f>'Cap Outlay Deprec 26'!I8</f>
        <v>7732</v>
      </c>
      <c r="D2039" s="2" t="str">
        <f t="shared" si="30"/>
        <v>Error?</v>
      </c>
    </row>
    <row r="2040" spans="1:4" x14ac:dyDescent="0.2">
      <c r="A2040" s="5">
        <v>1979</v>
      </c>
      <c r="B2040" s="138">
        <f>'Cap Outlay Deprec 26'!I10</f>
        <v>2237</v>
      </c>
      <c r="D2040" s="2" t="str">
        <f t="shared" si="30"/>
        <v>Error?</v>
      </c>
    </row>
    <row r="2041" spans="1:4" x14ac:dyDescent="0.2">
      <c r="A2041" s="5">
        <v>1980</v>
      </c>
      <c r="B2041" s="138">
        <f>'Cap Outlay Deprec 26'!I12</f>
        <v>688</v>
      </c>
      <c r="D2041" s="2" t="str">
        <f t="shared" si="30"/>
        <v>Error?</v>
      </c>
    </row>
    <row r="2042" spans="1:4" x14ac:dyDescent="0.2">
      <c r="A2042" s="5">
        <v>1981</v>
      </c>
      <c r="B2042" s="138">
        <f>'Cap Outlay Deprec 26'!I13</f>
        <v>2516</v>
      </c>
      <c r="D2042" s="2" t="str">
        <f t="shared" si="30"/>
        <v>Error?</v>
      </c>
    </row>
    <row r="2043" spans="1:4" x14ac:dyDescent="0.2">
      <c r="A2043" s="5">
        <v>1982</v>
      </c>
      <c r="B2043" s="138">
        <f>'Cap Outlay Deprec 26'!I16</f>
        <v>13173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309305</v>
      </c>
      <c r="C2051" s="2" t="s">
        <v>594</v>
      </c>
      <c r="D2051" s="2" t="str">
        <f t="shared" si="31"/>
        <v>Error?</v>
      </c>
    </row>
    <row r="2052" spans="1:4" x14ac:dyDescent="0.2">
      <c r="A2052" s="5">
        <v>1991</v>
      </c>
      <c r="B2052" s="138">
        <f>'Cap Outlay Deprec 26'!K10</f>
        <v>11026</v>
      </c>
      <c r="C2052" s="2" t="s">
        <v>594</v>
      </c>
      <c r="D2052" s="2" t="str">
        <f t="shared" si="31"/>
        <v>Error?</v>
      </c>
    </row>
    <row r="2053" spans="1:4" x14ac:dyDescent="0.2">
      <c r="A2053" s="5">
        <v>1992</v>
      </c>
      <c r="B2053" s="138">
        <f>'Cap Outlay Deprec 26'!K12</f>
        <v>233843</v>
      </c>
      <c r="C2053" s="2" t="s">
        <v>594</v>
      </c>
      <c r="D2053" s="2" t="str">
        <f t="shared" si="31"/>
        <v>Error?</v>
      </c>
    </row>
    <row r="2054" spans="1:4" x14ac:dyDescent="0.2">
      <c r="A2054" s="5">
        <v>1993</v>
      </c>
      <c r="B2054" s="138">
        <f>'Cap Outlay Deprec 26'!K13</f>
        <v>100128</v>
      </c>
      <c r="C2054" s="2" t="s">
        <v>594</v>
      </c>
      <c r="D2054" s="2" t="str">
        <f t="shared" si="31"/>
        <v>Error?</v>
      </c>
    </row>
    <row r="2055" spans="1:4" x14ac:dyDescent="0.2">
      <c r="A2055" s="5">
        <v>1994</v>
      </c>
      <c r="B2055" s="138">
        <f>'Cap Outlay Deprec 26'!K16</f>
        <v>654302</v>
      </c>
      <c r="C2055" s="2" t="s">
        <v>594</v>
      </c>
      <c r="D2055" s="2" t="str">
        <f t="shared" si="31"/>
        <v>Error?</v>
      </c>
    </row>
    <row r="2056" spans="1:4" x14ac:dyDescent="0.2">
      <c r="A2056" s="5">
        <v>1995</v>
      </c>
      <c r="B2056" s="138">
        <f>'Cap Outlay Deprec 26'!L5</f>
        <v>2000</v>
      </c>
      <c r="C2056" s="2" t="s">
        <v>594</v>
      </c>
      <c r="D2056" s="2" t="str">
        <f t="shared" si="31"/>
        <v>Error?</v>
      </c>
    </row>
    <row r="2057" spans="1:4" x14ac:dyDescent="0.2">
      <c r="A2057" s="5">
        <v>1996</v>
      </c>
      <c r="B2057" s="138">
        <f>'Cap Outlay Deprec 26'!L8</f>
        <v>77314</v>
      </c>
      <c r="C2057" s="2" t="s">
        <v>594</v>
      </c>
      <c r="D2057" s="2" t="str">
        <f t="shared" si="31"/>
        <v>Error?</v>
      </c>
    </row>
    <row r="2058" spans="1:4" x14ac:dyDescent="0.2">
      <c r="A2058" s="5">
        <v>1997</v>
      </c>
      <c r="B2058" s="138">
        <f>'Cap Outlay Deprec 26'!L10</f>
        <v>41382</v>
      </c>
      <c r="C2058" s="2" t="s">
        <v>594</v>
      </c>
      <c r="D2058" s="2" t="str">
        <f t="shared" si="31"/>
        <v>Error?</v>
      </c>
    </row>
    <row r="2059" spans="1:4" x14ac:dyDescent="0.2">
      <c r="A2059" s="5">
        <v>1998</v>
      </c>
      <c r="B2059" s="138">
        <f>'Cap Outlay Deprec 26'!L12</f>
        <v>1031</v>
      </c>
      <c r="C2059" s="2" t="s">
        <v>594</v>
      </c>
      <c r="D2059" s="2" t="str">
        <f t="shared" si="31"/>
        <v>Error?</v>
      </c>
    </row>
    <row r="2060" spans="1:4" x14ac:dyDescent="0.2">
      <c r="A2060" s="5">
        <v>1999</v>
      </c>
      <c r="B2060" s="138">
        <f>'Cap Outlay Deprec 26'!L13</f>
        <v>7861</v>
      </c>
      <c r="C2060" s="2" t="s">
        <v>594</v>
      </c>
      <c r="D2060" s="2" t="str">
        <f t="shared" si="31"/>
        <v>Error?</v>
      </c>
    </row>
    <row r="2061" spans="1:4" x14ac:dyDescent="0.2">
      <c r="A2061" s="5">
        <v>2000</v>
      </c>
      <c r="B2061" s="138">
        <f>'Cap Outlay Deprec 26'!L16</f>
        <v>129588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21296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21296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65546</v>
      </c>
      <c r="D2475" s="2" t="str">
        <f t="shared" si="37"/>
        <v>Error?</v>
      </c>
    </row>
    <row r="2476" spans="1:4" x14ac:dyDescent="0.2">
      <c r="A2476" s="10">
        <v>2415</v>
      </c>
      <c r="D2476" s="2" t="str">
        <f t="shared" si="37"/>
        <v>OK</v>
      </c>
    </row>
    <row r="2477" spans="1:4" x14ac:dyDescent="0.2">
      <c r="A2477" s="5">
        <v>2416</v>
      </c>
      <c r="B2477" s="138">
        <f>'Assets-Liab 5-6'!G38</f>
        <v>40795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33069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321166</v>
      </c>
      <c r="C2551" s="2" t="s">
        <v>594</v>
      </c>
      <c r="D2551" s="2" t="str">
        <f t="shared" si="38"/>
        <v>Error?</v>
      </c>
    </row>
    <row r="2552" spans="1:4" x14ac:dyDescent="0.2">
      <c r="A2552" s="10">
        <v>2491</v>
      </c>
      <c r="D2552" s="2" t="str">
        <f t="shared" si="38"/>
        <v>OK</v>
      </c>
    </row>
    <row r="2553" spans="1:4" x14ac:dyDescent="0.2">
      <c r="A2553" s="5">
        <v>2492</v>
      </c>
      <c r="B2553" s="138">
        <f>'Acct Summary 7-8'!C6</f>
        <v>261393</v>
      </c>
      <c r="C2553" s="2" t="s">
        <v>594</v>
      </c>
      <c r="D2553" s="2" t="str">
        <f t="shared" si="38"/>
        <v>Error?</v>
      </c>
    </row>
    <row r="2554" spans="1:4" x14ac:dyDescent="0.2">
      <c r="A2554" s="5">
        <v>2493</v>
      </c>
      <c r="B2554" s="138">
        <f>'Acct Summary 7-8'!C7</f>
        <v>27444</v>
      </c>
      <c r="C2554" s="2" t="s">
        <v>594</v>
      </c>
      <c r="D2554" s="2" t="str">
        <f t="shared" si="38"/>
        <v>Error?</v>
      </c>
    </row>
    <row r="2555" spans="1:4" x14ac:dyDescent="0.2">
      <c r="A2555" s="5">
        <v>2494</v>
      </c>
      <c r="B2555" s="138">
        <f>'Acct Summary 7-8'!C8</f>
        <v>610003</v>
      </c>
      <c r="C2555" s="2" t="s">
        <v>594</v>
      </c>
      <c r="D2555" s="2" t="str">
        <f t="shared" si="38"/>
        <v>Error?</v>
      </c>
    </row>
    <row r="2556" spans="1:4" x14ac:dyDescent="0.2">
      <c r="A2556" s="5">
        <v>2495</v>
      </c>
      <c r="B2556" s="138">
        <f>'Acct Summary 7-8'!C12</f>
        <v>371690</v>
      </c>
      <c r="C2556" s="2" t="s">
        <v>594</v>
      </c>
      <c r="D2556" s="2" t="str">
        <f t="shared" si="38"/>
        <v>Error?</v>
      </c>
    </row>
    <row r="2557" spans="1:4" x14ac:dyDescent="0.2">
      <c r="A2557" s="5">
        <v>2496</v>
      </c>
      <c r="B2557" s="138">
        <f>'Acct Summary 7-8'!C13</f>
        <v>155866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21296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548852</v>
      </c>
      <c r="C2561" s="2" t="s">
        <v>594</v>
      </c>
      <c r="D2561" s="2" t="str">
        <f t="shared" si="39"/>
        <v>Error?</v>
      </c>
    </row>
    <row r="2562" spans="1:4" x14ac:dyDescent="0.2">
      <c r="A2562" s="5">
        <v>2501</v>
      </c>
      <c r="B2562" s="138">
        <f>'Acct Summary 7-8'!C20</f>
        <v>61151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38073</v>
      </c>
      <c r="C2564" s="2" t="s">
        <v>594</v>
      </c>
      <c r="D2564" s="2" t="str">
        <f t="shared" si="39"/>
        <v>Error?</v>
      </c>
    </row>
    <row r="2565" spans="1:4" x14ac:dyDescent="0.2">
      <c r="A2565" s="10">
        <v>2504</v>
      </c>
      <c r="D2565" s="2" t="str">
        <f t="shared" si="39"/>
        <v>OK</v>
      </c>
    </row>
    <row r="2566" spans="1:4" x14ac:dyDescent="0.2">
      <c r="A2566" s="5">
        <v>2505</v>
      </c>
      <c r="B2566" s="138">
        <f>'Acct Summary 7-8'!D6</f>
        <v>11537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49610</v>
      </c>
      <c r="C2568" s="2" t="s">
        <v>594</v>
      </c>
      <c r="D2568" s="2" t="str">
        <f t="shared" si="39"/>
        <v>Error?</v>
      </c>
    </row>
    <row r="2569" spans="1:4" x14ac:dyDescent="0.2">
      <c r="A2569" s="5">
        <v>2508</v>
      </c>
      <c r="B2569" s="138">
        <f>'Acct Summary 7-8'!D13</f>
        <v>41281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41281</v>
      </c>
      <c r="C2573" s="2" t="s">
        <v>594</v>
      </c>
      <c r="D2573" s="2" t="str">
        <f t="shared" si="39"/>
        <v>Error?</v>
      </c>
    </row>
    <row r="2574" spans="1:4" x14ac:dyDescent="0.2">
      <c r="A2574" s="5">
        <v>2513</v>
      </c>
      <c r="B2574" s="138">
        <f>'Acct Summary 7-8'!D20</f>
        <v>8329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5452</v>
      </c>
      <c r="C2591" s="2" t="s">
        <v>594</v>
      </c>
      <c r="D2591" s="2" t="str">
        <f t="shared" si="39"/>
        <v>Error?</v>
      </c>
    </row>
    <row r="2592" spans="1:4" x14ac:dyDescent="0.2">
      <c r="A2592" s="10">
        <v>2531</v>
      </c>
      <c r="D2592" s="2" t="str">
        <f t="shared" si="39"/>
        <v>OK</v>
      </c>
    </row>
    <row r="2593" spans="1:4" x14ac:dyDescent="0.2">
      <c r="A2593" s="5">
        <v>2532</v>
      </c>
      <c r="B2593" s="138">
        <f>'Acct Summary 7-8'!F6</f>
        <v>6073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11525</v>
      </c>
      <c r="C2595" s="2" t="s">
        <v>594</v>
      </c>
      <c r="D2595" s="2" t="str">
        <f t="shared" si="39"/>
        <v>Error?</v>
      </c>
    </row>
    <row r="2596" spans="1:4" x14ac:dyDescent="0.2">
      <c r="A2596" s="5">
        <v>2535</v>
      </c>
      <c r="B2596" s="138">
        <f>'Acct Summary 7-8'!F13</f>
        <v>28240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28240</v>
      </c>
      <c r="C2600" s="2" t="s">
        <v>594</v>
      </c>
      <c r="D2600" s="2" t="str">
        <f t="shared" si="39"/>
        <v>Error?</v>
      </c>
    </row>
    <row r="2601" spans="1:4" x14ac:dyDescent="0.2">
      <c r="A2601" s="5">
        <v>2540</v>
      </c>
      <c r="B2601" s="138">
        <f>'Acct Summary 7-8'!F20</f>
        <v>-16715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6467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6467</v>
      </c>
      <c r="C2606" s="2" t="s">
        <v>594</v>
      </c>
      <c r="D2606" s="2" t="str">
        <f t="shared" si="39"/>
        <v>Error?</v>
      </c>
    </row>
    <row r="2607" spans="1:4" x14ac:dyDescent="0.2">
      <c r="A2607" s="5">
        <v>2546</v>
      </c>
      <c r="B2607" s="138">
        <f>'Acct Summary 7-8'!G12</f>
        <v>888</v>
      </c>
      <c r="C2607" s="2" t="s">
        <v>594</v>
      </c>
      <c r="D2607" s="2" t="str">
        <f t="shared" si="39"/>
        <v>Error?</v>
      </c>
    </row>
    <row r="2608" spans="1:4" x14ac:dyDescent="0.2">
      <c r="A2608" s="5">
        <v>2547</v>
      </c>
      <c r="B2608" s="138">
        <f>'Acct Summary 7-8'!G13</f>
        <v>1111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1999</v>
      </c>
      <c r="C2612" s="2" t="s">
        <v>594</v>
      </c>
      <c r="D2612" s="2" t="str">
        <f t="shared" si="39"/>
        <v>Error?</v>
      </c>
    </row>
    <row r="2613" spans="1:4" x14ac:dyDescent="0.2">
      <c r="A2613" s="5">
        <v>2552</v>
      </c>
      <c r="B2613" s="138">
        <f>'Acct Summary 7-8'!G20</f>
        <v>4468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29830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29830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75347</v>
      </c>
      <c r="C2634" s="2" t="s">
        <v>594</v>
      </c>
      <c r="D2634" s="2" t="str">
        <f t="shared" si="40"/>
        <v>Error?</v>
      </c>
    </row>
    <row r="2635" spans="1:4" x14ac:dyDescent="0.2">
      <c r="A2635" s="5">
        <v>2574</v>
      </c>
      <c r="B2635" s="138">
        <f>'Acct Summary 7-8'!E17</f>
        <v>75347</v>
      </c>
      <c r="C2635" s="2" t="s">
        <v>594</v>
      </c>
      <c r="D2635" s="2" t="str">
        <f t="shared" si="40"/>
        <v>Error?</v>
      </c>
    </row>
    <row r="2636" spans="1:4" x14ac:dyDescent="0.2">
      <c r="A2636" s="5">
        <v>2575</v>
      </c>
      <c r="B2636" s="138">
        <f>'Acct Summary 7-8'!E20</f>
        <v>-45517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28258</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4728</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356773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8928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356773</v>
      </c>
      <c r="D2912" s="2" t="str">
        <f t="shared" si="44"/>
        <v>Error?</v>
      </c>
    </row>
    <row r="2913" spans="1:4" x14ac:dyDescent="0.2">
      <c r="A2913" s="5">
        <v>2852</v>
      </c>
      <c r="B2913" s="138">
        <f>'Assets-Liab 5-6'!I41</f>
        <v>356773</v>
      </c>
      <c r="C2913" s="2" t="s">
        <v>594</v>
      </c>
      <c r="D2913" s="2" t="str">
        <f t="shared" si="44"/>
        <v>Error?</v>
      </c>
    </row>
    <row r="2914" spans="1:4" x14ac:dyDescent="0.2">
      <c r="A2914" s="5">
        <v>2853</v>
      </c>
      <c r="B2914" s="138">
        <f>'Assets-Liab 5-6'!L33</f>
        <v>8928</v>
      </c>
      <c r="D2914" s="2" t="str">
        <f t="shared" si="44"/>
        <v>Error?</v>
      </c>
    </row>
    <row r="2915" spans="1:4" x14ac:dyDescent="0.2">
      <c r="A2915" s="10">
        <v>2854</v>
      </c>
      <c r="D2915" s="2" t="str">
        <f t="shared" si="44"/>
        <v>OK</v>
      </c>
    </row>
    <row r="2916" spans="1:4" x14ac:dyDescent="0.2">
      <c r="A2916" s="5">
        <v>2855</v>
      </c>
      <c r="B2916" s="138">
        <f>'Assets-Liab 5-6'!L34</f>
        <v>8928</v>
      </c>
      <c r="C2916" s="2" t="s">
        <v>594</v>
      </c>
      <c r="D2916" s="2" t="str">
        <f t="shared" si="44"/>
        <v>Error?</v>
      </c>
    </row>
    <row r="2917" spans="1:4" x14ac:dyDescent="0.2">
      <c r="A2917" s="5">
        <v>2856</v>
      </c>
      <c r="B2917" s="138">
        <f>'Assets-Liab 5-6'!L41</f>
        <v>8928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21296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21296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7097</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7136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9880</v>
      </c>
      <c r="C3225" s="2" t="s">
        <v>594</v>
      </c>
      <c r="D3225" s="2" t="str">
        <f t="shared" si="49"/>
        <v>Error?</v>
      </c>
    </row>
    <row r="3226" spans="1:4" x14ac:dyDescent="0.2">
      <c r="A3226" s="5">
        <v>3165</v>
      </c>
      <c r="B3226" s="138">
        <f>'Acct Summary 7-8'!I8</f>
        <v>9880</v>
      </c>
      <c r="C3226" s="2" t="s">
        <v>594</v>
      </c>
      <c r="D3226" s="2" t="str">
        <f t="shared" si="49"/>
        <v>Error?</v>
      </c>
    </row>
    <row r="3227" spans="1:4" x14ac:dyDescent="0.2">
      <c r="A3227" s="5">
        <v>3166</v>
      </c>
      <c r="B3227" s="138">
        <f>'Acct Summary 7-8'!I20</f>
        <v>9880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75347</v>
      </c>
      <c r="C3231" s="2" t="s">
        <v>594</v>
      </c>
      <c r="D3231" s="2" t="str">
        <f t="shared" si="49"/>
        <v>Error?</v>
      </c>
    </row>
    <row r="3232" spans="1:4" x14ac:dyDescent="0.2">
      <c r="A3232" s="5">
        <v>3171</v>
      </c>
      <c r="B3232" s="138">
        <f>'Acct Summary 7-8'!C77</f>
        <v>-75347</v>
      </c>
      <c r="C3232" s="2" t="s">
        <v>594</v>
      </c>
      <c r="D3232" s="2" t="str">
        <f t="shared" si="49"/>
        <v>Error?</v>
      </c>
    </row>
    <row r="3233" spans="1:4" x14ac:dyDescent="0.2">
      <c r="A3233" s="5">
        <v>3172</v>
      </c>
      <c r="B3233" s="138">
        <f>'Acct Summary 7-8'!C78</f>
        <v>-14196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8329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-16715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4468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75347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75347</v>
      </c>
      <c r="C3277" s="2" t="s">
        <v>594</v>
      </c>
      <c r="D3277" s="2" t="str">
        <f t="shared" si="50"/>
        <v>Error?</v>
      </c>
    </row>
    <row r="3278" spans="1:4" x14ac:dyDescent="0.2">
      <c r="A3278" s="5">
        <v>3217</v>
      </c>
      <c r="B3278" s="138">
        <f>'Acct Summary 7-8'!E78</f>
        <v>29830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9880</v>
      </c>
      <c r="C3320" s="2" t="s">
        <v>594</v>
      </c>
      <c r="D3320" s="2" t="str">
        <f t="shared" si="50"/>
        <v>Error?</v>
      </c>
    </row>
    <row r="3321" spans="1:4" x14ac:dyDescent="0.2">
      <c r="A3321" s="5">
        <v>3260</v>
      </c>
      <c r="B3321" s="138">
        <f>'Acct Summary 7-8'!I79</f>
        <v>346893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356773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52202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55961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v>
      </c>
      <c r="D3387" s="2" t="str">
        <f t="shared" si="51"/>
        <v>Error?</v>
      </c>
    </row>
    <row r="3388" spans="1:4" x14ac:dyDescent="0.2">
      <c r="A3388" s="5">
        <v>3327</v>
      </c>
      <c r="B3388" s="138">
        <f>'Expenditures 15-22'!D217</f>
        <v>842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v>
      </c>
      <c r="C3390" s="2" t="s">
        <v>594</v>
      </c>
      <c r="D3390" s="2" t="str">
        <f t="shared" si="51"/>
        <v>Error?</v>
      </c>
    </row>
    <row r="3391" spans="1:4" x14ac:dyDescent="0.2">
      <c r="A3391" s="5">
        <v>3330</v>
      </c>
      <c r="B3391" s="138">
        <f>'Expenditures 15-22'!K217</f>
        <v>842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98290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19707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33069</v>
      </c>
      <c r="D3417" s="2" t="str">
        <f t="shared" si="52"/>
        <v>Error?</v>
      </c>
    </row>
    <row r="3418" spans="1:4" x14ac:dyDescent="0.2">
      <c r="A3418" s="10">
        <v>3357</v>
      </c>
      <c r="D3418" s="2" t="str">
        <f t="shared" si="52"/>
        <v>OK</v>
      </c>
    </row>
    <row r="3419" spans="1:4" x14ac:dyDescent="0.2">
      <c r="A3419" s="5">
        <v>3358</v>
      </c>
      <c r="B3419" s="138">
        <f>'Assets-Liab 5-6'!F4</f>
        <v>65546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37807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356773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8928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1062</v>
      </c>
      <c r="C3446" s="2" t="s">
        <v>594</v>
      </c>
      <c r="D3446" s="2" t="str">
        <f t="shared" si="52"/>
        <v>Error?</v>
      </c>
    </row>
    <row r="3447" spans="1:4" x14ac:dyDescent="0.2">
      <c r="A3447" s="5">
        <v>3386</v>
      </c>
      <c r="B3447" s="138">
        <f>'Tax Sched 23'!D16</f>
        <v>1062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1106.72</v>
      </c>
      <c r="C3449" s="2" t="s">
        <v>594</v>
      </c>
      <c r="D3449" s="2" t="str">
        <f t="shared" si="52"/>
        <v>Error?</v>
      </c>
    </row>
    <row r="3450" spans="1:4" x14ac:dyDescent="0.2">
      <c r="A3450" s="5">
        <v>3389</v>
      </c>
      <c r="B3450" s="138">
        <f>'Tax Sched 23'!E16</f>
        <v>1106.72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1990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1990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1990</v>
      </c>
      <c r="C3568" s="2" t="s">
        <v>594</v>
      </c>
      <c r="D3568" s="2" t="str">
        <f t="shared" si="54"/>
        <v>Error?</v>
      </c>
    </row>
    <row r="3569" spans="1:4" x14ac:dyDescent="0.2">
      <c r="A3569" s="5">
        <v>3508</v>
      </c>
      <c r="B3569" s="138">
        <f>'Acct Summary 7-8'!K4</f>
        <v>5365</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5365</v>
      </c>
      <c r="C3571" s="2" t="s">
        <v>594</v>
      </c>
      <c r="D3571" s="2" t="str">
        <f t="shared" si="54"/>
        <v>Error?</v>
      </c>
    </row>
    <row r="3572" spans="1:4" x14ac:dyDescent="0.2">
      <c r="A3572" s="5">
        <v>3511</v>
      </c>
      <c r="B3572" s="138">
        <f>'Acct Summary 7-8'!K13</f>
        <v>14882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14882</v>
      </c>
      <c r="C3575" s="2" t="s">
        <v>594</v>
      </c>
      <c r="D3575" s="2" t="str">
        <f t="shared" si="54"/>
        <v>Error?</v>
      </c>
    </row>
    <row r="3576" spans="1:4" x14ac:dyDescent="0.2">
      <c r="A3576" s="5">
        <v>3515</v>
      </c>
      <c r="B3576" s="138">
        <f>'Acct Summary 7-8'!K20</f>
        <v>-9517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-9517</v>
      </c>
      <c r="C3588" s="2" t="s">
        <v>594</v>
      </c>
      <c r="D3588" s="2" t="str">
        <f t="shared" si="55"/>
        <v>Error?</v>
      </c>
    </row>
    <row r="3589" spans="1:4" x14ac:dyDescent="0.2">
      <c r="A3589" s="5">
        <v>3528</v>
      </c>
      <c r="B3589" s="138">
        <f>'Acct Summary 7-8'!K79</f>
        <v>11507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1990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938</v>
      </c>
      <c r="D3631" s="2" t="str">
        <f t="shared" si="55"/>
        <v>Error?</v>
      </c>
    </row>
    <row r="3632" spans="1:4" x14ac:dyDescent="0.2">
      <c r="A3632" s="5">
        <v>3571</v>
      </c>
      <c r="B3632" s="138">
        <f>'Expenditures 15-22'!E349</f>
        <v>1417</v>
      </c>
      <c r="D3632" s="2" t="str">
        <f t="shared" si="55"/>
        <v>Error?</v>
      </c>
    </row>
    <row r="3633" spans="1:4" x14ac:dyDescent="0.2">
      <c r="A3633" s="5">
        <v>3572</v>
      </c>
      <c r="B3633" s="138">
        <f>'Expenditures 15-22'!E350</f>
        <v>2355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2355</v>
      </c>
      <c r="C3635" s="2" t="s">
        <v>594</v>
      </c>
      <c r="D3635" s="2" t="str">
        <f t="shared" si="55"/>
        <v>Error?</v>
      </c>
    </row>
    <row r="3636" spans="1:4" x14ac:dyDescent="0.2">
      <c r="A3636" s="5">
        <v>3575</v>
      </c>
      <c r="B3636" s="138">
        <f>'Expenditures 15-22'!E367</f>
        <v>2355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-6740</v>
      </c>
      <c r="D3639" s="2" t="str">
        <f t="shared" si="55"/>
        <v>Error?</v>
      </c>
    </row>
    <row r="3640" spans="1:4" x14ac:dyDescent="0.2">
      <c r="A3640" s="5">
        <v>3579</v>
      </c>
      <c r="B3640" s="138">
        <f>'Expenditures 15-22'!F350</f>
        <v>-6740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-6740</v>
      </c>
      <c r="C3642" s="2" t="s">
        <v>594</v>
      </c>
      <c r="D3642" s="2" t="str">
        <f t="shared" si="55"/>
        <v>Error?</v>
      </c>
    </row>
    <row r="3643" spans="1:4" x14ac:dyDescent="0.2">
      <c r="A3643" s="5">
        <v>3582</v>
      </c>
      <c r="B3643" s="138">
        <f>'Expenditures 15-22'!F367</f>
        <v>-6740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19267</v>
      </c>
      <c r="D3646" s="2" t="str">
        <f t="shared" si="55"/>
        <v>Error?</v>
      </c>
    </row>
    <row r="3647" spans="1:4" x14ac:dyDescent="0.2">
      <c r="A3647" s="5">
        <v>3586</v>
      </c>
      <c r="B3647" s="138">
        <f>'Expenditures 15-22'!G350</f>
        <v>19267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19267</v>
      </c>
      <c r="C3649" s="2" t="s">
        <v>594</v>
      </c>
      <c r="D3649" s="2" t="str">
        <f t="shared" si="56"/>
        <v>Error?</v>
      </c>
    </row>
    <row r="3650" spans="1:4" x14ac:dyDescent="0.2">
      <c r="A3650" s="5">
        <v>3589</v>
      </c>
      <c r="B3650" s="138">
        <f>'Expenditures 15-22'!G367</f>
        <v>19267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938</v>
      </c>
      <c r="C3668" s="2" t="s">
        <v>594</v>
      </c>
      <c r="D3668" s="2" t="str">
        <f t="shared" si="56"/>
        <v>Error?</v>
      </c>
    </row>
    <row r="3669" spans="1:4" x14ac:dyDescent="0.2">
      <c r="A3669" s="5">
        <v>3608</v>
      </c>
      <c r="B3669" s="138">
        <f>'Expenditures 15-22'!K349</f>
        <v>13944</v>
      </c>
      <c r="C3669" s="2" t="s">
        <v>594</v>
      </c>
      <c r="D3669" s="2" t="str">
        <f t="shared" si="56"/>
        <v>Error?</v>
      </c>
    </row>
    <row r="3670" spans="1:4" x14ac:dyDescent="0.2">
      <c r="A3670" s="5">
        <v>3609</v>
      </c>
      <c r="B3670" s="138">
        <f>'Expenditures 15-22'!K350</f>
        <v>14882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14882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14882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-9517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10109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17</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17</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35732.83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645735.82999999996</v>
      </c>
      <c r="C4122" s="2" t="s">
        <v>594</v>
      </c>
      <c r="D4122" s="2" t="str">
        <f t="shared" si="63"/>
        <v>Error?</v>
      </c>
    </row>
    <row r="4123" spans="1:4" x14ac:dyDescent="0.2">
      <c r="A4123" s="5">
        <v>4062</v>
      </c>
      <c r="B4123" s="138">
        <f>'Acct Summary 7-8'!D10</f>
        <v>49610</v>
      </c>
      <c r="C4123" s="2" t="s">
        <v>594</v>
      </c>
      <c r="D4123" s="2" t="str">
        <f t="shared" si="63"/>
        <v>Error?</v>
      </c>
    </row>
    <row r="4124" spans="1:4" x14ac:dyDescent="0.2">
      <c r="A4124" s="5">
        <v>4063</v>
      </c>
      <c r="B4124" s="138">
        <f>'Acct Summary 7-8'!E10</f>
        <v>29830</v>
      </c>
      <c r="C4124" s="2" t="s">
        <v>594</v>
      </c>
      <c r="D4124" s="2" t="str">
        <f t="shared" si="63"/>
        <v>Error?</v>
      </c>
    </row>
    <row r="4125" spans="1:4" x14ac:dyDescent="0.2">
      <c r="A4125" s="5">
        <v>4064</v>
      </c>
      <c r="B4125" s="138">
        <f>'Acct Summary 7-8'!F10</f>
        <v>11525</v>
      </c>
      <c r="C4125" s="2" t="s">
        <v>594</v>
      </c>
      <c r="D4125" s="2" t="str">
        <f t="shared" si="63"/>
        <v>Error?</v>
      </c>
    </row>
    <row r="4126" spans="1:4" x14ac:dyDescent="0.2">
      <c r="A4126" s="5">
        <v>4065</v>
      </c>
      <c r="B4126" s="138">
        <f>'Acct Summary 7-8'!G10</f>
        <v>6467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9880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5365</v>
      </c>
      <c r="C4130" s="2" t="s">
        <v>594</v>
      </c>
      <c r="D4130" s="2" t="str">
        <f t="shared" si="63"/>
        <v>Error?</v>
      </c>
    </row>
    <row r="4131" spans="1:4" x14ac:dyDescent="0.2">
      <c r="A4131" s="5">
        <v>4070</v>
      </c>
      <c r="B4131" s="138">
        <f>'Acct Summary 7-8'!C18</f>
        <v>35732.83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584584.82999999996</v>
      </c>
      <c r="C4136" s="2" t="s">
        <v>594</v>
      </c>
      <c r="D4136" s="2" t="str">
        <f t="shared" si="63"/>
        <v>Error?</v>
      </c>
    </row>
    <row r="4137" spans="1:4" x14ac:dyDescent="0.2">
      <c r="A4137" s="5">
        <v>4076</v>
      </c>
      <c r="B4137" s="138">
        <f>'Acct Summary 7-8'!D19</f>
        <v>41281</v>
      </c>
      <c r="C4137" s="2" t="s">
        <v>594</v>
      </c>
      <c r="D4137" s="2" t="str">
        <f t="shared" si="63"/>
        <v>Error?</v>
      </c>
    </row>
    <row r="4138" spans="1:4" x14ac:dyDescent="0.2">
      <c r="A4138" s="5">
        <v>4077</v>
      </c>
      <c r="B4138" s="138">
        <f>'Acct Summary 7-8'!E19</f>
        <v>75347</v>
      </c>
      <c r="C4138" s="2" t="s">
        <v>594</v>
      </c>
      <c r="D4138" s="2" t="str">
        <f t="shared" si="63"/>
        <v>Error?</v>
      </c>
    </row>
    <row r="4139" spans="1:4" x14ac:dyDescent="0.2">
      <c r="A4139" s="5">
        <v>4078</v>
      </c>
      <c r="B4139" s="138">
        <f>'Acct Summary 7-8'!F19</f>
        <v>28240</v>
      </c>
      <c r="C4139" s="2" t="s">
        <v>594</v>
      </c>
      <c r="D4139" s="2" t="str">
        <f t="shared" si="63"/>
        <v>Error?</v>
      </c>
    </row>
    <row r="4140" spans="1:4" x14ac:dyDescent="0.2">
      <c r="A4140" s="5">
        <v>4079</v>
      </c>
      <c r="B4140" s="138">
        <f>'Acct Summary 7-8'!G19</f>
        <v>1999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14882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874700</v>
      </c>
      <c r="C4171" s="2" t="s">
        <v>594</v>
      </c>
      <c r="D4171" s="2" t="str">
        <f t="shared" si="64"/>
        <v>Error?</v>
      </c>
    </row>
    <row r="4172" spans="1:4" x14ac:dyDescent="0.2">
      <c r="A4172" s="5">
        <v>4111</v>
      </c>
      <c r="B4172" s="138">
        <f>'Short-Term Long-Term Debt 24'!J49</f>
        <v>841631</v>
      </c>
      <c r="C4172" s="2" t="s">
        <v>594</v>
      </c>
      <c r="D4172" s="2" t="str">
        <f t="shared" si="64"/>
        <v>Error?</v>
      </c>
    </row>
    <row r="4173" spans="1:4" x14ac:dyDescent="0.2">
      <c r="A4173" s="5">
        <v>4112</v>
      </c>
      <c r="B4173" s="138">
        <f>'Short-Term Long-Term Debt 24'!H49</f>
        <v>31100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1519</v>
      </c>
      <c r="C4265" s="2" t="s">
        <v>594</v>
      </c>
      <c r="D4265" s="2" t="str">
        <f t="shared" si="65"/>
        <v>Error?</v>
      </c>
      <c r="E4265" s="128"/>
    </row>
    <row r="4266" spans="1:5" x14ac:dyDescent="0.2">
      <c r="A4266" s="12">
        <v>4205</v>
      </c>
      <c r="B4266" s="138">
        <f>('FP Info 3'!F10)*100000</f>
        <v>213</v>
      </c>
      <c r="C4266" s="2" t="s">
        <v>594</v>
      </c>
      <c r="D4266" s="2" t="str">
        <f t="shared" si="65"/>
        <v>Error?</v>
      </c>
      <c r="E4266" s="128"/>
    </row>
    <row r="4267" spans="1:5" x14ac:dyDescent="0.2">
      <c r="A4267" s="12">
        <v>4206</v>
      </c>
      <c r="B4267" s="138">
        <f>('FP Info 3'!H10)*100000</f>
        <v>29.999999999999996</v>
      </c>
      <c r="C4267" s="2" t="s">
        <v>594</v>
      </c>
      <c r="D4267" s="2" t="str">
        <f t="shared" si="65"/>
        <v>Error?</v>
      </c>
      <c r="E4267" s="128"/>
    </row>
    <row r="4268" spans="1:5" x14ac:dyDescent="0.2">
      <c r="A4268" s="12">
        <v>4207</v>
      </c>
      <c r="B4268" s="138">
        <f>('FP Info 3'!J10)*100000</f>
        <v>1762</v>
      </c>
      <c r="C4268" s="2" t="s">
        <v>594</v>
      </c>
      <c r="D4268" s="2" t="str">
        <f t="shared" si="65"/>
        <v>Error?</v>
      </c>
    </row>
    <row r="4269" spans="1:5" x14ac:dyDescent="0.2">
      <c r="A4269" s="12">
        <v>4208</v>
      </c>
      <c r="B4269" s="138">
        <f>'FP Info 3'!J16</f>
        <v>537328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294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7326</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18323262</v>
      </c>
      <c r="D4995" s="2" t="str">
        <f t="shared" si="77"/>
        <v>Error?</v>
      </c>
    </row>
    <row r="4996" spans="1:4" x14ac:dyDescent="0.2">
      <c r="A4996" s="12">
        <v>4935</v>
      </c>
      <c r="B4996" s="138">
        <f>'FP Info 3'!H31</f>
        <v>1264305.0780000002</v>
      </c>
      <c r="D4996" s="2" t="str">
        <f t="shared" si="77"/>
        <v>Error?</v>
      </c>
    </row>
    <row r="4997" spans="1:4" x14ac:dyDescent="0.2">
      <c r="A4997" s="12">
        <v>4936</v>
      </c>
      <c r="B4997" s="138">
        <f>'FP Info 3'!H37</f>
        <v>874700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267506</v>
      </c>
      <c r="D5061" s="2" t="str">
        <f t="shared" si="78"/>
        <v>Error?</v>
      </c>
    </row>
    <row r="5062" spans="1:4" x14ac:dyDescent="0.2">
      <c r="A5062" s="10">
        <v>5001</v>
      </c>
      <c r="D5062" s="2" t="str">
        <f t="shared" si="78"/>
        <v>OK</v>
      </c>
    </row>
    <row r="5063" spans="1:4" x14ac:dyDescent="0.2">
      <c r="A5063" s="5">
        <v>5002</v>
      </c>
      <c r="B5063" s="138">
        <f>'Revenues 9-14'!C7</f>
        <v>1062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268568</v>
      </c>
      <c r="C5066" s="2" t="s">
        <v>594</v>
      </c>
      <c r="D5066" s="2" t="str">
        <f t="shared" si="78"/>
        <v>Error?</v>
      </c>
    </row>
    <row r="5067" spans="1:4" x14ac:dyDescent="0.2">
      <c r="A5067" s="5">
        <v>5006</v>
      </c>
      <c r="B5067" s="138">
        <f>'Revenues 9-14'!C14</f>
        <v>2226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14726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16952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503</v>
      </c>
      <c r="C5090" s="2" t="s">
        <v>594</v>
      </c>
      <c r="D5090" s="2" t="str">
        <f t="shared" si="78"/>
        <v>Error?</v>
      </c>
    </row>
    <row r="5091" spans="1:4" x14ac:dyDescent="0.2">
      <c r="A5091" s="5">
        <v>5030</v>
      </c>
      <c r="B5091" s="138">
        <f>'Revenues 9-14'!C70</f>
        <v>250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1191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4666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1085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29392</v>
      </c>
      <c r="C5120" s="2" t="s">
        <v>594</v>
      </c>
      <c r="D5120" s="2" t="str">
        <f t="shared" si="79"/>
        <v>Error?</v>
      </c>
    </row>
    <row r="5121" spans="1:4" x14ac:dyDescent="0.2">
      <c r="A5121" s="5">
        <v>5060</v>
      </c>
      <c r="B5121" s="138">
        <f>'Revenues 9-14'!C109</f>
        <v>321166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244360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244360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4765</v>
      </c>
      <c r="D5134" s="2" t="str">
        <f t="shared" si="79"/>
        <v>Error?</v>
      </c>
    </row>
    <row r="5135" spans="1:4" x14ac:dyDescent="0.2">
      <c r="A5135" s="5">
        <v>5074</v>
      </c>
      <c r="B5135" s="138">
        <f>'Revenues 9-14'!C126</f>
        <v>12042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16807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17033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261393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7326</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14554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3840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18394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20118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27444</v>
      </c>
      <c r="C5326" s="2" t="s">
        <v>594</v>
      </c>
      <c r="D5326" s="2" t="str">
        <f t="shared" si="82"/>
        <v>Error?</v>
      </c>
    </row>
    <row r="5327" spans="1:4" x14ac:dyDescent="0.2">
      <c r="A5327" s="5">
        <v>5266</v>
      </c>
      <c r="B5327" s="138">
        <f>'Revenues 9-14'!C275</f>
        <v>610003</v>
      </c>
      <c r="C5327" s="2" t="s">
        <v>594</v>
      </c>
      <c r="D5327" s="2" t="str">
        <f t="shared" si="82"/>
        <v>Error?</v>
      </c>
    </row>
    <row r="5328" spans="1:4" x14ac:dyDescent="0.2">
      <c r="A5328" s="5">
        <v>5267</v>
      </c>
      <c r="B5328" s="138">
        <f>'Revenues 9-14'!D5</f>
        <v>37683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37683</v>
      </c>
      <c r="C5334" s="2" t="s">
        <v>594</v>
      </c>
      <c r="D5334" s="2" t="str">
        <f t="shared" si="82"/>
        <v>Error?</v>
      </c>
    </row>
    <row r="5335" spans="1:4" x14ac:dyDescent="0.2">
      <c r="A5335" s="5">
        <v>5274</v>
      </c>
      <c r="B5335" s="138">
        <f>'Revenues 9-14'!D14</f>
        <v>312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312</v>
      </c>
      <c r="C5339" s="2" t="s">
        <v>594</v>
      </c>
      <c r="D5339" s="2" t="str">
        <f t="shared" si="82"/>
        <v>Error?</v>
      </c>
    </row>
    <row r="5340" spans="1:4" x14ac:dyDescent="0.2">
      <c r="A5340" s="5">
        <v>5279</v>
      </c>
      <c r="B5340" s="138">
        <f>'Revenues 9-14'!D65</f>
        <v>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38073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11537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11537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11537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49610</v>
      </c>
      <c r="C5508" s="2" t="s">
        <v>594</v>
      </c>
      <c r="D5508" s="2" t="str">
        <f t="shared" si="85"/>
        <v>Error?</v>
      </c>
    </row>
    <row r="5509" spans="1:4" x14ac:dyDescent="0.2">
      <c r="A5509" s="5">
        <v>5448</v>
      </c>
      <c r="B5509" s="138">
        <f>'Revenues 9-14'!E5</f>
        <v>29515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29515</v>
      </c>
      <c r="C5513" s="2" t="s">
        <v>594</v>
      </c>
      <c r="D5513" s="2" t="str">
        <f t="shared" si="85"/>
        <v>Error?</v>
      </c>
    </row>
    <row r="5514" spans="1:4" x14ac:dyDescent="0.2">
      <c r="A5514" s="5">
        <v>5453</v>
      </c>
      <c r="B5514" s="138">
        <f>'Revenues 9-14'!E14</f>
        <v>245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245</v>
      </c>
      <c r="C5518" s="2" t="s">
        <v>594</v>
      </c>
      <c r="D5518" s="2" t="str">
        <f t="shared" si="85"/>
        <v>Error?</v>
      </c>
    </row>
    <row r="5519" spans="1:4" x14ac:dyDescent="0.2">
      <c r="A5519" s="5">
        <v>5458</v>
      </c>
      <c r="B5519" s="138">
        <f>'Revenues 9-14'!E65</f>
        <v>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29830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29830</v>
      </c>
      <c r="C5552" s="2" t="s">
        <v>594</v>
      </c>
      <c r="D5552" s="2" t="str">
        <f t="shared" si="85"/>
        <v>Error?</v>
      </c>
    </row>
    <row r="5553" spans="1:4" x14ac:dyDescent="0.2">
      <c r="A5553" s="5">
        <v>5492</v>
      </c>
      <c r="B5553" s="138">
        <f>'Revenues 9-14'!F5</f>
        <v>5310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5310</v>
      </c>
      <c r="C5557" s="2" t="s">
        <v>594</v>
      </c>
      <c r="D5557" s="2" t="str">
        <f t="shared" si="85"/>
        <v>Error?</v>
      </c>
    </row>
    <row r="5558" spans="1:4" x14ac:dyDescent="0.2">
      <c r="A5558" s="5">
        <v>5497</v>
      </c>
      <c r="B5558" s="138">
        <f>'Revenues 9-14'!F14</f>
        <v>44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19</v>
      </c>
      <c r="C5587" s="2" t="s">
        <v>594</v>
      </c>
      <c r="D5587" s="2" t="str">
        <f t="shared" si="86"/>
        <v>Error?</v>
      </c>
    </row>
    <row r="5588" spans="1:4" x14ac:dyDescent="0.2">
      <c r="A5588" s="5">
        <v>5527</v>
      </c>
      <c r="B5588" s="138">
        <f>'Revenues 9-14'!F109</f>
        <v>5452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6073</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6073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6073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6073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11525</v>
      </c>
      <c r="C5720" s="2" t="s">
        <v>594</v>
      </c>
      <c r="D5720" s="2" t="str">
        <f t="shared" si="88"/>
        <v>Error?</v>
      </c>
    </row>
    <row r="5721" spans="1:4" x14ac:dyDescent="0.2">
      <c r="A5721" s="5">
        <v>5660</v>
      </c>
      <c r="B5721" s="138">
        <f>'Revenues 9-14'!G5</f>
        <v>5310</v>
      </c>
      <c r="D5721" s="2" t="str">
        <f t="shared" si="88"/>
        <v>Error?</v>
      </c>
    </row>
    <row r="5722" spans="1:4" x14ac:dyDescent="0.2">
      <c r="A5722" s="5">
        <v>5661</v>
      </c>
      <c r="B5722" s="138">
        <f>'Revenues 9-14'!G7</f>
        <v>0</v>
      </c>
      <c r="D5722" s="2" t="str">
        <f t="shared" si="88"/>
        <v>Error?</v>
      </c>
    </row>
    <row r="5723" spans="1:4" x14ac:dyDescent="0.2">
      <c r="A5723" s="5">
        <v>5662</v>
      </c>
      <c r="B5723" s="138">
        <f>'Revenues 9-14'!G8</f>
        <v>1062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6372</v>
      </c>
      <c r="C5725" s="2" t="s">
        <v>594</v>
      </c>
      <c r="D5725" s="2" t="str">
        <f t="shared" si="88"/>
        <v>Error?</v>
      </c>
    </row>
    <row r="5726" spans="1:4" x14ac:dyDescent="0.2">
      <c r="A5726" s="5">
        <v>5665</v>
      </c>
      <c r="B5726" s="138">
        <f>'Revenues 9-14'!G14</f>
        <v>53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v>
      </c>
      <c r="C5730" s="2" t="s">
        <v>594</v>
      </c>
      <c r="D5730" s="2" t="str">
        <f t="shared" si="88"/>
        <v>Error?</v>
      </c>
    </row>
    <row r="5731" spans="1:4" x14ac:dyDescent="0.2">
      <c r="A5731" s="5">
        <v>5670</v>
      </c>
      <c r="B5731" s="138">
        <f>'Revenues 9-14'!G65</f>
        <v>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6467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8322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8322</v>
      </c>
      <c r="C5918" s="2" t="s">
        <v>594</v>
      </c>
      <c r="D5918" s="2" t="str">
        <f t="shared" si="91"/>
        <v>Error?</v>
      </c>
    </row>
    <row r="5919" spans="1:4" x14ac:dyDescent="0.2">
      <c r="A5919" s="5">
        <v>5858</v>
      </c>
      <c r="B5919" s="138">
        <f>'Revenues 9-14'!I14</f>
        <v>69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69</v>
      </c>
      <c r="C5923" s="2" t="s">
        <v>594</v>
      </c>
      <c r="D5923" s="2" t="str">
        <f t="shared" si="91"/>
        <v>Error?</v>
      </c>
    </row>
    <row r="5924" spans="1:4" x14ac:dyDescent="0.2">
      <c r="A5924" s="5">
        <v>5863</v>
      </c>
      <c r="B5924" s="138">
        <f>'Revenues 9-14'!I65</f>
        <v>1489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1489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9880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5310</v>
      </c>
      <c r="C5987" s="2" t="s">
        <v>594</v>
      </c>
      <c r="D5987" s="2" t="str">
        <f t="shared" si="92"/>
        <v>Error?</v>
      </c>
    </row>
    <row r="5988" spans="1:4" x14ac:dyDescent="0.2">
      <c r="A5988" s="5">
        <v>5927</v>
      </c>
      <c r="B5988" s="138">
        <f>'Revenues 9-14'!K14</f>
        <v>44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44</v>
      </c>
      <c r="C5992" s="2" t="s">
        <v>594</v>
      </c>
      <c r="D5992" s="2" t="str">
        <f t="shared" si="92"/>
        <v>Error?</v>
      </c>
    </row>
    <row r="5993" spans="1:4" x14ac:dyDescent="0.2">
      <c r="A5993" s="5">
        <v>5932</v>
      </c>
      <c r="B5993" s="138">
        <f>'Revenues 9-14'!K65</f>
        <v>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5365</v>
      </c>
      <c r="C6023" s="2" t="s">
        <v>594</v>
      </c>
      <c r="D6023" s="2" t="str">
        <f t="shared" si="93"/>
        <v>Error?</v>
      </c>
    </row>
    <row r="6024" spans="1:5" x14ac:dyDescent="0.2">
      <c r="A6024" s="5">
        <v>5963</v>
      </c>
      <c r="B6024" s="138">
        <f>'Revenues 9-14'!G109</f>
        <v>6467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9880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5365</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3225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2676.44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51.68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2988</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10847</v>
      </c>
      <c r="D6124" s="2" t="str">
        <f t="shared" si="94"/>
        <v>Error?</v>
      </c>
      <c r="E6124" s="2" t="s">
        <v>199</v>
      </c>
    </row>
    <row r="6125" spans="1:5" x14ac:dyDescent="0.2">
      <c r="A6125">
        <v>6064</v>
      </c>
      <c r="B6125" s="138">
        <f>'Assets-Liab 5-6'!C25</f>
        <v>2988</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10847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10847</v>
      </c>
      <c r="D6216" s="2" t="str">
        <f t="shared" si="96"/>
        <v>Error?</v>
      </c>
      <c r="E6216" s="2" t="s">
        <v>199</v>
      </c>
    </row>
    <row r="6217" spans="1:5" x14ac:dyDescent="0.2">
      <c r="A6217">
        <v>6156</v>
      </c>
      <c r="B6217" s="138">
        <f>'Assets-Liab 5-6'!J4</f>
        <v>10847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11270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11270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11270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17522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17522</v>
      </c>
      <c r="D6229" s="2" t="str">
        <f t="shared" si="96"/>
        <v>Error?</v>
      </c>
      <c r="E6229" s="2" t="s">
        <v>199</v>
      </c>
    </row>
    <row r="6230" spans="1:5" x14ac:dyDescent="0.2">
      <c r="A6230">
        <v>6169</v>
      </c>
      <c r="B6230" s="138">
        <f>'Acct Summary 7-8'!J20</f>
        <v>-6252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-6252</v>
      </c>
      <c r="D6263" s="2" t="str">
        <f t="shared" si="96"/>
        <v>Error?</v>
      </c>
      <c r="E6263" s="2" t="s">
        <v>199</v>
      </c>
    </row>
    <row r="6264" spans="1:5" x14ac:dyDescent="0.2">
      <c r="A6264">
        <v>6203</v>
      </c>
      <c r="B6264" s="138">
        <f>'Acct Summary 7-8'!J79</f>
        <v>17099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10847</v>
      </c>
      <c r="D6266" s="2" t="str">
        <f t="shared" si="96"/>
        <v>Error?</v>
      </c>
      <c r="E6266" s="2" t="s">
        <v>199</v>
      </c>
    </row>
    <row r="6267" spans="1:5" x14ac:dyDescent="0.2">
      <c r="A6267">
        <v>6206</v>
      </c>
      <c r="B6267" s="138">
        <f>'Acct Summary 7-8'!C82</f>
        <v>-14196</v>
      </c>
      <c r="D6267" s="2" t="str">
        <f t="shared" si="96"/>
        <v>Error?</v>
      </c>
      <c r="E6267" s="2" t="s">
        <v>199</v>
      </c>
    </row>
    <row r="6268" spans="1:5" x14ac:dyDescent="0.2">
      <c r="A6268">
        <v>6207</v>
      </c>
      <c r="B6268" s="138">
        <f>'Acct Summary 7-8'!D82</f>
        <v>8329</v>
      </c>
      <c r="D6268" s="2" t="str">
        <f t="shared" si="96"/>
        <v>Error?</v>
      </c>
      <c r="E6268" s="2" t="s">
        <v>199</v>
      </c>
    </row>
    <row r="6269" spans="1:5" x14ac:dyDescent="0.2">
      <c r="A6269">
        <v>6208</v>
      </c>
      <c r="B6269" s="138">
        <f>'Acct Summary 7-8'!E82</f>
        <v>29830</v>
      </c>
      <c r="D6269" s="2" t="str">
        <f t="shared" si="96"/>
        <v>Error?</v>
      </c>
      <c r="E6269" s="2" t="s">
        <v>199</v>
      </c>
    </row>
    <row r="6270" spans="1:5" x14ac:dyDescent="0.2">
      <c r="A6270">
        <v>6209</v>
      </c>
      <c r="B6270" s="138">
        <f>'Acct Summary 7-8'!F82</f>
        <v>-16715</v>
      </c>
      <c r="D6270" s="2" t="str">
        <f t="shared" si="96"/>
        <v>Error?</v>
      </c>
      <c r="E6270" s="2" t="s">
        <v>199</v>
      </c>
    </row>
    <row r="6271" spans="1:5" x14ac:dyDescent="0.2">
      <c r="A6271">
        <v>6210</v>
      </c>
      <c r="B6271" s="138">
        <f>'Acct Summary 7-8'!G82</f>
        <v>4468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9880</v>
      </c>
      <c r="D6273" s="2" t="str">
        <f t="shared" si="97"/>
        <v>Error?</v>
      </c>
      <c r="E6273" s="2" t="s">
        <v>199</v>
      </c>
    </row>
    <row r="6274" spans="1:5" x14ac:dyDescent="0.2">
      <c r="A6274">
        <v>6213</v>
      </c>
      <c r="B6274" s="138">
        <f>'Acct Summary 7-8'!J82</f>
        <v>-6252</v>
      </c>
      <c r="D6274" s="2" t="str">
        <f t="shared" si="97"/>
        <v>Error?</v>
      </c>
      <c r="E6274" s="2" t="s">
        <v>199</v>
      </c>
    </row>
    <row r="6275" spans="1:5" x14ac:dyDescent="0.2">
      <c r="A6275">
        <v>6214</v>
      </c>
      <c r="B6275" s="138">
        <f>'Acct Summary 7-8'!K82</f>
        <v>-9517</v>
      </c>
      <c r="D6275" s="2" t="str">
        <f t="shared" si="97"/>
        <v>Error?</v>
      </c>
      <c r="E6275" s="2" t="s">
        <v>199</v>
      </c>
    </row>
    <row r="6276" spans="1:5" x14ac:dyDescent="0.2">
      <c r="A6276">
        <v>6215</v>
      </c>
      <c r="B6276" s="138">
        <f>'Acct Summary 7-8'!C83</f>
        <v>-0.148958049149021</v>
      </c>
      <c r="D6276" s="2" t="str">
        <f t="shared" si="97"/>
        <v>Error?</v>
      </c>
      <c r="E6276" s="2" t="s">
        <v>199</v>
      </c>
    </row>
    <row r="6277" spans="1:5" x14ac:dyDescent="0.2">
      <c r="A6277">
        <v>6216</v>
      </c>
      <c r="B6277" s="138">
        <f>'Acct Summary 7-8'!D83</f>
        <v>0.42264170091845538</v>
      </c>
      <c r="D6277" s="2" t="str">
        <f t="shared" si="97"/>
        <v>Error?</v>
      </c>
      <c r="E6277" s="2" t="s">
        <v>199</v>
      </c>
    </row>
    <row r="6278" spans="1:5" x14ac:dyDescent="0.2">
      <c r="A6278">
        <v>6217</v>
      </c>
      <c r="B6278" s="138">
        <f>'Acct Summary 7-8'!E83</f>
        <v>0.90205328253046657</v>
      </c>
      <c r="D6278" s="2" t="str">
        <f t="shared" si="97"/>
        <v>Error?</v>
      </c>
      <c r="E6278" s="2" t="s">
        <v>199</v>
      </c>
    </row>
    <row r="6279" spans="1:5" x14ac:dyDescent="0.2">
      <c r="A6279">
        <v>6218</v>
      </c>
      <c r="B6279" s="138">
        <f>'Acct Summary 7-8'!F83</f>
        <v>-0.25501174747505567</v>
      </c>
      <c r="D6279" s="2" t="str">
        <f t="shared" si="97"/>
        <v>Error?</v>
      </c>
      <c r="E6279" s="2" t="s">
        <v>199</v>
      </c>
    </row>
    <row r="6280" spans="1:5" x14ac:dyDescent="0.2">
      <c r="A6280">
        <v>6219</v>
      </c>
      <c r="B6280" s="138">
        <f>'Acct Summary 7-8'!G83</f>
        <v>0.10952322588552518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2.7692678537893842E-2</v>
      </c>
      <c r="D6282" s="2" t="str">
        <f t="shared" si="97"/>
        <v>Error?</v>
      </c>
      <c r="E6282" s="2" t="s">
        <v>199</v>
      </c>
    </row>
    <row r="6283" spans="1:5" x14ac:dyDescent="0.2">
      <c r="A6283">
        <v>6222</v>
      </c>
      <c r="B6283" s="138">
        <f>'Acct Summary 7-8'!J83</f>
        <v>-0.57638056605513044</v>
      </c>
      <c r="D6283" s="2" t="str">
        <f t="shared" si="97"/>
        <v>Error?</v>
      </c>
      <c r="E6283" s="2" t="s">
        <v>199</v>
      </c>
    </row>
    <row r="6284" spans="1:5" x14ac:dyDescent="0.2">
      <c r="A6284">
        <v>6223</v>
      </c>
      <c r="B6284" s="138">
        <f>'Acct Summary 7-8'!K83</f>
        <v>-4.7824120603015077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31100</v>
      </c>
      <c r="D6287" s="2" t="str">
        <f t="shared" si="97"/>
        <v>Error?</v>
      </c>
      <c r="E6287" s="2" t="s">
        <v>199</v>
      </c>
    </row>
    <row r="6288" spans="1:5" x14ac:dyDescent="0.2">
      <c r="A6288">
        <v>6227</v>
      </c>
      <c r="B6288" s="138">
        <f>'Acct Summary 7-8'!E40</f>
        <v>44247</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11147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11147</v>
      </c>
      <c r="D6301" s="2" t="str">
        <f t="shared" si="97"/>
        <v>Error?</v>
      </c>
      <c r="E6301" s="2" t="s">
        <v>199</v>
      </c>
    </row>
    <row r="6302" spans="1:5" x14ac:dyDescent="0.2">
      <c r="A6302">
        <v>6241</v>
      </c>
      <c r="B6302" s="138">
        <f>'Revenues 9-14'!J14</f>
        <v>92</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92</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29392</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19</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11270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17522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11270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333</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17189</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17522</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333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17189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17522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17189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17522</v>
      </c>
      <c r="D7224" s="2" t="str">
        <f t="shared" si="111"/>
        <v>Error?</v>
      </c>
    </row>
    <row r="7225" spans="1:4" x14ac:dyDescent="0.2">
      <c r="A7225">
        <v>7164</v>
      </c>
      <c r="B7225" s="138">
        <f>'Expenditures 15-22'!K343</f>
        <v>-6252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13173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31100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44247</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1062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4788.72</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topLeftCell="A10" zoomScaleNormal="110" workbookViewId="0">
      <selection activeCell="E5" sqref="E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McClellan CCSD 12</v>
      </c>
      <c r="B7" s="2403"/>
      <c r="C7" s="2403"/>
      <c r="D7" s="2440"/>
      <c r="E7" s="2441" t="str">
        <f>COVER!A13</f>
        <v>13-041-0120-04</v>
      </c>
      <c r="F7" s="2442"/>
      <c r="G7" s="2409">
        <f>COVER!T23</f>
        <v>65.028419999999997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Kujawa &amp; Batteau, P.C.</v>
      </c>
      <c r="H9" s="2416"/>
      <c r="I9" s="2416"/>
      <c r="J9" s="2416"/>
      <c r="K9" s="2416"/>
      <c r="L9" s="2417"/>
    </row>
    <row r="10" spans="1:29" ht="13.5" customHeight="1" x14ac:dyDescent="0.2">
      <c r="A10" s="2399" t="str">
        <f>COVER!A38</f>
        <v>Tammy Beckham</v>
      </c>
      <c r="B10" s="2400"/>
      <c r="C10" s="2400"/>
      <c r="D10" s="2400"/>
      <c r="E10" s="2400"/>
      <c r="F10" s="2401"/>
      <c r="G10" s="2415" t="str">
        <f>COVER!T17</f>
        <v>309 S. Walnut St.</v>
      </c>
      <c r="H10" s="2428"/>
      <c r="I10" s="2428"/>
      <c r="J10" s="2428"/>
      <c r="K10" s="2428"/>
      <c r="L10" s="2429"/>
    </row>
    <row r="11" spans="1:29" ht="13.5" customHeight="1" x14ac:dyDescent="0.2">
      <c r="A11" s="1185" t="s">
        <v>1599</v>
      </c>
      <c r="B11" s="1186"/>
      <c r="C11" s="1187"/>
      <c r="D11" s="1192"/>
      <c r="E11" s="1187"/>
      <c r="F11" s="1191"/>
      <c r="G11" s="2415" t="str">
        <f>COVER!T19</f>
        <v>Pinckneyville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kbatteau@kandb-cpa.com</v>
      </c>
      <c r="J13" s="2437"/>
      <c r="K13" s="2437"/>
      <c r="L13" s="2438"/>
    </row>
    <row r="14" spans="1:29" ht="13.5" customHeight="1" x14ac:dyDescent="0.2">
      <c r="A14" s="2415" t="str">
        <f>COVER!A19</f>
        <v>9475 N. IL Highway 148</v>
      </c>
      <c r="B14" s="2428"/>
      <c r="C14" s="2428"/>
      <c r="D14" s="2428"/>
      <c r="E14" s="2428"/>
      <c r="F14" s="2429"/>
      <c r="G14" s="1196" t="s">
        <v>1247</v>
      </c>
      <c r="H14" s="1194"/>
      <c r="I14" s="1194"/>
      <c r="J14" s="1194"/>
      <c r="K14" s="1194"/>
      <c r="L14" s="1195"/>
    </row>
    <row r="15" spans="1:29" ht="13.5" customHeight="1" x14ac:dyDescent="0.2">
      <c r="A15" s="2415" t="str">
        <f>COVER!A21</f>
        <v>Mt. Vernon</v>
      </c>
      <c r="B15" s="2428"/>
      <c r="C15" s="2428"/>
      <c r="D15" s="2428"/>
      <c r="E15" s="2428"/>
      <c r="F15" s="2429"/>
      <c r="G15" s="2425" t="str">
        <f>COVER!T15</f>
        <v>Kevin Batteau</v>
      </c>
      <c r="H15" s="2426"/>
      <c r="I15" s="2426"/>
      <c r="J15" s="2426"/>
      <c r="K15" s="2426"/>
      <c r="L15" s="2427"/>
    </row>
    <row r="16" spans="1:29" ht="12.2" customHeight="1" x14ac:dyDescent="0.2">
      <c r="A16" s="2405" t="str">
        <f>COVER!A25</f>
        <v>62864-6379</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618-357-3000</v>
      </c>
      <c r="H18" s="2403"/>
      <c r="I18" s="2403"/>
      <c r="J18" s="2403"/>
      <c r="K18" s="2402" t="str">
        <f>COVER!X21</f>
        <v>618-357-3654</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integeral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zoomScale="60" zoomScaleNormal="125" workbookViewId="0">
      <selection activeCell="D71" sqref="D70:D7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McClellan CCSD 12</v>
      </c>
      <c r="B1" s="2439"/>
      <c r="C1" s="2439"/>
      <c r="D1" s="2439"/>
    </row>
    <row r="2" spans="1:11" s="1215" customFormat="1" ht="12.75" x14ac:dyDescent="0.2">
      <c r="A2" s="2444" t="str">
        <f>'Single Audit Cover'!E7</f>
        <v>13-041-0120-04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65" firstPageNumber="36" orientation="portrait" useFirstPageNumber="1" r:id="rId5"/>
  <headerFooter alignWithMargins="0">
    <oddHeader>&amp;L&amp;8Page 38&amp;R&amp;8Page 38</oddHeader>
    <oddFooter>&amp;L"The notes are an integeral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McClellan CCSD 12</v>
      </c>
      <c r="B1" s="2447"/>
      <c r="C1" s="2447"/>
      <c r="D1" s="2447"/>
      <c r="E1" s="2447"/>
    </row>
    <row r="2" spans="1:5" x14ac:dyDescent="0.2">
      <c r="A2" s="2448" t="str">
        <f>'Single Audit Cover'!E7</f>
        <v>13-041-0120-04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27444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2676.44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30120.44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t="s">
        <v>2103</v>
      </c>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30120.44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30120.44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integeral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Layout" zoomScaleNormal="120" workbookViewId="0">
      <selection activeCell="B17" sqref="B1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McClellan CCSD 12</v>
      </c>
      <c r="B1" s="2452"/>
      <c r="C1" s="2452"/>
      <c r="D1" s="2452"/>
      <c r="E1" s="2452"/>
      <c r="F1" s="2452"/>
    </row>
    <row r="2" spans="1:7" ht="13.5" customHeight="1" x14ac:dyDescent="0.2">
      <c r="A2" s="2453" t="str">
        <f>'Single Audit Cover'!E7</f>
        <v>13-041-0120-04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t="s">
        <v>2103</v>
      </c>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view="pageBreakPreview" zoomScale="60" zoomScaleNormal="100" workbookViewId="0">
      <selection activeCell="B11" sqref="B1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McClellan CCSD 12</v>
      </c>
      <c r="C1" s="2464"/>
      <c r="D1" s="2464"/>
      <c r="E1" s="2464"/>
      <c r="F1" s="2464"/>
      <c r="G1" s="2464"/>
      <c r="H1" s="2464"/>
      <c r="I1" s="2464"/>
      <c r="J1" s="2464"/>
      <c r="K1" s="2464"/>
      <c r="L1" s="2464"/>
      <c r="M1" s="2464"/>
    </row>
    <row r="2" spans="2:14" ht="15" x14ac:dyDescent="0.2">
      <c r="B2" s="2453" t="str">
        <f>'Single Audit Cover'!E7</f>
        <v>13-041-0120-04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2103</v>
      </c>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oddFooter>&amp;L"The notes are an integeral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 notes are an integeral part of these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Layout" zoomScaleNormal="110" workbookViewId="0">
      <selection activeCell="C11" sqref="C11:D1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McClellan CCSD 12</v>
      </c>
      <c r="C1" s="2472"/>
      <c r="D1" s="2472"/>
      <c r="E1" s="2472"/>
      <c r="F1" s="2472"/>
      <c r="G1" s="2472"/>
      <c r="H1" s="2472"/>
      <c r="I1" s="2472"/>
      <c r="J1" s="1422"/>
    </row>
    <row r="2" spans="2:10" s="317" customFormat="1" ht="12.75" customHeight="1" x14ac:dyDescent="0.2">
      <c r="B2" s="2473" t="str">
        <f>'Single Audit Cover'!E7</f>
        <v>13-041-0120-04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2103</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&amp;L&amp;8Page 42&amp;R&amp;8Page 42</oddHeader>
    <oddFooter>&amp;L"The notes are an integeral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McClellan CCSD 12</v>
      </c>
      <c r="C1" s="2471"/>
      <c r="D1" s="2471"/>
      <c r="E1" s="2471"/>
      <c r="F1" s="2471"/>
      <c r="G1" s="2471"/>
      <c r="H1" s="2471"/>
      <c r="I1" s="2471"/>
      <c r="J1" s="2471"/>
      <c r="K1" s="2471"/>
      <c r="L1" s="1374"/>
      <c r="M1" s="1374"/>
    </row>
    <row r="2" spans="1:13" ht="12" customHeight="1" x14ac:dyDescent="0.2">
      <c r="B2" s="2473" t="str">
        <f>'Single Audit Cover'!E7</f>
        <v>13-041-0120-04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2103</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integeral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McClellan CCSD 12</v>
      </c>
      <c r="C1" s="2498"/>
      <c r="D1" s="2498"/>
      <c r="E1" s="2498"/>
      <c r="F1" s="2498"/>
      <c r="G1" s="2498"/>
      <c r="H1" s="2498"/>
      <c r="I1" s="2498"/>
      <c r="J1" s="2498"/>
      <c r="K1" s="2498"/>
      <c r="L1" s="1465"/>
    </row>
    <row r="2" spans="1:12" ht="12.75" customHeight="1" x14ac:dyDescent="0.2">
      <c r="B2" s="2499" t="str">
        <f>'Single Audit Cover'!E7</f>
        <v>13-041-0120-04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2103</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integeral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McClellan CCSD 12</v>
      </c>
      <c r="C1" s="2471"/>
      <c r="D1" s="2471"/>
      <c r="E1" s="1491"/>
    </row>
    <row r="2" spans="2:5" s="1282" customFormat="1" ht="12.75" customHeight="1" x14ac:dyDescent="0.2">
      <c r="B2" s="2473" t="str">
        <f>'Single Audit Cover'!E7</f>
        <v>13-041-0120-04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2103</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integeral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18323262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1.519E-2</v>
      </c>
      <c r="E10" s="356" t="s">
        <v>1062</v>
      </c>
      <c r="F10" s="355">
        <v>2.1299999999999999E-3</v>
      </c>
      <c r="G10" s="356" t="s">
        <v>1062</v>
      </c>
      <c r="H10" s="355">
        <v>2.9999999999999997E-4</v>
      </c>
      <c r="I10" s="356" t="s">
        <v>1063</v>
      </c>
      <c r="J10" s="1754">
        <f>ROUND(D10+F10+H10,5)</f>
        <v>1.762E-2</v>
      </c>
      <c r="K10" s="222"/>
      <c r="L10" s="355">
        <v>4.4999999999999999E-4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681018</v>
      </c>
      <c r="E16" s="356"/>
      <c r="F16" s="1755">
        <f>SUM('Acct Summary 7-8'!C17,'Acct Summary 7-8'!D17,'Acct Summary 7-8'!F17)</f>
        <v>618373</v>
      </c>
      <c r="G16" s="356"/>
      <c r="H16" s="1755">
        <f>SUM(D16-F16)</f>
        <v>62645</v>
      </c>
      <c r="I16" s="222"/>
      <c r="J16" s="1755">
        <f>SUM('Acct Summary 7-8'!C81,'Acct Summary 7-8'!D81,'Acct Summary 7-8'!F81,'Acct Summary 7-8'!I81)</f>
        <v>537328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1264305.0780000002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874700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integeral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topLeftCell="A16" zoomScaleNormal="110" workbookViewId="0">
      <selection activeCell="D39" sqref="D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McClellan CCSD 12</v>
      </c>
      <c r="E7" s="391"/>
      <c r="G7" s="252"/>
      <c r="H7" s="387"/>
      <c r="I7" s="387"/>
      <c r="J7" s="387"/>
      <c r="K7" s="387"/>
      <c r="L7" s="329"/>
      <c r="M7" s="329"/>
      <c r="N7" s="329"/>
      <c r="O7" s="329"/>
      <c r="P7" s="329"/>
    </row>
    <row r="8" spans="1:18" ht="12.75" x14ac:dyDescent="0.2">
      <c r="A8" s="329"/>
      <c r="B8" s="329"/>
      <c r="C8" s="389" t="s">
        <v>1187</v>
      </c>
      <c r="D8" s="392" t="str">
        <f>COVER!A13</f>
        <v>13-041-0120-04</v>
      </c>
      <c r="E8" s="393"/>
      <c r="G8" s="329"/>
      <c r="H8" s="329"/>
      <c r="I8" s="329"/>
      <c r="J8" s="329"/>
      <c r="K8" s="329"/>
      <c r="L8" s="329"/>
      <c r="M8" s="329"/>
      <c r="N8" s="329"/>
      <c r="O8" s="329"/>
      <c r="P8" s="329"/>
    </row>
    <row r="9" spans="1:18" ht="12.75" x14ac:dyDescent="0.2">
      <c r="A9" s="329"/>
      <c r="B9" s="329"/>
      <c r="C9" s="389" t="s">
        <v>737</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537328</v>
      </c>
      <c r="I12" s="404"/>
      <c r="J12" s="404"/>
      <c r="K12" s="405">
        <f>TRUNC((H12/H13*100000),5)/100000</f>
        <v>0.78900704529999999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681018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618373</v>
      </c>
      <c r="I17" s="404"/>
      <c r="J17" s="416"/>
      <c r="K17" s="405">
        <f>TRUNC((H17/H18*100000),5)/100000</f>
        <v>0.90801271030000008</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681018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540316</v>
      </c>
      <c r="I24" s="422"/>
      <c r="J24" s="422"/>
      <c r="K24" s="423">
        <f>TRUNC(((H24/H25*100000)/100000),2)</f>
        <v>314.55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1717.7027800000001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274427.49497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874700</v>
      </c>
      <c r="I32" s="420"/>
      <c r="J32" s="420"/>
      <c r="K32" s="423">
        <f>TRUNC(100-((((H32/H33*100))*100)/100),2)</f>
        <v>30.81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1264305.0780000002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integeral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8" colorId="8" zoomScale="110" zoomScaleNormal="110" workbookViewId="0">
      <selection activeCell="L38" sqref="L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-19620+4884+113109-83</f>
        <v>98290</v>
      </c>
      <c r="D4" s="466">
        <f>19405+302</f>
        <v>19707</v>
      </c>
      <c r="E4" s="466">
        <f>32823+246</f>
        <v>33069</v>
      </c>
      <c r="F4" s="466">
        <f>65482+64</f>
        <v>65546</v>
      </c>
      <c r="G4" s="466">
        <f>37753+54</f>
        <v>37807</v>
      </c>
      <c r="H4" s="466"/>
      <c r="I4" s="466">
        <f>28827+1497+325000+1449</f>
        <v>356773</v>
      </c>
      <c r="J4" s="467">
        <f>10754+93</f>
        <v>10847</v>
      </c>
      <c r="K4" s="466">
        <f>1945+45</f>
        <v>1990</v>
      </c>
      <c r="L4" s="466">
        <v>8928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f>2988</f>
        <v>2988</v>
      </c>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98290</v>
      </c>
      <c r="D13" s="1759">
        <f t="shared" ref="D13:L13" si="0">SUM(D4:D12)</f>
        <v>19707</v>
      </c>
      <c r="E13" s="1759">
        <f t="shared" si="0"/>
        <v>33069</v>
      </c>
      <c r="F13" s="1759">
        <f t="shared" si="0"/>
        <v>65546</v>
      </c>
      <c r="G13" s="1759">
        <f t="shared" si="0"/>
        <v>40795</v>
      </c>
      <c r="H13" s="1759">
        <f t="shared" si="0"/>
        <v>0</v>
      </c>
      <c r="I13" s="1759">
        <f t="shared" si="0"/>
        <v>356773</v>
      </c>
      <c r="J13" s="1759">
        <f t="shared" si="0"/>
        <v>10847</v>
      </c>
      <c r="K13" s="1759">
        <f t="shared" si="0"/>
        <v>1990</v>
      </c>
      <c r="L13" s="1759">
        <f t="shared" si="0"/>
        <v>8928</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2000</v>
      </c>
      <c r="N16" s="484"/>
    </row>
    <row r="17" spans="1:14" s="485" customFormat="1" ht="12.75" customHeight="1" x14ac:dyDescent="0.2">
      <c r="A17" s="482" t="s">
        <v>1470</v>
      </c>
      <c r="B17" s="483">
        <v>230</v>
      </c>
      <c r="C17" s="477"/>
      <c r="D17" s="477"/>
      <c r="E17" s="477"/>
      <c r="F17" s="477"/>
      <c r="G17" s="477"/>
      <c r="H17" s="477"/>
      <c r="I17" s="477"/>
      <c r="J17" s="477"/>
      <c r="K17" s="477"/>
      <c r="L17" s="477"/>
      <c r="M17" s="467">
        <v>386619</v>
      </c>
      <c r="N17" s="484"/>
    </row>
    <row r="18" spans="1:14" s="485" customFormat="1" ht="12.75" customHeight="1" x14ac:dyDescent="0.2">
      <c r="A18" s="482" t="s">
        <v>1471</v>
      </c>
      <c r="B18" s="483">
        <v>240</v>
      </c>
      <c r="C18" s="477"/>
      <c r="D18" s="477"/>
      <c r="E18" s="477"/>
      <c r="F18" s="477"/>
      <c r="G18" s="477"/>
      <c r="H18" s="477"/>
      <c r="I18" s="477"/>
      <c r="J18" s="477"/>
      <c r="K18" s="477"/>
      <c r="L18" s="477"/>
      <c r="M18" s="467">
        <v>52408</v>
      </c>
      <c r="N18" s="484"/>
    </row>
    <row r="19" spans="1:14" s="485" customFormat="1" ht="12.75" customHeight="1" x14ac:dyDescent="0.2">
      <c r="A19" s="482" t="s">
        <v>1472</v>
      </c>
      <c r="B19" s="483">
        <v>250</v>
      </c>
      <c r="C19" s="477"/>
      <c r="D19" s="477"/>
      <c r="E19" s="477"/>
      <c r="F19" s="477"/>
      <c r="G19" s="477"/>
      <c r="H19" s="477"/>
      <c r="I19" s="477"/>
      <c r="J19" s="477"/>
      <c r="K19" s="477"/>
      <c r="L19" s="477"/>
      <c r="M19" s="467">
        <v>342863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33069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841631</v>
      </c>
    </row>
    <row r="23" spans="1:14" ht="13.5" customHeight="1" thickBot="1" x14ac:dyDescent="0.25">
      <c r="A23" s="1758" t="s">
        <v>664</v>
      </c>
      <c r="B23" s="1763"/>
      <c r="C23" s="468"/>
      <c r="D23" s="468"/>
      <c r="E23" s="468"/>
      <c r="F23" s="468"/>
      <c r="G23" s="468"/>
      <c r="H23" s="468"/>
      <c r="I23" s="468"/>
      <c r="J23" s="468"/>
      <c r="K23" s="468"/>
      <c r="L23" s="468"/>
      <c r="M23" s="1710">
        <f>SUM(M15:M22)</f>
        <v>783890</v>
      </c>
      <c r="N23" s="1710">
        <f>SUM(N21:N22)</f>
        <v>874700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f>2988</f>
        <v>2988</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8928</v>
      </c>
      <c r="M33" s="468"/>
      <c r="N33" s="469"/>
    </row>
    <row r="34" spans="1:14" ht="13.5" customHeight="1" thickBot="1" x14ac:dyDescent="0.25">
      <c r="A34" s="1760" t="s">
        <v>675</v>
      </c>
      <c r="B34" s="1761"/>
      <c r="C34" s="1762">
        <f>SUM(C25:C33)</f>
        <v>2988</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8928</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874700</v>
      </c>
    </row>
    <row r="37" spans="1:14" ht="13.5" thickBot="1" x14ac:dyDescent="0.25">
      <c r="A37" s="1758" t="s">
        <v>674</v>
      </c>
      <c r="B37" s="1763"/>
      <c r="C37" s="477"/>
      <c r="D37" s="477"/>
      <c r="E37" s="477"/>
      <c r="F37" s="477"/>
      <c r="G37" s="477"/>
      <c r="H37" s="477"/>
      <c r="I37" s="477"/>
      <c r="J37" s="477"/>
      <c r="K37" s="477"/>
      <c r="L37" s="480"/>
      <c r="M37" s="468"/>
      <c r="N37" s="1710">
        <f>SUM(N36:N36)</f>
        <v>874700</v>
      </c>
    </row>
    <row r="38" spans="1:14" s="329" customFormat="1" ht="13.5" customHeight="1" thickTop="1" x14ac:dyDescent="0.2">
      <c r="A38" s="496" t="s">
        <v>440</v>
      </c>
      <c r="B38" s="483">
        <v>714</v>
      </c>
      <c r="C38" s="466"/>
      <c r="D38" s="466"/>
      <c r="E38" s="466">
        <f>'Acct Summary 7-8'!E81</f>
        <v>33069</v>
      </c>
      <c r="F38" s="466">
        <f>'Acct Summary 7-8'!F81</f>
        <v>65546</v>
      </c>
      <c r="G38" s="466">
        <f>'Acct Summary 7-8'!G81</f>
        <v>40795</v>
      </c>
      <c r="H38" s="466"/>
      <c r="I38" s="466"/>
      <c r="J38" s="467">
        <f>'Acct Summary 7-8'!J81</f>
        <v>10847</v>
      </c>
      <c r="K38" s="466">
        <f>'Acct Summary 7-8'!K81</f>
        <v>1990</v>
      </c>
      <c r="L38" s="481"/>
      <c r="M38" s="497"/>
      <c r="N38" s="497"/>
    </row>
    <row r="39" spans="1:14" s="329" customFormat="1" ht="13.5" customHeight="1" x14ac:dyDescent="0.2">
      <c r="A39" s="496" t="s">
        <v>360</v>
      </c>
      <c r="B39" s="483">
        <v>730</v>
      </c>
      <c r="C39" s="466">
        <f>'Acct Summary 7-8'!C81</f>
        <v>95302</v>
      </c>
      <c r="D39" s="466">
        <f>'Acct Summary 7-8'!D81</f>
        <v>19707</v>
      </c>
      <c r="E39" s="466"/>
      <c r="F39" s="466"/>
      <c r="G39" s="466"/>
      <c r="H39" s="466">
        <f>'Acct Summary 7-8'!H81</f>
        <v>0</v>
      </c>
      <c r="I39" s="466">
        <f>'Acct Summary 7-8'!I81</f>
        <v>356773</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783890</v>
      </c>
      <c r="N40" s="497"/>
    </row>
    <row r="41" spans="1:14" ht="13.5" customHeight="1" thickBot="1" x14ac:dyDescent="0.25">
      <c r="A41" s="1758" t="s">
        <v>676</v>
      </c>
      <c r="B41" s="1728"/>
      <c r="C41" s="1710">
        <f>(SUM(C34,C37,C38,C39))</f>
        <v>98290</v>
      </c>
      <c r="D41" s="1710">
        <f t="shared" ref="D41:L41" si="2">SUM(D34,D37,D38:D39)</f>
        <v>19707</v>
      </c>
      <c r="E41" s="1710">
        <f t="shared" si="2"/>
        <v>33069</v>
      </c>
      <c r="F41" s="1710">
        <f t="shared" si="2"/>
        <v>65546</v>
      </c>
      <c r="G41" s="1710">
        <f t="shared" si="2"/>
        <v>40795</v>
      </c>
      <c r="H41" s="1710">
        <f t="shared" si="2"/>
        <v>0</v>
      </c>
      <c r="I41" s="1710">
        <f t="shared" si="2"/>
        <v>356773</v>
      </c>
      <c r="J41" s="1710">
        <f t="shared" si="2"/>
        <v>10847</v>
      </c>
      <c r="K41" s="1710">
        <f t="shared" si="2"/>
        <v>1990</v>
      </c>
      <c r="L41" s="1710">
        <f t="shared" si="2"/>
        <v>8928</v>
      </c>
      <c r="M41" s="1710">
        <f>SUM(M40)</f>
        <v>783890</v>
      </c>
      <c r="N41" s="1710">
        <f>SUM(N37)</f>
        <v>874700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22" colorId="8" zoomScaleNormal="11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321166</v>
      </c>
      <c r="D4" s="1764">
        <f>'Revenues 9-14'!D109</f>
        <v>38073</v>
      </c>
      <c r="E4" s="1764">
        <f>'Revenues 9-14'!E109</f>
        <v>29830</v>
      </c>
      <c r="F4" s="1764">
        <f>'Revenues 9-14'!F109</f>
        <v>5452</v>
      </c>
      <c r="G4" s="1764">
        <f>'Revenues 9-14'!G109</f>
        <v>6467</v>
      </c>
      <c r="H4" s="1764">
        <f>'Revenues 9-14'!H109</f>
        <v>0</v>
      </c>
      <c r="I4" s="1764">
        <f>'Revenues 9-14'!I109</f>
        <v>9880</v>
      </c>
      <c r="J4" s="1764">
        <f>'Revenues 9-14'!J109</f>
        <v>11270</v>
      </c>
      <c r="K4" s="1764">
        <f>'Revenues 9-14'!K109</f>
        <v>5365</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261393</v>
      </c>
      <c r="D6" s="1765">
        <f>'Revenues 9-14'!D173</f>
        <v>11537</v>
      </c>
      <c r="E6" s="1765">
        <f>'Revenues 9-14'!E173</f>
        <v>0</v>
      </c>
      <c r="F6" s="1765">
        <f>'Revenues 9-14'!F173</f>
        <v>6073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27444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610003</v>
      </c>
      <c r="D8" s="1710">
        <f t="shared" ref="D8:K8" si="0">SUM(D4:D7)</f>
        <v>49610</v>
      </c>
      <c r="E8" s="1710">
        <f t="shared" si="0"/>
        <v>29830</v>
      </c>
      <c r="F8" s="1710">
        <f t="shared" si="0"/>
        <v>11525</v>
      </c>
      <c r="G8" s="1710">
        <f t="shared" si="0"/>
        <v>6467</v>
      </c>
      <c r="H8" s="1710">
        <f t="shared" si="0"/>
        <v>0</v>
      </c>
      <c r="I8" s="1710">
        <f t="shared" si="0"/>
        <v>9880</v>
      </c>
      <c r="J8" s="1710">
        <f t="shared" si="0"/>
        <v>11270</v>
      </c>
      <c r="K8" s="1710">
        <f t="shared" si="0"/>
        <v>5365</v>
      </c>
      <c r="L8" s="347"/>
    </row>
    <row r="9" spans="1:13" ht="15.75" thickTop="1" x14ac:dyDescent="0.2">
      <c r="A9" s="514" t="s">
        <v>1752</v>
      </c>
      <c r="B9" s="515">
        <v>3998</v>
      </c>
      <c r="C9" s="481">
        <v>35732.83</v>
      </c>
      <c r="D9" s="516"/>
      <c r="E9" s="481"/>
      <c r="F9" s="481"/>
      <c r="G9" s="517"/>
      <c r="H9" s="481"/>
      <c r="I9" s="509" t="s">
        <v>1231</v>
      </c>
      <c r="J9" s="478"/>
      <c r="K9" s="481"/>
      <c r="L9" s="347"/>
    </row>
    <row r="10" spans="1:13" s="519" customFormat="1" ht="13.5" thickBot="1" x14ac:dyDescent="0.25">
      <c r="A10" s="1758" t="s">
        <v>1235</v>
      </c>
      <c r="B10" s="1731"/>
      <c r="C10" s="1710">
        <f>SUM(C8:C9)</f>
        <v>645735.82999999996</v>
      </c>
      <c r="D10" s="1710">
        <f t="shared" ref="D10:K10" si="1">SUM(D8:D9)</f>
        <v>49610</v>
      </c>
      <c r="E10" s="1710">
        <f t="shared" si="1"/>
        <v>29830</v>
      </c>
      <c r="F10" s="1710">
        <f t="shared" si="1"/>
        <v>11525</v>
      </c>
      <c r="G10" s="1710">
        <f t="shared" si="1"/>
        <v>6467</v>
      </c>
      <c r="H10" s="1710">
        <f t="shared" si="1"/>
        <v>0</v>
      </c>
      <c r="I10" s="1710">
        <f t="shared" si="1"/>
        <v>9880</v>
      </c>
      <c r="J10" s="1710">
        <f t="shared" si="1"/>
        <v>11270</v>
      </c>
      <c r="K10" s="1710">
        <f t="shared" si="1"/>
        <v>5365</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371690</v>
      </c>
      <c r="D12" s="520" t="s">
        <v>1231</v>
      </c>
      <c r="E12" s="468" t="s">
        <v>1231</v>
      </c>
      <c r="F12" s="468" t="s">
        <v>1231</v>
      </c>
      <c r="G12" s="1764">
        <f>'Expenditures 15-22'!K229</f>
        <v>888</v>
      </c>
      <c r="H12" s="521"/>
      <c r="I12" s="468" t="s">
        <v>1231</v>
      </c>
      <c r="J12" s="468" t="s">
        <v>1231</v>
      </c>
      <c r="K12" s="521" t="s">
        <v>1231</v>
      </c>
      <c r="L12" s="347"/>
    </row>
    <row r="13" spans="1:13" ht="15.75" customHeight="1" x14ac:dyDescent="0.2">
      <c r="A13" s="1598" t="s">
        <v>477</v>
      </c>
      <c r="B13" s="1600">
        <v>2000</v>
      </c>
      <c r="C13" s="1765">
        <f>'Expenditures 15-22'!K74</f>
        <v>155866</v>
      </c>
      <c r="D13" s="1765">
        <f>'Expenditures 15-22'!K129</f>
        <v>41281</v>
      </c>
      <c r="E13" s="469" t="s">
        <v>1231</v>
      </c>
      <c r="F13" s="1765">
        <f>'Expenditures 15-22'!K184</f>
        <v>28240</v>
      </c>
      <c r="G13" s="1765">
        <f>'Expenditures 15-22'!K279</f>
        <v>1111</v>
      </c>
      <c r="H13" s="1765">
        <f>'Expenditures 15-22'!K303</f>
        <v>0</v>
      </c>
      <c r="I13" s="468" t="s">
        <v>1231</v>
      </c>
      <c r="J13" s="1765">
        <f>'Expenditures 15-22'!K330</f>
        <v>17522</v>
      </c>
      <c r="K13" s="1769">
        <f>'Expenditures 15-22'!K352</f>
        <v>14882</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21296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75347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548852</v>
      </c>
      <c r="D17" s="1710">
        <f t="shared" si="2"/>
        <v>41281</v>
      </c>
      <c r="E17" s="1710">
        <f t="shared" si="2"/>
        <v>75347</v>
      </c>
      <c r="F17" s="1710">
        <f t="shared" si="2"/>
        <v>28240</v>
      </c>
      <c r="G17" s="1710">
        <f t="shared" si="2"/>
        <v>1999</v>
      </c>
      <c r="H17" s="1710">
        <f t="shared" si="2"/>
        <v>0</v>
      </c>
      <c r="I17" s="468"/>
      <c r="J17" s="1710">
        <f>SUM(J12:J16)</f>
        <v>17522</v>
      </c>
      <c r="K17" s="1710">
        <f>SUM(K12:K16)</f>
        <v>14882</v>
      </c>
      <c r="L17" s="347"/>
    </row>
    <row r="18" spans="1:12" ht="15" customHeight="1" thickTop="1" x14ac:dyDescent="0.2">
      <c r="A18" s="1766" t="s">
        <v>1753</v>
      </c>
      <c r="B18" s="1767">
        <v>4180</v>
      </c>
      <c r="C18" s="1764">
        <f t="shared" ref="C18:H18" si="3">C9</f>
        <v>35732.83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584584.82999999996</v>
      </c>
      <c r="D19" s="1710">
        <f t="shared" si="4"/>
        <v>41281</v>
      </c>
      <c r="E19" s="1710">
        <f t="shared" si="4"/>
        <v>75347</v>
      </c>
      <c r="F19" s="1710">
        <f t="shared" si="4"/>
        <v>28240</v>
      </c>
      <c r="G19" s="1710">
        <f t="shared" si="4"/>
        <v>1999</v>
      </c>
      <c r="H19" s="1710">
        <f t="shared" si="4"/>
        <v>0</v>
      </c>
      <c r="I19" s="468"/>
      <c r="J19" s="1710">
        <f>SUM(J17:J18)</f>
        <v>17522</v>
      </c>
      <c r="K19" s="1710">
        <f>SUM(K17:K18)</f>
        <v>14882</v>
      </c>
      <c r="L19" s="347"/>
    </row>
    <row r="20" spans="1:12" ht="16.5" thickTop="1" thickBot="1" x14ac:dyDescent="0.25">
      <c r="A20" s="2144" t="s">
        <v>1754</v>
      </c>
      <c r="B20" s="2145"/>
      <c r="C20" s="1768">
        <f>C8-C17</f>
        <v>61151</v>
      </c>
      <c r="D20" s="1768">
        <f t="shared" ref="D20:K20" si="5">D8-D17</f>
        <v>8329</v>
      </c>
      <c r="E20" s="1768">
        <f t="shared" si="5"/>
        <v>-45517</v>
      </c>
      <c r="F20" s="1768">
        <f t="shared" si="5"/>
        <v>-16715</v>
      </c>
      <c r="G20" s="1768">
        <f t="shared" si="5"/>
        <v>4468</v>
      </c>
      <c r="H20" s="1768">
        <f t="shared" si="5"/>
        <v>0</v>
      </c>
      <c r="I20" s="1768">
        <f t="shared" si="5"/>
        <v>9880</v>
      </c>
      <c r="J20" s="1768">
        <f t="shared" si="5"/>
        <v>-6252</v>
      </c>
      <c r="K20" s="1768">
        <f t="shared" si="5"/>
        <v>-9517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31100</v>
      </c>
      <c r="F39" s="477"/>
      <c r="G39" s="477"/>
      <c r="H39" s="477"/>
      <c r="I39" s="477"/>
      <c r="J39" s="477"/>
      <c r="K39" s="477"/>
      <c r="L39" s="524"/>
    </row>
    <row r="40" spans="1:12" s="485" customFormat="1" ht="13.5" customHeight="1" x14ac:dyDescent="0.2">
      <c r="A40" s="1511" t="s">
        <v>663</v>
      </c>
      <c r="B40" s="483">
        <v>7700</v>
      </c>
      <c r="C40" s="477"/>
      <c r="D40" s="477"/>
      <c r="E40" s="1765">
        <f>SUM(C66:D69)</f>
        <v>44247</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75347</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f>20000+11100</f>
        <v>31100</v>
      </c>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f>25613+18634</f>
        <v>44247</v>
      </c>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75347</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-75347</v>
      </c>
      <c r="D77" s="1725">
        <f t="shared" si="8"/>
        <v>0</v>
      </c>
      <c r="E77" s="1725">
        <f t="shared" si="8"/>
        <v>75347</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-14196</v>
      </c>
      <c r="D78" s="1724">
        <f t="shared" si="9"/>
        <v>8329</v>
      </c>
      <c r="E78" s="1724">
        <f t="shared" si="9"/>
        <v>29830</v>
      </c>
      <c r="F78" s="1724">
        <f t="shared" si="9"/>
        <v>-16715</v>
      </c>
      <c r="G78" s="1724">
        <f t="shared" si="9"/>
        <v>4468</v>
      </c>
      <c r="H78" s="1724">
        <f t="shared" si="9"/>
        <v>0</v>
      </c>
      <c r="I78" s="1724">
        <f t="shared" si="9"/>
        <v>9880</v>
      </c>
      <c r="J78" s="1724">
        <f t="shared" si="9"/>
        <v>-6252</v>
      </c>
      <c r="K78" s="1724">
        <f t="shared" si="9"/>
        <v>-9517</v>
      </c>
      <c r="L78" s="533"/>
    </row>
    <row r="79" spans="1:12" ht="13.5" thickTop="1" x14ac:dyDescent="0.2">
      <c r="A79" s="1516" t="s">
        <v>2073</v>
      </c>
      <c r="B79" s="534"/>
      <c r="C79" s="478">
        <v>109498</v>
      </c>
      <c r="D79" s="535">
        <v>11378</v>
      </c>
      <c r="E79" s="535">
        <v>3239</v>
      </c>
      <c r="F79" s="535">
        <v>82261</v>
      </c>
      <c r="G79" s="535">
        <v>36327</v>
      </c>
      <c r="H79" s="535">
        <v>0</v>
      </c>
      <c r="I79" s="535">
        <v>346893</v>
      </c>
      <c r="J79" s="535">
        <v>17099</v>
      </c>
      <c r="K79" s="535">
        <v>11507</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95302</v>
      </c>
      <c r="D81" s="1710">
        <f>SUM(D78:D80)</f>
        <v>19707</v>
      </c>
      <c r="E81" s="1710">
        <f t="shared" ref="E81:K81" si="10">SUM(E78:E80)</f>
        <v>33069</v>
      </c>
      <c r="F81" s="1710">
        <f t="shared" si="10"/>
        <v>65546</v>
      </c>
      <c r="G81" s="1710">
        <f t="shared" si="10"/>
        <v>40795</v>
      </c>
      <c r="H81" s="1710">
        <f t="shared" si="10"/>
        <v>0</v>
      </c>
      <c r="I81" s="1710">
        <f t="shared" si="10"/>
        <v>356773</v>
      </c>
      <c r="J81" s="1710">
        <f t="shared" si="10"/>
        <v>10847</v>
      </c>
      <c r="K81" s="1710">
        <f t="shared" si="10"/>
        <v>1990</v>
      </c>
      <c r="L81" s="347"/>
    </row>
    <row r="82" spans="1:12" ht="0.75" customHeight="1" thickTop="1" thickBot="1" x14ac:dyDescent="0.25">
      <c r="A82" s="536" t="s">
        <v>361</v>
      </c>
      <c r="B82" s="537"/>
      <c r="C82" s="538">
        <f>(C81-C79)</f>
        <v>-14196</v>
      </c>
      <c r="D82" s="538">
        <f t="shared" ref="D82:K82" si="11">(D81-D79)</f>
        <v>8329</v>
      </c>
      <c r="E82" s="538">
        <f t="shared" si="11"/>
        <v>29830</v>
      </c>
      <c r="F82" s="538">
        <f t="shared" si="11"/>
        <v>-16715</v>
      </c>
      <c r="G82" s="538">
        <f t="shared" si="11"/>
        <v>4468</v>
      </c>
      <c r="H82" s="538">
        <f t="shared" si="11"/>
        <v>0</v>
      </c>
      <c r="I82" s="538">
        <f t="shared" si="11"/>
        <v>9880</v>
      </c>
      <c r="J82" s="538">
        <f t="shared" si="11"/>
        <v>-6252</v>
      </c>
      <c r="K82" s="538">
        <f t="shared" si="11"/>
        <v>-9517</v>
      </c>
    </row>
    <row r="83" spans="1:12" ht="14.25" hidden="1" thickTop="1" thickBot="1" x14ac:dyDescent="0.25">
      <c r="A83" s="539" t="s">
        <v>362</v>
      </c>
      <c r="B83" s="464"/>
      <c r="C83" s="540">
        <f>C82/C81</f>
        <v>-0.148958049149021</v>
      </c>
      <c r="D83" s="540">
        <f t="shared" ref="D83:K83" si="12">D82/D81</f>
        <v>0.42264170091845538</v>
      </c>
      <c r="E83" s="540">
        <f t="shared" si="12"/>
        <v>0.90205328253046657</v>
      </c>
      <c r="F83" s="540">
        <f t="shared" si="12"/>
        <v>-0.25501174747505567</v>
      </c>
      <c r="G83" s="540">
        <f t="shared" si="12"/>
        <v>0.10952322588552518</v>
      </c>
      <c r="H83" s="540" t="e">
        <f t="shared" si="12"/>
        <v>#DIV/0!</v>
      </c>
      <c r="I83" s="540">
        <f t="shared" si="12"/>
        <v>2.7692678537893842E-2</v>
      </c>
      <c r="J83" s="540">
        <f t="shared" si="12"/>
        <v>-0.57638056605513044</v>
      </c>
      <c r="K83" s="540">
        <f t="shared" si="12"/>
        <v>-4.7824120603015077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integeral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267506</v>
      </c>
      <c r="D5" s="481">
        <v>37683</v>
      </c>
      <c r="E5" s="466">
        <v>29515</v>
      </c>
      <c r="F5" s="548">
        <v>5310</v>
      </c>
      <c r="G5" s="466">
        <v>5310</v>
      </c>
      <c r="H5" s="466"/>
      <c r="I5" s="466">
        <f>8323-1</f>
        <v>8322</v>
      </c>
      <c r="J5" s="467">
        <v>11147</v>
      </c>
      <c r="K5" s="466">
        <v>5310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1062</v>
      </c>
      <c r="D7" s="466"/>
      <c r="E7" s="468"/>
      <c r="F7" s="467"/>
      <c r="G7" s="467"/>
      <c r="H7" s="467"/>
      <c r="I7" s="468"/>
      <c r="J7" s="468"/>
      <c r="K7" s="468"/>
    </row>
    <row r="8" spans="1:12" x14ac:dyDescent="0.2">
      <c r="A8" s="463" t="s">
        <v>433</v>
      </c>
      <c r="B8" s="470">
        <v>1150</v>
      </c>
      <c r="C8" s="475"/>
      <c r="D8" s="475"/>
      <c r="E8" s="477"/>
      <c r="F8" s="477"/>
      <c r="G8" s="481">
        <v>1062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268568</v>
      </c>
      <c r="D12" s="1729">
        <f t="shared" si="0"/>
        <v>37683</v>
      </c>
      <c r="E12" s="1729">
        <f t="shared" si="0"/>
        <v>29515</v>
      </c>
      <c r="F12" s="1729">
        <f t="shared" si="0"/>
        <v>5310</v>
      </c>
      <c r="G12" s="1729">
        <f t="shared" si="0"/>
        <v>6372</v>
      </c>
      <c r="H12" s="1729">
        <f t="shared" si="0"/>
        <v>0</v>
      </c>
      <c r="I12" s="1729">
        <f t="shared" si="0"/>
        <v>8322</v>
      </c>
      <c r="J12" s="1729">
        <f t="shared" si="0"/>
        <v>11147</v>
      </c>
      <c r="K12" s="1710">
        <f t="shared" si="0"/>
        <v>5310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2226</v>
      </c>
      <c r="D14" s="466">
        <v>312</v>
      </c>
      <c r="E14" s="466">
        <v>245</v>
      </c>
      <c r="F14" s="466">
        <v>44</v>
      </c>
      <c r="G14" s="466">
        <v>53</v>
      </c>
      <c r="H14" s="466"/>
      <c r="I14" s="466">
        <v>69</v>
      </c>
      <c r="J14" s="467">
        <v>92</v>
      </c>
      <c r="K14" s="466">
        <v>44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14726</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16952</v>
      </c>
      <c r="D18" s="1732">
        <f t="shared" ref="D18:K18" si="1">SUM(D14:D17)</f>
        <v>312</v>
      </c>
      <c r="E18" s="1732">
        <f t="shared" si="1"/>
        <v>245</v>
      </c>
      <c r="F18" s="1732">
        <f t="shared" si="1"/>
        <v>44</v>
      </c>
      <c r="G18" s="1732">
        <f t="shared" si="1"/>
        <v>53</v>
      </c>
      <c r="H18" s="1732">
        <f t="shared" si="1"/>
        <v>0</v>
      </c>
      <c r="I18" s="1732">
        <f t="shared" si="1"/>
        <v>69</v>
      </c>
      <c r="J18" s="1732">
        <f t="shared" si="1"/>
        <v>92</v>
      </c>
      <c r="K18" s="1733">
        <f t="shared" si="1"/>
        <v>44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503</v>
      </c>
      <c r="D65" s="466">
        <v>78</v>
      </c>
      <c r="E65" s="466">
        <v>70</v>
      </c>
      <c r="F65" s="467">
        <v>79</v>
      </c>
      <c r="G65" s="466">
        <v>42</v>
      </c>
      <c r="H65" s="466"/>
      <c r="I65" s="466">
        <f>40+1449</f>
        <v>1489</v>
      </c>
      <c r="J65" s="467">
        <v>31</v>
      </c>
      <c r="K65" s="466">
        <v>11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503</v>
      </c>
      <c r="D67" s="1710">
        <f t="shared" ref="D67:K67" si="2">SUM(D65:D66)</f>
        <v>78</v>
      </c>
      <c r="E67" s="1710">
        <f t="shared" si="2"/>
        <v>70</v>
      </c>
      <c r="F67" s="1710">
        <f t="shared" si="2"/>
        <v>79</v>
      </c>
      <c r="G67" s="1710">
        <f t="shared" si="2"/>
        <v>42</v>
      </c>
      <c r="H67" s="1710">
        <f t="shared" si="2"/>
        <v>0</v>
      </c>
      <c r="I67" s="1710">
        <f t="shared" si="2"/>
        <v>1489</v>
      </c>
      <c r="J67" s="1710">
        <f t="shared" si="2"/>
        <v>31</v>
      </c>
      <c r="K67" s="1710">
        <f t="shared" si="2"/>
        <v>11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3225</v>
      </c>
      <c r="D69" s="468"/>
      <c r="E69" s="468"/>
      <c r="F69" s="468"/>
      <c r="G69" s="468"/>
      <c r="H69" s="468"/>
      <c r="I69" s="468"/>
      <c r="J69" s="468"/>
      <c r="K69" s="468"/>
    </row>
    <row r="70" spans="1:11" ht="12.75" customHeight="1" x14ac:dyDescent="0.2">
      <c r="A70" s="463" t="s">
        <v>1054</v>
      </c>
      <c r="B70" s="470">
        <v>1612</v>
      </c>
      <c r="C70" s="551">
        <v>250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1191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4666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29392</v>
      </c>
      <c r="D100" s="489"/>
      <c r="E100" s="489"/>
      <c r="F100" s="489">
        <v>19</v>
      </c>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29392</v>
      </c>
      <c r="D108" s="1729">
        <f t="shared" ref="D108:K108" si="3">SUM(D95:D107)</f>
        <v>0</v>
      </c>
      <c r="E108" s="1729">
        <f t="shared" si="3"/>
        <v>0</v>
      </c>
      <c r="F108" s="1729">
        <f t="shared" si="3"/>
        <v>19</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321166</v>
      </c>
      <c r="D109" s="1737">
        <f t="shared" si="4"/>
        <v>38073</v>
      </c>
      <c r="E109" s="1737">
        <f t="shared" si="4"/>
        <v>29830</v>
      </c>
      <c r="F109" s="1737">
        <f t="shared" si="4"/>
        <v>5452</v>
      </c>
      <c r="G109" s="1737">
        <f t="shared" si="4"/>
        <v>6467</v>
      </c>
      <c r="H109" s="1737">
        <f t="shared" si="4"/>
        <v>0</v>
      </c>
      <c r="I109" s="1737">
        <f t="shared" si="4"/>
        <v>9880</v>
      </c>
      <c r="J109" s="1737">
        <f t="shared" si="4"/>
        <v>11270</v>
      </c>
      <c r="K109" s="1724">
        <f t="shared" si="4"/>
        <v>5365</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244360</v>
      </c>
      <c r="D117" s="481">
        <v>11537</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244360</v>
      </c>
      <c r="D121" s="1729">
        <f t="shared" si="5"/>
        <v>11537</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4765</v>
      </c>
      <c r="D125" s="561"/>
      <c r="E125" s="468"/>
      <c r="F125" s="466"/>
      <c r="G125" s="468"/>
      <c r="H125" s="468"/>
      <c r="I125" s="468"/>
      <c r="J125" s="468"/>
      <c r="K125" s="468"/>
    </row>
    <row r="126" spans="1:11" ht="12.75" customHeight="1" x14ac:dyDescent="0.2">
      <c r="A126" s="463" t="s">
        <v>922</v>
      </c>
      <c r="B126" s="562">
        <v>3110</v>
      </c>
      <c r="C126" s="551">
        <v>12042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16807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6073</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6073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17033</v>
      </c>
      <c r="D172" s="1744">
        <f t="shared" si="6"/>
        <v>0</v>
      </c>
      <c r="E172" s="1744">
        <f t="shared" si="6"/>
        <v>0</v>
      </c>
      <c r="F172" s="1744">
        <f t="shared" si="6"/>
        <v>6073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261393</v>
      </c>
      <c r="D173" s="1737">
        <f>SUM(D121,D172)</f>
        <v>11537</v>
      </c>
      <c r="E173" s="1737">
        <f>SUM(E121,E172)</f>
        <v>0</v>
      </c>
      <c r="F173" s="1737">
        <f t="shared" ref="F173:K173" si="7">SUM(F121,F172)</f>
        <v>6073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7326</v>
      </c>
      <c r="D177" s="466"/>
      <c r="E177" s="467"/>
      <c r="F177" s="466"/>
      <c r="G177" s="466"/>
      <c r="H177" s="467"/>
      <c r="I177" s="467"/>
      <c r="J177" s="467"/>
      <c r="K177" s="467"/>
    </row>
    <row r="178" spans="1:11" ht="13.5" thickBot="1" x14ac:dyDescent="0.25">
      <c r="A178" s="2168" t="s">
        <v>1764</v>
      </c>
      <c r="B178" s="2169"/>
      <c r="C178" s="1729">
        <f>SUM(C176:C177)</f>
        <v>7326</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14554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3840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18394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1430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294</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20118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27444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610003</v>
      </c>
      <c r="D275" s="1737">
        <f t="shared" si="12"/>
        <v>49610</v>
      </c>
      <c r="E275" s="1737">
        <f t="shared" si="12"/>
        <v>29830</v>
      </c>
      <c r="F275" s="1737">
        <f t="shared" si="12"/>
        <v>11525</v>
      </c>
      <c r="G275" s="1737">
        <f t="shared" si="12"/>
        <v>6467</v>
      </c>
      <c r="H275" s="1737">
        <f t="shared" si="12"/>
        <v>0</v>
      </c>
      <c r="I275" s="1737">
        <f t="shared" si="12"/>
        <v>9880</v>
      </c>
      <c r="J275" s="1737">
        <f t="shared" si="12"/>
        <v>11270</v>
      </c>
      <c r="K275" s="1724">
        <f t="shared" si="12"/>
        <v>5365</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integeral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93" colorId="8" zoomScaleNormal="110" workbookViewId="0">
      <selection activeCell="A104" sqref="A104:M10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198555+3338+3000+9118+1509+18048-10759</f>
        <v>222809</v>
      </c>
      <c r="D5" s="466">
        <f>23135+4933+16420+18</f>
        <v>44506</v>
      </c>
      <c r="E5" s="466">
        <f>24168+74+187</f>
        <v>24429</v>
      </c>
      <c r="F5" s="466">
        <f>15565+684-3364-2525</f>
        <v>10360</v>
      </c>
      <c r="G5" s="466">
        <f>3364+2525</f>
        <v>5889</v>
      </c>
      <c r="H5" s="466"/>
      <c r="I5" s="467"/>
      <c r="J5" s="467"/>
      <c r="K5" s="1693">
        <f>SUM(C5:J5)</f>
        <v>307993</v>
      </c>
      <c r="L5" s="466">
        <v>304000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52202</v>
      </c>
      <c r="D8" s="466">
        <f>3089+853+659-842</f>
        <v>3759</v>
      </c>
      <c r="E8" s="466"/>
      <c r="F8" s="466"/>
      <c r="G8" s="466"/>
      <c r="H8" s="466"/>
      <c r="I8" s="467"/>
      <c r="J8" s="467"/>
      <c r="K8" s="1693">
        <f t="shared" si="0"/>
        <v>55961</v>
      </c>
      <c r="L8" s="466">
        <v>64500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39</v>
      </c>
      <c r="D10" s="466"/>
      <c r="E10" s="466">
        <v>7097</v>
      </c>
      <c r="F10" s="466"/>
      <c r="G10" s="466"/>
      <c r="H10" s="466"/>
      <c r="I10" s="467"/>
      <c r="J10" s="467"/>
      <c r="K10" s="1693">
        <f t="shared" si="0"/>
        <v>7136</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600</v>
      </c>
      <c r="D14" s="466"/>
      <c r="E14" s="466"/>
      <c r="F14" s="466"/>
      <c r="G14" s="466"/>
      <c r="H14" s="466"/>
      <c r="I14" s="467"/>
      <c r="J14" s="467"/>
      <c r="K14" s="1693">
        <f t="shared" si="0"/>
        <v>600</v>
      </c>
      <c r="L14" s="466">
        <v>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275650</v>
      </c>
      <c r="D33" s="1692">
        <f t="shared" ref="D33:L33" si="1">SUM(D5:D32)</f>
        <v>48265</v>
      </c>
      <c r="E33" s="1692">
        <f t="shared" si="1"/>
        <v>31526</v>
      </c>
      <c r="F33" s="1692">
        <f t="shared" si="1"/>
        <v>10360</v>
      </c>
      <c r="G33" s="1692">
        <f t="shared" si="1"/>
        <v>5889</v>
      </c>
      <c r="H33" s="1692">
        <f t="shared" si="1"/>
        <v>0</v>
      </c>
      <c r="I33" s="1692">
        <f t="shared" si="1"/>
        <v>0</v>
      </c>
      <c r="J33" s="1692">
        <f t="shared" si="1"/>
        <v>0</v>
      </c>
      <c r="K33" s="1692">
        <f t="shared" si="1"/>
        <v>371690</v>
      </c>
      <c r="L33" s="1692">
        <f t="shared" si="1"/>
        <v>368500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c r="G41" s="466"/>
      <c r="H41" s="466"/>
      <c r="I41" s="467"/>
      <c r="J41" s="467"/>
      <c r="K41" s="1693">
        <f t="shared" si="2"/>
        <v>0</v>
      </c>
      <c r="L41" s="466">
        <v>3000</v>
      </c>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3000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v>0</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c r="F46" s="466"/>
      <c r="G46" s="466"/>
      <c r="H46" s="466"/>
      <c r="I46" s="467"/>
      <c r="J46" s="467"/>
      <c r="K46" s="1694">
        <f>SUM(C46:J46)</f>
        <v>0</v>
      </c>
      <c r="L46" s="466">
        <v>0</v>
      </c>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f>9309+494+409+3288</f>
        <v>13500</v>
      </c>
      <c r="F49" s="481">
        <f>5354</f>
        <v>5354</v>
      </c>
      <c r="G49" s="481"/>
      <c r="H49" s="481"/>
      <c r="I49" s="467"/>
      <c r="J49" s="467"/>
      <c r="K49" s="1694">
        <f>SUM(C49:J49)</f>
        <v>18854</v>
      </c>
      <c r="L49" s="481">
        <v>39000</v>
      </c>
    </row>
    <row r="50" spans="1:14" x14ac:dyDescent="0.2">
      <c r="A50" s="1526" t="s">
        <v>872</v>
      </c>
      <c r="B50" s="615">
        <v>2320</v>
      </c>
      <c r="C50" s="466">
        <v>62183</v>
      </c>
      <c r="D50" s="466">
        <f>5957+732+11</f>
        <v>6700</v>
      </c>
      <c r="E50" s="466">
        <v>925</v>
      </c>
      <c r="F50" s="466">
        <v>277</v>
      </c>
      <c r="G50" s="466"/>
      <c r="H50" s="466"/>
      <c r="I50" s="467"/>
      <c r="J50" s="467"/>
      <c r="K50" s="1694">
        <f>SUM(C50:J50)</f>
        <v>70085</v>
      </c>
      <c r="L50" s="466">
        <v>70900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62183</v>
      </c>
      <c r="D53" s="1692">
        <f t="shared" ref="D53:L53" si="5">SUM(D49:D52)</f>
        <v>6700</v>
      </c>
      <c r="E53" s="1692">
        <f t="shared" si="5"/>
        <v>14425</v>
      </c>
      <c r="F53" s="1692">
        <f t="shared" si="5"/>
        <v>5631</v>
      </c>
      <c r="G53" s="1692">
        <f t="shared" si="5"/>
        <v>0</v>
      </c>
      <c r="H53" s="1692">
        <f t="shared" si="5"/>
        <v>0</v>
      </c>
      <c r="I53" s="1692">
        <f t="shared" si="5"/>
        <v>0</v>
      </c>
      <c r="J53" s="1692">
        <f t="shared" si="5"/>
        <v>0</v>
      </c>
      <c r="K53" s="1692">
        <f t="shared" si="5"/>
        <v>88939</v>
      </c>
      <c r="L53" s="1692">
        <f t="shared" si="5"/>
        <v>109900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f>546-66</f>
        <v>480</v>
      </c>
      <c r="E55" s="481"/>
      <c r="F55" s="481"/>
      <c r="G55" s="481"/>
      <c r="H55" s="481"/>
      <c r="I55" s="467"/>
      <c r="J55" s="467"/>
      <c r="K55" s="1694">
        <f>SUM(C55:J55)</f>
        <v>480</v>
      </c>
      <c r="L55" s="481">
        <v>500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0</v>
      </c>
      <c r="D57" s="1696">
        <f t="shared" ref="D57:K57" si="6">SUM(D55:D56)</f>
        <v>480</v>
      </c>
      <c r="E57" s="1696">
        <f t="shared" si="6"/>
        <v>0</v>
      </c>
      <c r="F57" s="1696">
        <f t="shared" si="6"/>
        <v>0</v>
      </c>
      <c r="G57" s="1696">
        <f t="shared" si="6"/>
        <v>0</v>
      </c>
      <c r="H57" s="1696">
        <f t="shared" si="6"/>
        <v>0</v>
      </c>
      <c r="I57" s="1696">
        <f t="shared" si="6"/>
        <v>0</v>
      </c>
      <c r="J57" s="1696">
        <f t="shared" si="6"/>
        <v>0</v>
      </c>
      <c r="K57" s="1696">
        <f t="shared" si="6"/>
        <v>480</v>
      </c>
      <c r="L57" s="1692">
        <f>SUM(L55:L56)</f>
        <v>500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f>27179+132</f>
        <v>27311</v>
      </c>
      <c r="D60" s="466">
        <f>11+893-904</f>
        <v>0</v>
      </c>
      <c r="E60" s="466">
        <v>1107</v>
      </c>
      <c r="F60" s="466">
        <v>6042</v>
      </c>
      <c r="G60" s="466"/>
      <c r="H60" s="466"/>
      <c r="I60" s="467"/>
      <c r="J60" s="467"/>
      <c r="K60" s="1694">
        <f t="shared" si="7"/>
        <v>34460</v>
      </c>
      <c r="L60" s="466">
        <v>34350</v>
      </c>
      <c r="M60" s="610"/>
      <c r="N60" s="610"/>
    </row>
    <row r="61" spans="1:14" s="343" customFormat="1" x14ac:dyDescent="0.2">
      <c r="A61" s="1526" t="s">
        <v>206</v>
      </c>
      <c r="B61" s="615">
        <v>2540</v>
      </c>
      <c r="C61" s="466">
        <v>486</v>
      </c>
      <c r="D61" s="466"/>
      <c r="E61" s="466">
        <v>1334</v>
      </c>
      <c r="F61" s="466">
        <v>11</v>
      </c>
      <c r="G61" s="466"/>
      <c r="H61" s="466"/>
      <c r="I61" s="467"/>
      <c r="J61" s="467"/>
      <c r="K61" s="1694">
        <f t="shared" si="7"/>
        <v>1831</v>
      </c>
      <c r="L61" s="466">
        <v>5000</v>
      </c>
      <c r="M61" s="610"/>
      <c r="N61" s="610"/>
    </row>
    <row r="62" spans="1:14" s="343" customFormat="1" x14ac:dyDescent="0.2">
      <c r="A62" s="1526" t="s">
        <v>1010</v>
      </c>
      <c r="B62" s="615">
        <v>2550</v>
      </c>
      <c r="C62" s="466">
        <v>1259</v>
      </c>
      <c r="D62" s="466"/>
      <c r="E62" s="466">
        <v>748</v>
      </c>
      <c r="F62" s="466"/>
      <c r="G62" s="466"/>
      <c r="H62" s="466"/>
      <c r="I62" s="467"/>
      <c r="J62" s="467"/>
      <c r="K62" s="1694">
        <f t="shared" si="7"/>
        <v>2007</v>
      </c>
      <c r="L62" s="466">
        <v>0</v>
      </c>
      <c r="M62" s="610"/>
      <c r="N62" s="610"/>
    </row>
    <row r="63" spans="1:14" s="610" customFormat="1" x14ac:dyDescent="0.2">
      <c r="A63" s="1526" t="s">
        <v>102</v>
      </c>
      <c r="B63" s="615">
        <v>2560</v>
      </c>
      <c r="C63" s="466">
        <f>2452+7657</f>
        <v>10109</v>
      </c>
      <c r="D63" s="466">
        <f>11+98-98</f>
        <v>11</v>
      </c>
      <c r="E63" s="466">
        <v>135</v>
      </c>
      <c r="F63" s="466">
        <v>17449</v>
      </c>
      <c r="G63" s="466"/>
      <c r="H63" s="466"/>
      <c r="I63" s="467"/>
      <c r="J63" s="467"/>
      <c r="K63" s="1694">
        <f t="shared" si="7"/>
        <v>27704</v>
      </c>
      <c r="L63" s="466">
        <v>23300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39165</v>
      </c>
      <c r="D65" s="1692">
        <f t="shared" ref="D65:L65" si="8">SUM(D59:D64)</f>
        <v>11</v>
      </c>
      <c r="E65" s="1692">
        <f t="shared" si="8"/>
        <v>3324</v>
      </c>
      <c r="F65" s="1692">
        <f t="shared" si="8"/>
        <v>23502</v>
      </c>
      <c r="G65" s="1692">
        <f t="shared" si="8"/>
        <v>0</v>
      </c>
      <c r="H65" s="1692">
        <f t="shared" si="8"/>
        <v>0</v>
      </c>
      <c r="I65" s="1692">
        <f t="shared" si="8"/>
        <v>0</v>
      </c>
      <c r="J65" s="1692">
        <f t="shared" si="8"/>
        <v>0</v>
      </c>
      <c r="K65" s="1692">
        <f t="shared" si="8"/>
        <v>66002</v>
      </c>
      <c r="L65" s="1692">
        <f t="shared" si="8"/>
        <v>62650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v>445</v>
      </c>
      <c r="G71" s="466"/>
      <c r="H71" s="466"/>
      <c r="I71" s="467"/>
      <c r="J71" s="467"/>
      <c r="K71" s="1694">
        <f>SUM(C71:J71)</f>
        <v>445</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445</v>
      </c>
      <c r="G72" s="1692">
        <f t="shared" si="9"/>
        <v>0</v>
      </c>
      <c r="H72" s="1692">
        <f t="shared" si="9"/>
        <v>0</v>
      </c>
      <c r="I72" s="1692">
        <f t="shared" si="9"/>
        <v>0</v>
      </c>
      <c r="J72" s="1692">
        <f t="shared" si="9"/>
        <v>0</v>
      </c>
      <c r="K72" s="1692">
        <f t="shared" si="9"/>
        <v>445</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101348</v>
      </c>
      <c r="D74" s="1699">
        <f t="shared" ref="D74:K74" si="10">SUM(D42,D47,D53,D57,D65,D72,D73)</f>
        <v>7191</v>
      </c>
      <c r="E74" s="1699">
        <f t="shared" si="10"/>
        <v>17749</v>
      </c>
      <c r="F74" s="1699">
        <f t="shared" si="10"/>
        <v>29578</v>
      </c>
      <c r="G74" s="1699">
        <f t="shared" si="10"/>
        <v>0</v>
      </c>
      <c r="H74" s="1699">
        <f t="shared" si="10"/>
        <v>0</v>
      </c>
      <c r="I74" s="1699">
        <f t="shared" si="10"/>
        <v>0</v>
      </c>
      <c r="J74" s="1699">
        <f t="shared" si="10"/>
        <v>0</v>
      </c>
      <c r="K74" s="1699">
        <f t="shared" si="10"/>
        <v>155866</v>
      </c>
      <c r="L74" s="1699">
        <f>SUM(L42,L47,L53,L57,L65,L72,L73)</f>
        <v>176050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v>21296</v>
      </c>
      <c r="I79" s="477"/>
      <c r="J79" s="477"/>
      <c r="K79" s="1693">
        <f t="shared" si="11"/>
        <v>21296</v>
      </c>
      <c r="L79" s="466">
        <v>14000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21296</v>
      </c>
      <c r="I84" s="477"/>
      <c r="J84" s="477"/>
      <c r="K84" s="1692">
        <f>SUM(K78:K83)</f>
        <v>21296</v>
      </c>
      <c r="L84" s="1692">
        <f>SUM(L78:L83)</f>
        <v>14000</v>
      </c>
    </row>
    <row r="85" spans="1:12" ht="12.75" customHeight="1" thickTop="1" thickBot="1" x14ac:dyDescent="0.25">
      <c r="A85" s="1533" t="s">
        <v>273</v>
      </c>
      <c r="B85" s="636">
        <v>4210</v>
      </c>
      <c r="C85" s="617"/>
      <c r="D85" s="617"/>
      <c r="E85" s="637"/>
      <c r="F85" s="617"/>
      <c r="G85" s="617"/>
      <c r="H85" s="535"/>
      <c r="I85" s="477"/>
      <c r="J85" s="477"/>
      <c r="K85" s="1699">
        <f>H85</f>
        <v>0</v>
      </c>
      <c r="L85" s="530">
        <v>17000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17000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21296</v>
      </c>
      <c r="I102" s="477"/>
      <c r="J102" s="477"/>
      <c r="K102" s="1699">
        <f>SUM(K84,K92,K100,K101)</f>
        <v>21296</v>
      </c>
      <c r="L102" s="1699">
        <f>SUM(L84,L92,L100,L101)</f>
        <v>31000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376998</v>
      </c>
      <c r="D114" s="1692">
        <f t="shared" ref="D114:K114" si="13">SUM(D33,D74,D75,D102,D112,D113)</f>
        <v>55456</v>
      </c>
      <c r="E114" s="1692">
        <f t="shared" si="13"/>
        <v>49275</v>
      </c>
      <c r="F114" s="1692">
        <f t="shared" si="13"/>
        <v>39938</v>
      </c>
      <c r="G114" s="1692">
        <f t="shared" si="13"/>
        <v>5889</v>
      </c>
      <c r="H114" s="1692">
        <f>SUM(H33,H74,H75,H102,H112,H113)</f>
        <v>21296</v>
      </c>
      <c r="I114" s="1692">
        <f t="shared" si="13"/>
        <v>0</v>
      </c>
      <c r="J114" s="1692">
        <f t="shared" si="13"/>
        <v>0</v>
      </c>
      <c r="K114" s="1692">
        <f t="shared" si="13"/>
        <v>548852</v>
      </c>
      <c r="L114" s="1692">
        <f>SUM(L33,L74,L75,L102,L112,L113)</f>
        <v>575550</v>
      </c>
    </row>
    <row r="115" spans="1:14" ht="13.5" thickTop="1" x14ac:dyDescent="0.2">
      <c r="A115" s="2174" t="s">
        <v>1053</v>
      </c>
      <c r="B115" s="2175"/>
      <c r="C115" s="619"/>
      <c r="D115" s="619"/>
      <c r="E115" s="619"/>
      <c r="F115" s="619"/>
      <c r="G115" s="619"/>
      <c r="H115" s="619"/>
      <c r="I115" s="619"/>
      <c r="J115" s="619"/>
      <c r="K115" s="1706">
        <f>'Revenues 9-14'!C275-'Expenditures 15-22'!K114</f>
        <v>61151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v>17</v>
      </c>
      <c r="G120" s="466"/>
      <c r="H120" s="466"/>
      <c r="I120" s="467"/>
      <c r="J120" s="467"/>
      <c r="K120" s="1693">
        <f>SUM(C120:J120)</f>
        <v>17</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1670+1735+536+301</f>
        <v>4242</v>
      </c>
      <c r="D124" s="466">
        <f>66+301</f>
        <v>367</v>
      </c>
      <c r="E124" s="466">
        <f>6426+16822-5678-125</f>
        <v>17445</v>
      </c>
      <c r="F124" s="466">
        <f>13532-5710</f>
        <v>7822</v>
      </c>
      <c r="G124" s="466">
        <f>5710+5678</f>
        <v>11388</v>
      </c>
      <c r="H124" s="466"/>
      <c r="I124" s="467"/>
      <c r="J124" s="467"/>
      <c r="K124" s="1692">
        <f>SUM(C124:J124)</f>
        <v>41264</v>
      </c>
      <c r="L124" s="466">
        <v>34200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1000</v>
      </c>
    </row>
    <row r="127" spans="1:14" ht="12.75" customHeight="1" thickTop="1" thickBot="1" x14ac:dyDescent="0.25">
      <c r="A127" s="1690" t="s">
        <v>743</v>
      </c>
      <c r="B127" s="1691" t="s">
        <v>35</v>
      </c>
      <c r="C127" s="1692">
        <f>SUM(C122:C126)</f>
        <v>4242</v>
      </c>
      <c r="D127" s="1692">
        <f t="shared" ref="D127:L127" si="14">SUM(D122:D126)</f>
        <v>367</v>
      </c>
      <c r="E127" s="1692">
        <f t="shared" si="14"/>
        <v>17445</v>
      </c>
      <c r="F127" s="1692">
        <f t="shared" si="14"/>
        <v>7822</v>
      </c>
      <c r="G127" s="1692">
        <f t="shared" si="14"/>
        <v>11388</v>
      </c>
      <c r="H127" s="1692">
        <f t="shared" si="14"/>
        <v>0</v>
      </c>
      <c r="I127" s="1692">
        <f t="shared" si="14"/>
        <v>0</v>
      </c>
      <c r="J127" s="1692">
        <f t="shared" si="14"/>
        <v>0</v>
      </c>
      <c r="K127" s="1692">
        <f t="shared" si="14"/>
        <v>41264</v>
      </c>
      <c r="L127" s="1692">
        <f t="shared" si="14"/>
        <v>35200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4242</v>
      </c>
      <c r="D129" s="1699">
        <f t="shared" ref="D129:L129" si="15">SUM(D120,D127,D128)</f>
        <v>367</v>
      </c>
      <c r="E129" s="1699">
        <f t="shared" si="15"/>
        <v>17445</v>
      </c>
      <c r="F129" s="1699">
        <f t="shared" si="15"/>
        <v>7839</v>
      </c>
      <c r="G129" s="1699">
        <f t="shared" si="15"/>
        <v>11388</v>
      </c>
      <c r="H129" s="1699">
        <f t="shared" si="15"/>
        <v>0</v>
      </c>
      <c r="I129" s="1699">
        <f t="shared" si="15"/>
        <v>0</v>
      </c>
      <c r="J129" s="1699">
        <f t="shared" si="15"/>
        <v>0</v>
      </c>
      <c r="K129" s="1699">
        <f t="shared" si="15"/>
        <v>41281</v>
      </c>
      <c r="L129" s="1699">
        <f t="shared" si="15"/>
        <v>35200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4242</v>
      </c>
      <c r="D151" s="1692">
        <f t="shared" ref="D151:K151" si="16">SUM(D129,D130,D139,D149,D150)</f>
        <v>367</v>
      </c>
      <c r="E151" s="1692">
        <f t="shared" si="16"/>
        <v>17445</v>
      </c>
      <c r="F151" s="1692">
        <f t="shared" si="16"/>
        <v>7839</v>
      </c>
      <c r="G151" s="1692">
        <f t="shared" si="16"/>
        <v>11388</v>
      </c>
      <c r="H151" s="1692">
        <f t="shared" si="16"/>
        <v>0</v>
      </c>
      <c r="I151" s="1692">
        <f t="shared" si="16"/>
        <v>0</v>
      </c>
      <c r="J151" s="1692">
        <f t="shared" si="16"/>
        <v>0</v>
      </c>
      <c r="K151" s="1692">
        <f t="shared" si="16"/>
        <v>41281</v>
      </c>
      <c r="L151" s="1692">
        <f>SUM(L129,L130,L139,L149,L150)</f>
        <v>35200</v>
      </c>
    </row>
    <row r="152" spans="1:14" ht="12.75" customHeight="1" thickTop="1" x14ac:dyDescent="0.2">
      <c r="A152" s="2194" t="s">
        <v>1240</v>
      </c>
      <c r="B152" s="2195"/>
      <c r="C152" s="619"/>
      <c r="D152" s="619"/>
      <c r="E152" s="619"/>
      <c r="F152" s="619"/>
      <c r="G152" s="619"/>
      <c r="H152" s="619"/>
      <c r="I152" s="619"/>
      <c r="J152" s="617"/>
      <c r="K152" s="1706">
        <f>'Revenues 9-14'!D275-'Expenditures 15-22'!K151</f>
        <v>8329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29734-11100+25613</f>
        <v>44247</v>
      </c>
      <c r="I169" s="617"/>
      <c r="J169" s="617"/>
      <c r="K169" s="1693">
        <f>SUM(C169:H169)</f>
        <v>44247</v>
      </c>
      <c r="L169" s="657">
        <v>29735</v>
      </c>
    </row>
    <row r="170" spans="1:14" ht="33.75" customHeight="1" x14ac:dyDescent="0.2">
      <c r="A170" s="670" t="s">
        <v>1769</v>
      </c>
      <c r="B170" s="672" t="s">
        <v>31</v>
      </c>
      <c r="C170" s="617"/>
      <c r="D170" s="617"/>
      <c r="E170" s="617"/>
      <c r="F170" s="617"/>
      <c r="G170" s="617"/>
      <c r="H170" s="569">
        <f>11100+20000</f>
        <v>31100</v>
      </c>
      <c r="I170" s="617"/>
      <c r="J170" s="617"/>
      <c r="K170" s="1693">
        <f>SUM(C170:J170)</f>
        <v>31100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75347</v>
      </c>
      <c r="I172" s="639"/>
      <c r="J172" s="617"/>
      <c r="K172" s="1699">
        <f>SUM(K168,K169,K170,K171)</f>
        <v>75347</v>
      </c>
      <c r="L172" s="1699">
        <f>SUM(L168,L169,L170,L171)</f>
        <v>29735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75347</v>
      </c>
      <c r="I174" s="639"/>
      <c r="J174" s="617"/>
      <c r="K174" s="1699">
        <f>SUM(K160,K172,K173)</f>
        <v>75347</v>
      </c>
      <c r="L174" s="1699">
        <f>SUM(L160,L172,L173)</f>
        <v>29735</v>
      </c>
    </row>
    <row r="175" spans="1:14" ht="13.5" thickTop="1" x14ac:dyDescent="0.2">
      <c r="A175" s="2174" t="s">
        <v>1053</v>
      </c>
      <c r="B175" s="2175"/>
      <c r="C175" s="617"/>
      <c r="D175" s="617"/>
      <c r="E175" s="617"/>
      <c r="F175" s="617"/>
      <c r="G175" s="617"/>
      <c r="H175" s="619"/>
      <c r="I175" s="617"/>
      <c r="J175" s="617"/>
      <c r="K175" s="1706">
        <f>'Revenues 9-14'!E275-'Expenditures 15-22'!K174</f>
        <v>-45517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f>8910-1259</f>
        <v>7651</v>
      </c>
      <c r="D182" s="466">
        <v>768</v>
      </c>
      <c r="E182" s="466">
        <f>6703+1749-748</f>
        <v>7704</v>
      </c>
      <c r="F182" s="466">
        <v>12117</v>
      </c>
      <c r="G182" s="466"/>
      <c r="H182" s="466"/>
      <c r="I182" s="467"/>
      <c r="J182" s="467"/>
      <c r="K182" s="1693">
        <f>SUM(C182:J182)</f>
        <v>28240</v>
      </c>
      <c r="L182" s="466">
        <v>39170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7651</v>
      </c>
      <c r="D184" s="1699">
        <f t="shared" ref="D184:J184" si="17">SUM(D180,D182,D183)</f>
        <v>768</v>
      </c>
      <c r="E184" s="1699">
        <f t="shared" si="17"/>
        <v>7704</v>
      </c>
      <c r="F184" s="1699">
        <f t="shared" si="17"/>
        <v>12117</v>
      </c>
      <c r="G184" s="1699">
        <f t="shared" si="17"/>
        <v>0</v>
      </c>
      <c r="H184" s="1699">
        <f t="shared" si="17"/>
        <v>0</v>
      </c>
      <c r="I184" s="1699">
        <f t="shared" si="17"/>
        <v>0</v>
      </c>
      <c r="J184" s="1699">
        <f t="shared" si="17"/>
        <v>0</v>
      </c>
      <c r="K184" s="1699">
        <f>SUM(K180,K182,K183)</f>
        <v>28240</v>
      </c>
      <c r="L184" s="1699">
        <f>SUM(L180, L182:L183)</f>
        <v>39170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7651</v>
      </c>
      <c r="D210" s="1692">
        <f>SUM(D184,D185)</f>
        <v>768</v>
      </c>
      <c r="E210" s="1692">
        <f>SUM(E184,E185,E196)</f>
        <v>7704</v>
      </c>
      <c r="F210" s="1692">
        <f>SUM(F184,F185)</f>
        <v>12117</v>
      </c>
      <c r="G210" s="1692">
        <f>SUM(G184,G185)</f>
        <v>0</v>
      </c>
      <c r="H210" s="1692">
        <f>SUM(H184,H185,H196,H208,H209)</f>
        <v>0</v>
      </c>
      <c r="I210" s="1692">
        <f>SUM(I184,I185)</f>
        <v>0</v>
      </c>
      <c r="J210" s="1692">
        <f>SUM(J184,J185)</f>
        <v>0</v>
      </c>
      <c r="K210" s="1693">
        <f>SUM(K184,K185,K196,K208,K209)</f>
        <v>28240</v>
      </c>
      <c r="L210" s="1692">
        <f>SUM(L184,L185,L196,L208,L209)</f>
        <v>39170</v>
      </c>
    </row>
    <row r="211" spans="1:14" ht="13.5" thickTop="1" x14ac:dyDescent="0.2">
      <c r="A211" s="2174" t="s">
        <v>1053</v>
      </c>
      <c r="B211" s="2175"/>
      <c r="C211" s="619"/>
      <c r="D211" s="619"/>
      <c r="E211" s="619"/>
      <c r="F211" s="619"/>
      <c r="G211" s="619"/>
      <c r="H211" s="619"/>
      <c r="I211" s="617"/>
      <c r="J211" s="617"/>
      <c r="K211" s="1706">
        <f>'Revenues 9-14'!F275-'Expenditures 15-22'!K210</f>
        <v>-16715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46</v>
      </c>
      <c r="E215" s="617"/>
      <c r="F215" s="617"/>
      <c r="G215" s="617"/>
      <c r="H215" s="617"/>
      <c r="I215" s="617"/>
      <c r="J215" s="617"/>
      <c r="K215" s="1693">
        <f>D215</f>
        <v>46</v>
      </c>
      <c r="L215" s="466">
        <v>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842</v>
      </c>
      <c r="E217" s="617"/>
      <c r="F217" s="617"/>
      <c r="G217" s="617"/>
      <c r="H217" s="617"/>
      <c r="I217" s="617"/>
      <c r="J217" s="617"/>
      <c r="K217" s="1693">
        <f t="shared" si="19"/>
        <v>842</v>
      </c>
      <c r="L217" s="466">
        <v>900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c r="E223" s="617"/>
      <c r="F223" s="617"/>
      <c r="G223" s="617"/>
      <c r="H223" s="617"/>
      <c r="I223" s="617"/>
      <c r="J223" s="617"/>
      <c r="K223" s="1693">
        <f t="shared" si="19"/>
        <v>0</v>
      </c>
      <c r="L223" s="466">
        <v>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888</v>
      </c>
      <c r="E229" s="617"/>
      <c r="F229" s="617"/>
      <c r="G229" s="617"/>
      <c r="H229" s="617"/>
      <c r="I229" s="617"/>
      <c r="J229" s="617"/>
      <c r="K229" s="1692">
        <f>SUM(K215:K228)</f>
        <v>888</v>
      </c>
      <c r="L229" s="1692">
        <f>SUM(L215:L228)</f>
        <v>900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c r="E246" s="617"/>
      <c r="F246" s="617"/>
      <c r="G246" s="617"/>
      <c r="H246" s="617"/>
      <c r="I246" s="617"/>
      <c r="J246" s="617"/>
      <c r="K246" s="1694">
        <f t="shared" ref="K246:K256" si="21">D246</f>
        <v>0</v>
      </c>
      <c r="L246" s="466">
        <v>500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v>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1100</v>
      </c>
    </row>
    <row r="264" spans="1:14" x14ac:dyDescent="0.2">
      <c r="A264" s="1526" t="s">
        <v>483</v>
      </c>
      <c r="B264" s="686">
        <v>2520</v>
      </c>
      <c r="C264" s="617"/>
      <c r="D264" s="466">
        <f>44+904-1</f>
        <v>947</v>
      </c>
      <c r="E264" s="617"/>
      <c r="F264" s="617"/>
      <c r="G264" s="617"/>
      <c r="H264" s="617"/>
      <c r="I264" s="617"/>
      <c r="J264" s="617"/>
      <c r="K264" s="1694">
        <f t="shared" ref="K264:K269" si="22">D264</f>
        <v>947</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66</v>
      </c>
      <c r="E266" s="617"/>
      <c r="F266" s="617"/>
      <c r="G266" s="617"/>
      <c r="H266" s="617"/>
      <c r="I266" s="617"/>
      <c r="J266" s="617"/>
      <c r="K266" s="1694">
        <f t="shared" si="22"/>
        <v>66</v>
      </c>
      <c r="L266" s="466">
        <v>400</v>
      </c>
    </row>
    <row r="267" spans="1:14" x14ac:dyDescent="0.2">
      <c r="A267" s="1526" t="s">
        <v>1010</v>
      </c>
      <c r="B267" s="615">
        <v>2550</v>
      </c>
      <c r="C267" s="617"/>
      <c r="D267" s="466"/>
      <c r="E267" s="617"/>
      <c r="F267" s="617"/>
      <c r="G267" s="617"/>
      <c r="H267" s="617"/>
      <c r="I267" s="617"/>
      <c r="J267" s="617"/>
      <c r="K267" s="1694">
        <f t="shared" si="22"/>
        <v>0</v>
      </c>
      <c r="L267" s="466">
        <v>600</v>
      </c>
    </row>
    <row r="268" spans="1:14" x14ac:dyDescent="0.2">
      <c r="A268" s="1526" t="s">
        <v>102</v>
      </c>
      <c r="B268" s="615">
        <v>2560</v>
      </c>
      <c r="C268" s="617"/>
      <c r="D268" s="466">
        <v>98</v>
      </c>
      <c r="E268" s="617"/>
      <c r="F268" s="617"/>
      <c r="G268" s="617"/>
      <c r="H268" s="617"/>
      <c r="I268" s="617"/>
      <c r="J268" s="617"/>
      <c r="K268" s="1694">
        <f t="shared" si="22"/>
        <v>98</v>
      </c>
      <c r="L268" s="466">
        <v>100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1111</v>
      </c>
      <c r="E270" s="617"/>
      <c r="F270" s="617"/>
      <c r="G270" s="617"/>
      <c r="H270" s="617"/>
      <c r="I270" s="617"/>
      <c r="J270" s="617"/>
      <c r="K270" s="1692">
        <f>SUM(K263:K269)</f>
        <v>1111</v>
      </c>
      <c r="L270" s="1692">
        <f>SUM(L263:L269)</f>
        <v>2200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1111</v>
      </c>
      <c r="E279" s="617"/>
      <c r="F279" s="617"/>
      <c r="G279" s="617"/>
      <c r="H279" s="617"/>
      <c r="I279" s="617"/>
      <c r="J279" s="617"/>
      <c r="K279" s="1699">
        <f>SUM(K238,K243,K257,K261,K270,K277,K278)</f>
        <v>1111</v>
      </c>
      <c r="L279" s="1699">
        <f>SUM(L238,L243,L257,L261,L270,L277,L278)</f>
        <v>2700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1999</v>
      </c>
      <c r="E295" s="617"/>
      <c r="F295" s="617"/>
      <c r="G295" s="617"/>
      <c r="H295" s="1692">
        <f>H293</f>
        <v>0</v>
      </c>
      <c r="I295" s="617"/>
      <c r="J295" s="617"/>
      <c r="K295" s="1692">
        <f>SUM(K229,K279,K280,K285,K293,K294)</f>
        <v>1999</v>
      </c>
      <c r="L295" s="1692">
        <f>SUM(L229,L279,L280,L285,L293,L294)</f>
        <v>3600</v>
      </c>
    </row>
    <row r="296" spans="1:14" ht="13.5" thickTop="1" x14ac:dyDescent="0.2">
      <c r="A296" s="2174" t="s">
        <v>1053</v>
      </c>
      <c r="B296" s="2175"/>
      <c r="C296" s="617"/>
      <c r="D296" s="619"/>
      <c r="E296" s="617"/>
      <c r="F296" s="617"/>
      <c r="G296" s="617"/>
      <c r="H296" s="688"/>
      <c r="I296" s="617"/>
      <c r="J296" s="617"/>
      <c r="K296" s="1706">
        <f>'Revenues 9-14'!G275-'Expenditures 15-22'!K295</f>
        <v>4468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333</v>
      </c>
      <c r="D319" s="467"/>
      <c r="E319" s="467">
        <f>20529-52-3288</f>
        <v>17189</v>
      </c>
      <c r="F319" s="467"/>
      <c r="G319" s="467"/>
      <c r="H319" s="467"/>
      <c r="I319" s="467"/>
      <c r="J319" s="467"/>
      <c r="K319" s="1693">
        <f>SUM(C319:J319)</f>
        <v>17522</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9000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1800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333</v>
      </c>
      <c r="D330" s="1692">
        <f t="shared" ref="D330:J330" si="25">SUM(D319:D329)</f>
        <v>0</v>
      </c>
      <c r="E330" s="1692">
        <f t="shared" si="25"/>
        <v>17189</v>
      </c>
      <c r="F330" s="1692">
        <f t="shared" si="25"/>
        <v>0</v>
      </c>
      <c r="G330" s="1692">
        <f t="shared" si="25"/>
        <v>0</v>
      </c>
      <c r="H330" s="1692">
        <f t="shared" si="25"/>
        <v>0</v>
      </c>
      <c r="I330" s="1692">
        <f t="shared" si="25"/>
        <v>0</v>
      </c>
      <c r="J330" s="1692">
        <f t="shared" si="25"/>
        <v>0</v>
      </c>
      <c r="K330" s="1692">
        <f>SUM(K319:K329)</f>
        <v>17522</v>
      </c>
      <c r="L330" s="1692">
        <f>SUM(L319:L329)</f>
        <v>10800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333</v>
      </c>
      <c r="D342" s="1692">
        <f>SUM(D330)</f>
        <v>0</v>
      </c>
      <c r="E342" s="1692">
        <f>SUM(E330)</f>
        <v>17189</v>
      </c>
      <c r="F342" s="1692">
        <f>SUM(F330)</f>
        <v>0</v>
      </c>
      <c r="G342" s="1692">
        <f>SUM(G330)</f>
        <v>0</v>
      </c>
      <c r="H342" s="1692">
        <f>SUM(H330,H334,H340)</f>
        <v>0</v>
      </c>
      <c r="I342" s="1692">
        <f>SUM(I330)</f>
        <v>0</v>
      </c>
      <c r="J342" s="1692">
        <f>SUM(J330)</f>
        <v>0</v>
      </c>
      <c r="K342" s="1692">
        <f>SUM(K330,K334,K340)</f>
        <v>17522</v>
      </c>
      <c r="L342" s="1699">
        <f>SUM(L330,L340,L341)</f>
        <v>10800</v>
      </c>
    </row>
    <row r="343" spans="1:14" ht="12.75" customHeight="1" thickTop="1" x14ac:dyDescent="0.2">
      <c r="A343" s="2187" t="s">
        <v>1053</v>
      </c>
      <c r="B343" s="2188"/>
      <c r="C343" s="617"/>
      <c r="D343" s="617"/>
      <c r="E343" s="617"/>
      <c r="F343" s="617"/>
      <c r="G343" s="617"/>
      <c r="H343" s="617"/>
      <c r="I343" s="617"/>
      <c r="J343" s="617"/>
      <c r="K343" s="1706">
        <f>'Revenues 9-14'!J275-'Expenditures 15-22'!K342</f>
        <v>-6252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938</v>
      </c>
      <c r="F348" s="466"/>
      <c r="G348" s="466"/>
      <c r="H348" s="466"/>
      <c r="I348" s="467"/>
      <c r="J348" s="467"/>
      <c r="K348" s="1693">
        <f>SUM(C348:J348)</f>
        <v>938</v>
      </c>
      <c r="L348" s="466">
        <v>3000</v>
      </c>
    </row>
    <row r="349" spans="1:14" x14ac:dyDescent="0.2">
      <c r="A349" s="1526" t="s">
        <v>206</v>
      </c>
      <c r="B349" s="615">
        <v>2540</v>
      </c>
      <c r="C349" s="466"/>
      <c r="D349" s="466"/>
      <c r="E349" s="466">
        <f>20685-1-19267</f>
        <v>1417</v>
      </c>
      <c r="F349" s="466">
        <v>-6740</v>
      </c>
      <c r="G349" s="466">
        <v>19267</v>
      </c>
      <c r="H349" s="466"/>
      <c r="I349" s="467"/>
      <c r="J349" s="467"/>
      <c r="K349" s="1693">
        <f>SUM(C349:J349)</f>
        <v>13944</v>
      </c>
      <c r="L349" s="466">
        <v>1000</v>
      </c>
    </row>
    <row r="350" spans="1:14" ht="12.75" customHeight="1" thickBot="1" x14ac:dyDescent="0.25">
      <c r="A350" s="1690" t="s">
        <v>743</v>
      </c>
      <c r="B350" s="1691" t="s">
        <v>35</v>
      </c>
      <c r="C350" s="1692">
        <f>SUM(C348:C349)</f>
        <v>0</v>
      </c>
      <c r="D350" s="1692">
        <f t="shared" ref="D350:L350" si="26">SUM(D348:D349)</f>
        <v>0</v>
      </c>
      <c r="E350" s="1692">
        <f t="shared" si="26"/>
        <v>2355</v>
      </c>
      <c r="F350" s="1692">
        <f t="shared" si="26"/>
        <v>-6740</v>
      </c>
      <c r="G350" s="1692">
        <f t="shared" si="26"/>
        <v>19267</v>
      </c>
      <c r="H350" s="1692">
        <f t="shared" si="26"/>
        <v>0</v>
      </c>
      <c r="I350" s="1692">
        <f t="shared" si="26"/>
        <v>0</v>
      </c>
      <c r="J350" s="1692">
        <f t="shared" si="26"/>
        <v>0</v>
      </c>
      <c r="K350" s="1692">
        <f t="shared" si="26"/>
        <v>14882</v>
      </c>
      <c r="L350" s="1692">
        <f t="shared" si="26"/>
        <v>4000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2355</v>
      </c>
      <c r="F352" s="1692">
        <f t="shared" si="27"/>
        <v>-6740</v>
      </c>
      <c r="G352" s="1692">
        <f t="shared" si="27"/>
        <v>19267</v>
      </c>
      <c r="H352" s="1692">
        <f t="shared" si="27"/>
        <v>0</v>
      </c>
      <c r="I352" s="1692">
        <f t="shared" si="27"/>
        <v>0</v>
      </c>
      <c r="J352" s="1692">
        <f t="shared" si="27"/>
        <v>0</v>
      </c>
      <c r="K352" s="1692">
        <f t="shared" si="27"/>
        <v>14882</v>
      </c>
      <c r="L352" s="1692">
        <f t="shared" si="27"/>
        <v>4000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2355</v>
      </c>
      <c r="F367" s="1692">
        <f t="shared" si="28"/>
        <v>-6740</v>
      </c>
      <c r="G367" s="1692">
        <f t="shared" si="28"/>
        <v>19267</v>
      </c>
      <c r="H367" s="1692">
        <f t="shared" si="28"/>
        <v>0</v>
      </c>
      <c r="I367" s="1692">
        <f t="shared" si="28"/>
        <v>0</v>
      </c>
      <c r="J367" s="1692">
        <f t="shared" si="28"/>
        <v>0</v>
      </c>
      <c r="K367" s="1692">
        <f t="shared" si="28"/>
        <v>14882</v>
      </c>
      <c r="L367" s="1692">
        <f t="shared" si="28"/>
        <v>4000</v>
      </c>
    </row>
    <row r="368" spans="1:14" ht="13.5" thickTop="1" x14ac:dyDescent="0.2">
      <c r="A368" s="2174" t="s">
        <v>1053</v>
      </c>
      <c r="B368" s="2175"/>
      <c r="C368" s="655"/>
      <c r="D368" s="655"/>
      <c r="E368" s="627"/>
      <c r="F368" s="627"/>
      <c r="G368" s="627"/>
      <c r="H368" s="627"/>
      <c r="I368" s="627"/>
      <c r="J368" s="624"/>
      <c r="K368" s="1693">
        <f>'Revenues 9-14'!K275-'Expenditures 15-22'!K367</f>
        <v>-9517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integeral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9914F8B6-F742-48D8-9F13-1076A7DC5E6F}">
  <ds:schemaRefs>
    <ds:schemaRef ds:uri="http://purl.org/dc/dcmitype/"/>
    <ds:schemaRef ds:uri="http://schemas.microsoft.com/office/2006/metadata/properties"/>
    <ds:schemaRef ds:uri="http://schemas.microsoft.com/sharepoint/v3"/>
    <ds:schemaRef ds:uri="http://purl.org/dc/elements/1.1/"/>
    <ds:schemaRef ds:uri="6ce3111e-7420-4802-b50a-75d4e9a0b980"/>
    <ds:schemaRef ds:uri="http://purl.org/dc/term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2018-07-31T16:34:21Z</cp:lastPrinted>
  <dcterms:created xsi:type="dcterms:W3CDTF">2003-10-29T19:06:34Z</dcterms:created>
  <dcterms:modified xsi:type="dcterms:W3CDTF">2018-12-26T17:18:41Z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