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20" tabRatio="959" firstSheet="14" activeTab="2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c r="B6729" i="106"/>
  <c r="D6729" i="106" s="1"/>
  <c r="B6730" i="106"/>
  <c r="D6730" i="106" s="1"/>
  <c r="B6731" i="106"/>
  <c r="D6731" i="106" s="1"/>
  <c r="B6732" i="106"/>
  <c r="D6732" i="106"/>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s="1"/>
  <c r="B6743" i="106"/>
  <c r="D6743" i="106" s="1"/>
  <c r="B6744" i="106"/>
  <c r="D6744" i="106" s="1"/>
  <c r="B6745" i="106"/>
  <c r="D6745" i="106" s="1"/>
  <c r="B6746" i="106"/>
  <c r="D6746" i="106"/>
  <c r="B6747" i="106"/>
  <c r="D6747" i="106" s="1"/>
  <c r="B6748" i="106"/>
  <c r="D6748" i="106"/>
  <c r="B6749" i="106"/>
  <c r="D6749" i="106" s="1"/>
  <c r="B6750" i="106"/>
  <c r="D6750" i="106" s="1"/>
  <c r="B6751" i="106"/>
  <c r="D6751" i="106" s="1"/>
  <c r="B6752" i="106"/>
  <c r="D6752" i="106"/>
  <c r="B6753" i="106"/>
  <c r="D6753" i="106" s="1"/>
  <c r="B6754" i="106"/>
  <c r="D6754" i="106"/>
  <c r="B6755" i="106"/>
  <c r="D6755" i="106" s="1"/>
  <c r="B6756" i="106"/>
  <c r="D6756" i="106"/>
  <c r="B6757" i="106"/>
  <c r="D6757" i="106" s="1"/>
  <c r="B6758" i="106"/>
  <c r="D6758" i="106" s="1"/>
  <c r="B6759" i="106"/>
  <c r="D6759" i="106" s="1"/>
  <c r="B6760" i="106"/>
  <c r="D6760" i="106"/>
  <c r="B6761" i="106"/>
  <c r="D6761" i="106" s="1"/>
  <c r="B6762" i="106"/>
  <c r="D6762" i="106" s="1"/>
  <c r="B6763" i="106"/>
  <c r="D6763" i="106" s="1"/>
  <c r="B6764" i="106"/>
  <c r="D6764" i="106"/>
  <c r="B6765" i="106"/>
  <c r="D6765" i="106" s="1"/>
  <c r="B6766" i="106"/>
  <c r="D6766" i="106" s="1"/>
  <c r="B6767" i="106"/>
  <c r="D6767" i="106" s="1"/>
  <c r="B6768" i="106"/>
  <c r="D6768" i="106" s="1"/>
  <c r="B6769" i="106"/>
  <c r="D6769" i="106" s="1"/>
  <c r="B6770" i="106"/>
  <c r="D6770" i="106" s="1"/>
  <c r="B6771" i="106"/>
  <c r="D6771" i="106" s="1"/>
  <c r="B6772" i="106"/>
  <c r="D6772" i="106"/>
  <c r="B6773" i="106"/>
  <c r="D6773" i="106" s="1"/>
  <c r="B6774" i="106"/>
  <c r="D6774" i="106" s="1"/>
  <c r="B6775" i="106"/>
  <c r="D6775" i="106" s="1"/>
  <c r="B6776" i="106"/>
  <c r="D6776" i="106" s="1"/>
  <c r="B6777" i="106"/>
  <c r="D6777" i="106" s="1"/>
  <c r="B6778" i="106"/>
  <c r="D6778" i="106"/>
  <c r="B6779" i="106"/>
  <c r="D6779" i="106" s="1"/>
  <c r="B6780" i="106"/>
  <c r="D6780" i="106"/>
  <c r="B6781" i="106"/>
  <c r="D6781" i="106" s="1"/>
  <c r="B6782" i="106"/>
  <c r="D6782" i="106" s="1"/>
  <c r="B6783" i="106"/>
  <c r="D6783" i="106" s="1"/>
  <c r="B6784" i="106"/>
  <c r="D6784" i="106"/>
  <c r="B6785" i="106"/>
  <c r="D6785" i="106" s="1"/>
  <c r="B6786" i="106"/>
  <c r="D6786" i="106"/>
  <c r="B6787" i="106"/>
  <c r="D6787" i="106" s="1"/>
  <c r="B6788" i="106"/>
  <c r="D6788" i="106" s="1"/>
  <c r="B6789" i="106"/>
  <c r="D6789" i="106" s="1"/>
  <c r="B6790" i="106"/>
  <c r="D6790" i="106" s="1"/>
  <c r="B6791" i="106"/>
  <c r="D6791" i="106" s="1"/>
  <c r="B6792" i="106"/>
  <c r="D6792" i="106"/>
  <c r="B6793" i="106"/>
  <c r="D6793" i="106" s="1"/>
  <c r="B6794" i="106"/>
  <c r="D6794" i="106"/>
  <c r="B6795" i="106"/>
  <c r="D6795" i="106" s="1"/>
  <c r="B6796" i="106"/>
  <c r="D6796" i="106" s="1"/>
  <c r="B6797" i="106"/>
  <c r="D6797" i="106" s="1"/>
  <c r="B6798" i="106"/>
  <c r="D6798" i="106" s="1"/>
  <c r="B6799" i="106"/>
  <c r="D6799" i="106" s="1"/>
  <c r="B6800" i="106"/>
  <c r="D6800" i="106"/>
  <c r="B6801" i="106"/>
  <c r="D6801" i="106" s="1"/>
  <c r="B6802" i="106"/>
  <c r="D6802" i="106"/>
  <c r="B6803" i="106"/>
  <c r="D6803" i="106" s="1"/>
  <c r="B6804" i="106"/>
  <c r="D6804" i="106" s="1"/>
  <c r="B6805" i="106"/>
  <c r="D6805" i="106" s="1"/>
  <c r="B6806" i="106"/>
  <c r="D6806" i="106" s="1"/>
  <c r="B6807" i="106"/>
  <c r="D6807" i="106" s="1"/>
  <c r="B6808" i="106"/>
  <c r="D6808" i="106"/>
  <c r="B6809" i="106"/>
  <c r="D6809" i="106" s="1"/>
  <c r="B6810" i="106"/>
  <c r="D6810" i="106"/>
  <c r="B6811" i="106"/>
  <c r="D6811" i="106" s="1"/>
  <c r="B6812" i="106"/>
  <c r="D6812" i="106" s="1"/>
  <c r="B6813" i="106"/>
  <c r="D6813" i="106" s="1"/>
  <c r="B6814" i="106"/>
  <c r="D6814" i="106" s="1"/>
  <c r="B6815" i="106"/>
  <c r="D6815" i="106" s="1"/>
  <c r="B6816" i="106"/>
  <c r="D6816" i="106"/>
  <c r="B6817" i="106"/>
  <c r="D6817" i="106" s="1"/>
  <c r="B6818" i="106"/>
  <c r="D6818" i="106"/>
  <c r="B6819" i="106"/>
  <c r="D6819" i="106" s="1"/>
  <c r="B6820" i="106"/>
  <c r="D6820" i="106" s="1"/>
  <c r="B6821" i="106"/>
  <c r="D6821" i="106" s="1"/>
  <c r="B6822" i="106"/>
  <c r="D6822" i="106" s="1"/>
  <c r="B6823" i="106"/>
  <c r="D6823" i="106" s="1"/>
  <c r="B6824" i="106"/>
  <c r="D6824" i="106"/>
  <c r="B6825" i="106"/>
  <c r="D6825" i="106" s="1"/>
  <c r="B6826" i="106"/>
  <c r="D6826" i="106"/>
  <c r="B6827" i="106"/>
  <c r="D6827" i="106" s="1"/>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F31" i="108"/>
  <c r="F36" i="108"/>
  <c r="F37" i="108"/>
  <c r="G28" i="108"/>
  <c r="E29"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C43" i="34"/>
  <c r="D43" i="34"/>
  <c r="C44" i="34"/>
  <c r="D44" i="34"/>
  <c r="C45" i="34"/>
  <c r="D45" i="34"/>
  <c r="F45" i="34"/>
  <c r="C46" i="34"/>
  <c r="D46" i="34"/>
  <c r="F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E109" i="5" s="1"/>
  <c r="E4" i="4" s="1"/>
  <c r="B2630" i="106" s="1"/>
  <c r="D2630" i="106" s="1"/>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H33" i="118"/>
  <c r="J22" i="37"/>
  <c r="L22" i="37"/>
  <c r="D24" i="37"/>
  <c r="B4270" i="106" s="1"/>
  <c r="D4270" i="106" s="1"/>
  <c r="L5" i="11"/>
  <c r="B2056" i="106" s="1"/>
  <c r="D2056" i="106" s="1"/>
  <c r="D5" i="7"/>
  <c r="B1761" i="106" s="1"/>
  <c r="D1761" i="106" s="1"/>
  <c r="D13" i="7"/>
  <c r="B3726" i="106" s="1"/>
  <c r="D3726" i="106" s="1"/>
  <c r="D9" i="7"/>
  <c r="B1767" i="106" s="1"/>
  <c r="D1767" i="106" s="1"/>
  <c r="F136" i="34"/>
  <c r="F130" i="34"/>
  <c r="F111" i="34"/>
  <c r="B5847" i="106"/>
  <c r="D5847" i="106" s="1"/>
  <c r="B5752" i="106"/>
  <c r="D5752" i="106" s="1"/>
  <c r="B5599" i="106"/>
  <c r="D5599" i="106" s="1"/>
  <c r="K274" i="5"/>
  <c r="H173" i="5"/>
  <c r="B5906" i="106" s="1"/>
  <c r="D5906" i="106" s="1"/>
  <c r="D109" i="5"/>
  <c r="B5356" i="106" s="1"/>
  <c r="D5356" i="106" s="1"/>
  <c r="D7" i="7"/>
  <c r="B1763" i="106" s="1"/>
  <c r="D1763" i="106" s="1"/>
  <c r="H6" i="4"/>
  <c r="B2656" i="106" s="1"/>
  <c r="D2656" i="106" s="1"/>
  <c r="B1746" i="106"/>
  <c r="D1746" i="106" s="1"/>
  <c r="D17" i="7"/>
  <c r="B4104" i="106" s="1"/>
  <c r="D4104" i="106" s="1"/>
  <c r="D11" i="7"/>
  <c r="B1768" i="106" s="1"/>
  <c r="D1768" i="106" s="1"/>
  <c r="D15" i="7"/>
  <c r="B1772" i="106" s="1"/>
  <c r="D1772" i="106" s="1"/>
  <c r="G173" i="5" l="1"/>
  <c r="B5778" i="106" s="1"/>
  <c r="D5778" i="106" s="1"/>
  <c r="B5770" i="106"/>
  <c r="D5770" i="106" s="1"/>
  <c r="F131" i="34"/>
  <c r="D22" i="37"/>
  <c r="K173" i="5"/>
  <c r="K6" i="4" s="1"/>
  <c r="B3570" i="106" s="1"/>
  <c r="D3570" i="106" s="1"/>
  <c r="B3647" i="106"/>
  <c r="D3647" i="106" s="1"/>
  <c r="G352" i="29"/>
  <c r="B3621" i="106"/>
  <c r="D3621" i="106" s="1"/>
  <c r="C367" i="29"/>
  <c r="B3454" i="106"/>
  <c r="D3454" i="106" s="1"/>
  <c r="L15" i="11"/>
  <c r="B3459" i="106" s="1"/>
  <c r="D3459" i="106" s="1"/>
  <c r="I173" i="5"/>
  <c r="B4216" i="106" s="1"/>
  <c r="D4216" i="106" s="1"/>
  <c r="L367" i="29"/>
  <c r="F50" i="34"/>
  <c r="F44" i="34"/>
  <c r="D12" i="7"/>
  <c r="B1769" i="106" s="1"/>
  <c r="D1769" i="106" s="1"/>
  <c r="F106" i="34"/>
  <c r="F127" i="34"/>
  <c r="D4" i="7"/>
  <c r="B1760" i="106" s="1"/>
  <c r="D1760" i="106" s="1"/>
  <c r="J274" i="5"/>
  <c r="B7054" i="106" s="1"/>
  <c r="D7054" i="106" s="1"/>
  <c r="G109" i="5"/>
  <c r="B6024" i="106" s="1"/>
  <c r="D6024" i="106" s="1"/>
  <c r="F42" i="34"/>
  <c r="D69" i="36"/>
  <c r="B7235" i="106"/>
  <c r="D7235" i="106" s="1"/>
  <c r="B1223" i="106"/>
  <c r="D1223" i="106" s="1"/>
  <c r="C129" i="29"/>
  <c r="B3668" i="106"/>
  <c r="D3668" i="106" s="1"/>
  <c r="K350" i="29"/>
  <c r="E15" i="145"/>
  <c r="G15" i="145" s="1"/>
  <c r="B1126" i="106"/>
  <c r="D1126" i="106" s="1"/>
  <c r="B6238" i="106"/>
  <c r="D6238" i="106" s="1"/>
  <c r="J77" i="4"/>
  <c r="B6262" i="106" s="1"/>
  <c r="D6262" i="106" s="1"/>
  <c r="K285" i="29"/>
  <c r="B3723" i="106"/>
  <c r="D3723" i="106" s="1"/>
  <c r="J41" i="3"/>
  <c r="B6216" i="106" s="1"/>
  <c r="D6216" i="106" s="1"/>
  <c r="B3619" i="106"/>
  <c r="D3619" i="106" s="1"/>
  <c r="G210" i="29"/>
  <c r="E174" i="29"/>
  <c r="B1309" i="106" s="1"/>
  <c r="D1309" i="106" s="1"/>
  <c r="F128" i="34"/>
  <c r="F21" i="8"/>
  <c r="B1329" i="106"/>
  <c r="D1329" i="106" s="1"/>
  <c r="F61" i="34"/>
  <c r="G39" i="108"/>
  <c r="K41" i="3"/>
  <c r="L13" i="11"/>
  <c r="B2060" i="106" s="1"/>
  <c r="D2060" i="106" s="1"/>
  <c r="F19" i="7"/>
  <c r="B1807" i="106" s="1"/>
  <c r="D1807" i="106" s="1"/>
  <c r="C342" i="29"/>
  <c r="B7216" i="106" s="1"/>
  <c r="D7216" i="106" s="1"/>
  <c r="L342" i="29"/>
  <c r="B1410" i="106"/>
  <c r="D1410" i="106" s="1"/>
  <c r="G29" i="108"/>
  <c r="K184" i="29"/>
  <c r="F13" i="4" s="1"/>
  <c r="B2596" i="106" s="1"/>
  <c r="D2596" i="106" s="1"/>
  <c r="F28" i="108"/>
  <c r="F41" i="108" s="1"/>
  <c r="G43" i="108" s="1"/>
  <c r="E28" i="108"/>
  <c r="C14" i="4"/>
  <c r="B2558" i="106" s="1"/>
  <c r="D2558" i="106" s="1"/>
  <c r="F52" i="34"/>
  <c r="F38" i="34"/>
  <c r="B4395" i="106"/>
  <c r="D4395" i="106" s="1"/>
  <c r="C172" i="5"/>
  <c r="B5214" i="106" s="1"/>
  <c r="D5214" i="106" s="1"/>
  <c r="C109" i="5"/>
  <c r="B5121" i="106" s="1"/>
  <c r="D5121" i="106" s="1"/>
  <c r="H109" i="5"/>
  <c r="B5730" i="106"/>
  <c r="D5730" i="106" s="1"/>
  <c r="G4" i="4"/>
  <c r="B2603" i="106" s="1"/>
  <c r="D2603" i="106" s="1"/>
  <c r="D4" i="4"/>
  <c r="B2564" i="106" s="1"/>
  <c r="D2564" i="106" s="1"/>
  <c r="H29" i="118"/>
  <c r="K28" i="118" s="1"/>
  <c r="O27" i="118" s="1"/>
  <c r="O29" i="118" s="1"/>
  <c r="D31" i="36"/>
  <c r="B4268" i="106"/>
  <c r="D4268"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2657" i="106"/>
  <c r="D2657" i="106" s="1"/>
  <c r="D274" i="5"/>
  <c r="B3447" i="106"/>
  <c r="D3447" i="106" s="1"/>
  <c r="B7270" i="106"/>
  <c r="B3670" i="106" l="1"/>
  <c r="D3670" i="106" s="1"/>
  <c r="K352" i="29"/>
  <c r="B1328" i="106"/>
  <c r="D1328" i="106" s="1"/>
  <c r="B3649" i="106"/>
  <c r="D3649" i="106" s="1"/>
  <c r="G367" i="29"/>
  <c r="B3650" i="106" s="1"/>
  <c r="D3650" i="106" s="1"/>
  <c r="J7" i="4"/>
  <c r="B5914" i="106"/>
  <c r="D5914" i="106" s="1"/>
  <c r="B1381" i="106"/>
  <c r="D1381" i="106" s="1"/>
  <c r="D7254" i="106"/>
  <c r="D7250" i="106"/>
  <c r="F274" i="5"/>
  <c r="B1365" i="106"/>
  <c r="D1365" i="106" s="1"/>
  <c r="F65" i="34"/>
  <c r="F73" i="34"/>
  <c r="G15" i="4"/>
  <c r="B6032" i="106" s="1"/>
  <c r="D6032" i="106" s="1"/>
  <c r="K367" i="29"/>
  <c r="D44" i="36"/>
  <c r="F275" i="5"/>
  <c r="B3568" i="106"/>
  <c r="D3568" i="106" s="1"/>
  <c r="D52" i="36"/>
  <c r="B1879" i="106"/>
  <c r="D1879" i="106" s="1"/>
  <c r="H22" i="37"/>
  <c r="H367" i="29"/>
  <c r="B3660" i="106" s="1"/>
  <c r="D3660" i="106" s="1"/>
  <c r="L16" i="11"/>
  <c r="B2061" i="106" s="1"/>
  <c r="D2061" i="106" s="1"/>
  <c r="K342" i="29"/>
  <c r="F13" i="34" s="1"/>
  <c r="L114" i="29"/>
  <c r="C114" i="29"/>
  <c r="B757" i="106" s="1"/>
  <c r="D757" i="106" s="1"/>
  <c r="C173" i="5"/>
  <c r="B5223" i="106" s="1"/>
  <c r="D5223" i="106" s="1"/>
  <c r="C4" i="4"/>
  <c r="B2551" i="106" s="1"/>
  <c r="D2551" i="106" s="1"/>
  <c r="B6025" i="106"/>
  <c r="D6025" i="106" s="1"/>
  <c r="H4" i="4"/>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K13" i="4" l="1"/>
  <c r="B3572" i="106" s="1"/>
  <c r="D3572" i="106" s="1"/>
  <c r="B3672" i="106"/>
  <c r="D3672" i="106" s="1"/>
  <c r="J17" i="4"/>
  <c r="C6" i="4"/>
  <c r="B2553" i="106" s="1"/>
  <c r="D2553" i="106" s="1"/>
  <c r="E41" i="108"/>
  <c r="E44" i="108" s="1"/>
  <c r="E45" i="108" s="1"/>
  <c r="G41" i="108"/>
  <c r="G44" i="108" s="1"/>
  <c r="G45" i="108" s="1"/>
  <c r="B2655" i="106"/>
  <c r="D2655" i="106" s="1"/>
  <c r="H8" i="4"/>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F10" i="4"/>
  <c r="B4125" i="106" s="1"/>
  <c r="D4125" i="106" s="1"/>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<sst xmlns="http://schemas.openxmlformats.org/spreadsheetml/2006/main" count="5035" uniqueCount="2106">
  <si>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</si>
  <si>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</si>
  <si>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</si>
  <si>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</si>
  <si>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</si>
  <si>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</si>
  <si>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</si>
  <si>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</si>
  <si>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</si>
  <si>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</si>
  <si>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</si>
  <si>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</si>
  <si>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</si>
  <si>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</si>
  <si>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</si>
  <si>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</si>
  <si>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</si>
  <si>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</si>
  <si>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</si>
  <si>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</si>
  <si>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</si>
  <si>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</si>
  <si>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</si>
  <si>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</si>
  <si>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</si>
  <si>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</si>
  <si>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</si>
  <si>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</si>
  <si>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</si>
  <si>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</si>
  <si>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</si>
  <si>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</si>
  <si>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</si>
  <si>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</si>
  <si>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</si>
  <si>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</si>
  <si>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</si>
  <si>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</si>
  <si>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</si>
  <si>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</si>
  <si>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</si>
  <si>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</si>
  <si>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</si>
  <si>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</si>
  <si>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</si>
  <si>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</si>
  <si>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</si>
  <si>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</si>
  <si>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</si>
  <si>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</si>
  <si>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</si>
  <si>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</si>
  <si>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</si>
  <si>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</si>
  <si>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</si>
  <si>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</si>
  <si>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</si>
  <si>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</si>
  <si>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</si>
  <si>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</si>
  <si>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</si>
  <si>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</si>
  <si>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</si>
  <si>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</si>
  <si>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</si>
  <si>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</si>
  <si>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</si>
  <si>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</si>
  <si>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</si>
  <si>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</si>
  <si>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</si>
  <si>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</si>
  <si>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</si>
  <si>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</si>
  <si>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</si>
  <si>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</si>
  <si>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</si>
  <si>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</si>
  <si>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</si>
  <si>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</si>
  <si>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</si>
  <si>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</si>
  <si>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</si>
  <si>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</si>
  <si>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</si>
  <si>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</si>
  <si>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</si>
  <si>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</si>
  <si>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</si>
  <si>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</si>
  <si>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</si>
  <si>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</si>
  <si>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</si>
  <si>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</si>
  <si>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</si>
  <si>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</si>
  <si>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</si>
  <si>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</si>
  <si>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</si>
  <si>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</si>
  <si>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</si>
  <si>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</si>
  <si>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</si>
  <si>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</si>
  <si>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</si>
  <si>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</si>
  <si>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</si>
  <si>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</si>
  <si>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</si>
  <si>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</si>
  <si>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</si>
  <si>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</si>
  <si>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</si>
  <si>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</si>
  <si>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</si>
  <si>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</si>
  <si>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</si>
  <si>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</si>
  <si>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</si>
  <si>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</si>
  <si>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</si>
  <si>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</si>
  <si>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</si>
  <si>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</si>
  <si>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</si>
  <si>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</si>
  <si>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</si>
  <si>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</si>
  <si>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</si>
  <si>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</si>
  <si>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</si>
  <si>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</si>
  <si>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</si>
  <si>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</si>
  <si>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</si>
  <si>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</si>
  <si>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</si>
  <si>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</si>
  <si>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</si>
  <si>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</si>
  <si>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</si>
  <si>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</si>
  <si>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</si>
  <si>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</si>
  <si>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</si>
  <si>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</si>
  <si>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</si>
  <si>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</si>
  <si>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</si>
  <si>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</si>
  <si>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</si>
  <si>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</si>
  <si>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</si>
  <si>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</si>
  <si>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</si>
  <si>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</si>
  <si>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</si>
  <si>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</si>
  <si>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</si>
  <si>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</si>
  <si>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</si>
  <si>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</si>
  <si>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</si>
  <si>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</si>
  <si>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</si>
  <si>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</si>
  <si>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</si>
  <si>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</si>
  <si>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</si>
  <si>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</si>
  <si>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</si>
  <si>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</si>
  <si>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</si>
  <si>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</si>
  <si>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</si>
  <si>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</si>
  <si>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</si>
  <si>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</si>
  <si>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</si>
  <si>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</si>
  <si>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</si>
  <si>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</si>
  <si>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</si>
  <si>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</si>
  <si>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</si>
  <si>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</si>
  <si>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</si>
  <si>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</si>
  <si>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</si>
  <si>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</si>
  <si>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</si>
  <si>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</si>
  <si>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</si>
  <si>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</si>
  <si>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</si>
  <si>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</si>
  <si>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</si>
  <si>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</si>
  <si>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</si>
  <si>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</si>
  <si>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</si>
  <si>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</si>
  <si>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</si>
  <si>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</si>
  <si>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</si>
  <si>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</si>
  <si>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</si>
  <si>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</si>
  <si>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</si>
  <si>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</si>
  <si>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</si>
  <si>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</si>
  <si>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</si>
  <si>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</si>
  <si>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</si>
  <si>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</si>
  <si>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</si>
  <si>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</si>
  <si>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</si>
  <si>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</si>
  <si>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</si>
  <si>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</si>
  <si>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</si>
  <si>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</si>
  <si>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</si>
  <si>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</si>
  <si>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</si>
  <si>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</si>
  <si>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</si>
  <si>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</si>
  <si>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</si>
  <si>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</si>
  <si>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</si>
  <si>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</si>
  <si>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</si>
  <si>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</si>
  <si>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</si>
  <si>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</si>
  <si>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</si>
  <si>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</si>
  <si>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</si>
  <si>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</si>
  <si>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</si>
  <si>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</si>
  <si>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</si>
  <si>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</si>
  <si>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</si>
  <si>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</si>
  <si>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</si>
  <si>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</si>
  <si>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</si>
  <si>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</si>
  <si>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</si>
  <si>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</si>
  <si>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</si>
  <si>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</si>
  <si>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</si>
  <si>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</si>
  <si>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</si>
  <si>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</si>
  <si>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</si>
  <si>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</si>
  <si>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</si>
  <si>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</si>
  <si>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</si>
  <si>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</si>
  <si>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</si>
  <si>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</si>
  <si>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</si>
  <si>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</si>
  <si>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</si>
  <si>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</si>
  <si>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</si>
  <si>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</si>
  <si>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</si>
  <si>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</si>
  <si>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</si>
  <si>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</si>
  <si>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</si>
  <si>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</si>
  <si>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</si>
  <si>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</si>
  <si>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</si>
  <si>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</si>
  <si>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</si>
  <si>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</si>
  <si>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</si>
  <si>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</si>
  <si>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</si>
  <si>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</si>
  <si>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</si>
  <si>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</si>
  <si>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</si>
  <si>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</si>
  <si>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</si>
  <si>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</si>
  <si>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</si>
  <si>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</si>
  <si>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</si>
  <si>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</si>
  <si>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</si>
  <si>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</si>
  <si>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</si>
  <si>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</si>
  <si>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</si>
  <si>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</si>
  <si>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</si>
  <si>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</si>
  <si>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</si>
  <si>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</si>
  <si>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</si>
  <si>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</si>
  <si>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</si>
  <si>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</si>
  <si>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</si>
  <si>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</si>
  <si>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</si>
  <si>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</si>
  <si>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</si>
  <si>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</si>
  <si>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</si>
  <si>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</si>
  <si>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</si>
  <si>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</si>
  <si>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</si>
  <si>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</si>
  <si>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</si>
  <si>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</si>
  <si>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</si>
  <si>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</si>
  <si>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</si>
  <si>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</si>
  <si>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</si>
  <si>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</si>
  <si>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</si>
  <si>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</si>
  <si>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</si>
  <si>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</si>
  <si>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</si>
  <si>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</si>
  <si>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</si>
  <si>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</si>
  <si>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</si>
  <si>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</si>
  <si>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</si>
  <si>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</si>
  <si>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</si>
  <si>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</si>
  <si>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</si>
  <si>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</si>
  <si>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</si>
  <si>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</si>
  <si>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</si>
  <si>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</si>
  <si>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</si>
  <si>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</si>
  <si>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</si>
  <si>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</si>
  <si>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</si>
  <si>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</si>
  <si>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</si>
  <si>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</si>
  <si>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</si>
  <si>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</si>
  <si>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</si>
  <si>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</si>
  <si>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</si>
  <si>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</si>
  <si>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</si>
  <si>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</si>
  <si>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</si>
  <si>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</si>
  <si>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</si>
  <si>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</si>
  <si>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</si>
  <si>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</si>
  <si>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</si>
  <si>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</si>
  <si>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</si>
  <si>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</si>
  <si>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</si>
  <si>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</si>
  <si>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</si>
  <si>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</si>
  <si>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</si>
  <si>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</si>
  <si>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</si>
  <si>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</si>
  <si>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</si>
  <si>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</si>
  <si>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</si>
  <si>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</si>
  <si>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</si>
  <si>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</si>
  <si>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</si>
  <si>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</si>
  <si>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</si>
  <si>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</si>
  <si>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</si>
  <si>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</si>
  <si>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</si>
  <si>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</si>
  <si>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</si>
  <si>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</si>
  <si>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</si>
  <si>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</si>
  <si>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</si>
  <si>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</si>
  <si>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</si>
  <si>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</si>
  <si>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</si>
  <si>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</si>
  <si>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</si>
  <si>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</si>
  <si>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</si>
  <si>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</si>
  <si>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</si>
  <si>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</si>
  <si>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</si>
  <si>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</si>
  <si>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</si>
  <si>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</si>
  <si>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</si>
  <si>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</si>
  <si>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</si>
  <si>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</si>
  <si>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</si>
  <si>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</si>
  <si>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</si>
  <si>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</si>
  <si>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</si>
  <si>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</si>
  <si>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</si>
  <si>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</si>
  <si>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</si>
  <si>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</si>
  <si>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</si>
  <si>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</si>
  <si>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</si>
  <si>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</si>
  <si>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</si>
  <si>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</si>
  <si>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</si>
  <si>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</si>
  <si>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</si>
  <si>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</si>
  <si>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</si>
  <si>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</si>
  <si>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</si>
  <si>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</si>
  <si>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</si>
  <si>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</si>
  <si>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</si>
  <si>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</si>
  <si>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</si>
  <si>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</si>
  <si>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</si>
  <si>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</si>
  <si>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</si>
  <si>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</si>
  <si>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</si>
  <si>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</si>
  <si>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</si>
  <si>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</si>
  <si>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</si>
  <si>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</si>
  <si>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</si>
  <si>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</si>
  <si>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</si>
  <si>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</si>
  <si>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</si>
  <si>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</si>
  <si>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</si>
  <si>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</si>
  <si>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</si>
  <si>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</si>
  <si>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</si>
  <si>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</si>
  <si>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</si>
  <si>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</si>
  <si>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</si>
  <si>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</si>
  <si>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</si>
  <si>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</si>
  <si>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</si>
  <si>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</si>
  <si>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</si>
  <si>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</si>
  <si>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</si>
  <si>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</si>
  <si>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</si>
  <si>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</si>
  <si>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</si>
  <si>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</si>
  <si>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</si>
  <si>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</si>
  <si>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</si>
  <si>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</si>
  <si>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</si>
  <si>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</si>
  <si>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</si>
  <si>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</si>
  <si>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</si>
  <si>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</si>
  <si>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</si>
  <si>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</si>
  <si>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</si>
  <si>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</si>
  <si>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</si>
  <si>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</si>
  <si>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</si>
  <si>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</si>
  <si>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</si>
  <si>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</si>
  <si>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</si>
  <si>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</si>
  <si>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</si>
  <si>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</si>
  <si>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</si>
  <si>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</si>
  <si>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</si>
  <si>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</si>
  <si>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</si>
  <si>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</si>
  <si>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</si>
  <si>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</si>
  <si>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</si>
  <si>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</si>
  <si>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</si>
  <si>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</si>
  <si>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</si>
  <si>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</si>
  <si>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</si>
  <si>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</si>
  <si>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</si>
  <si>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</si>
  <si>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</si>
  <si>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</si>
  <si>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</si>
  <si>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</si>
  <si>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</si>
  <si>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</si>
  <si>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</si>
  <si>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</si>
  <si>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</si>
  <si>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</si>
  <si>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</si>
  <si>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</si>
  <si>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</si>
  <si>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</si>
  <si>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</si>
  <si>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</si>
  <si>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</si>
  <si>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</si>
  <si>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</si>
  <si>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</si>
  <si>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</si>
  <si>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</si>
  <si>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</si>
  <si>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</si>
  <si>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</si>
  <si>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</si>
  <si>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</si>
  <si>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</si>
  <si>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</si>
  <si>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</si>
  <si>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</si>
  <si>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</si>
  <si>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</si>
  <si>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</si>
  <si>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</si>
  <si>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</si>
  <si>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</si>
  <si>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</si>
  <si>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</si>
  <si>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</si>
  <si>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</si>
  <si>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</si>
  <si>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</si>
  <si>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</si>
  <si>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</si>
  <si>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</si>
  <si>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</si>
  <si>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</si>
  <si>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</si>
  <si>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</si>
  <si>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</si>
  <si>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</si>
  <si>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</si>
  <si>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</si>
  <si>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</si>
  <si>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</si>
  <si>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</si>
  <si>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</si>
  <si>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</si>
  <si>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</si>
  <si>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</si>
  <si>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</si>
  <si>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</si>
  <si>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</si>
  <si>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</si>
  <si>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</si>
  <si>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</si>
  <si>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</si>
  <si>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</si>
  <si>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</si>
  <si>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</si>
  <si>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</si>
  <si>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</si>
  <si>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</si>
  <si>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</si>
  <si>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</si>
  <si>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</si>
  <si>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</si>
  <si>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</si>
  <si>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</si>
  <si>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</si>
  <si>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</si>
  <si>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</si>
  <si>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</si>
  <si>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</si>
  <si>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</si>
  <si>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</si>
  <si>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</si>
  <si>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</si>
  <si>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</si>
  <si>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</si>
  <si>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</si>
  <si>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</si>
  <si>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</si>
  <si>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</si>
  <si>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</si>
  <si>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</si>
  <si>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</si>
  <si>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</si>
  <si>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</si>
  <si>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</si>
  <si>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</si>
  <si>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</si>
  <si>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</si>
  <si>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</si>
  <si>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</si>
  <si>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</si>
  <si>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</si>
  <si>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</si>
  <si>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</si>
  <si>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</si>
  <si>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</si>
  <si>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</si>
  <si>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</si>
  <si>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</si>
  <si>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</si>
  <si>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</si>
  <si>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</si>
  <si>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</si>
  <si>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</si>
  <si>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</si>
  <si>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</si>
  <si>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</si>
  <si>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</si>
  <si>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</si>
  <si>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</si>
  <si>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</si>
  <si>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</si>
  <si>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</si>
  <si>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</si>
  <si>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</si>
  <si>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</si>
  <si>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</si>
  <si>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</si>
  <si>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</si>
  <si>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</si>
  <si>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</si>
  <si>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</si>
  <si>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</si>
  <si>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</si>
  <si>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</si>
  <si>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</si>
  <si>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</si>
  <si>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</si>
  <si>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</si>
  <si>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</si>
  <si>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</si>
  <si>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</si>
  <si>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</si>
  <si>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</si>
  <si>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</si>
  <si>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</si>
  <si>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</si>
  <si>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</si>
  <si>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</si>
  <si>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</si>
  <si>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</si>
  <si>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</si>
  <si>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</si>
  <si>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</si>
  <si>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</si>
  <si>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</si>
  <si>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</si>
  <si>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</si>
  <si>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</si>
  <si>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</si>
  <si>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</si>
  <si>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</si>
  <si>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</si>
  <si>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</si>
  <si>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</si>
  <si>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</si>
  <si>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</si>
  <si>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</si>
  <si>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</si>
  <si>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</si>
  <si>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</si>
  <si>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</si>
  <si>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</si>
  <si>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</si>
  <si>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</si>
  <si>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</si>
  <si>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</si>
  <si>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</si>
  <si>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</si>
  <si>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</si>
  <si>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</si>
  <si>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</si>
  <si>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</si>
  <si>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</si>
  <si>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</si>
  <si>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</si>
  <si>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</si>
  <si>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</si>
  <si>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</si>
  <si>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</si>
  <si>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</si>
  <si>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</si>
  <si>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</si>
  <si>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</si>
  <si>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</si>
  <si>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</si>
  <si>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</si>
  <si>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</si>
  <si>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</si>
  <si>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</si>
  <si>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</si>
  <si>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</si>
  <si>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</si>
  <si>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</si>
  <si>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</si>
  <si>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</si>
  <si>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</si>
  <si>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</si>
  <si>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</si>
  <si>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</si>
  <si>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</si>
  <si>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</si>
  <si>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</si>
  <si>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</si>
  <si>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</si>
  <si>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</si>
  <si>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</si>
  <si>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</si>
  <si>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</si>
  <si>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</si>
  <si>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</si>
  <si>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</si>
  <si>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</si>
  <si>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</si>
  <si>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</si>
  <si>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</si>
  <si>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</si>
  <si>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</si>
  <si>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</si>
  <si>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</si>
  <si>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</si>
  <si>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</si>
  <si>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</si>
  <si>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</si>
  <si>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</si>
  <si>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</si>
  <si>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</si>
  <si>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</si>
  <si>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</si>
  <si>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</si>
  <si>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</si>
  <si>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</si>
  <si>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</si>
  <si>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</si>
  <si>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</si>
  <si>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</si>
  <si>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</si>
  <si>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</si>
  <si>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</si>
  <si>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</si>
  <si>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</si>
  <si>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</si>
  <si>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</si>
  <si>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</si>
  <si>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</si>
  <si>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</si>
  <si>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</si>
  <si>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</si>
  <si>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</si>
  <si>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</si>
  <si>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</si>
  <si>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</si>
  <si>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</si>
  <si>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</si>
  <si>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</si>
  <si>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</si>
  <si>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</si>
  <si>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</si>
  <si>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</si>
  <si>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</si>
  <si>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</si>
  <si>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</si>
  <si>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</si>
  <si>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</si>
  <si>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</si>
  <si>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</si>
  <si>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</si>
  <si>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</si>
  <si>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</si>
  <si>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</si>
  <si>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</si>
  <si>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</si>
  <si>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</si>
  <si>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</si>
  <si>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</si>
  <si>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</si>
  <si>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</si>
  <si>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</si>
  <si>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</si>
  <si>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</si>
  <si>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</si>
  <si>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</si>
  <si>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</si>
  <si>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</si>
  <si>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</si>
  <si>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</si>
  <si>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</si>
  <si>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</si>
  <si>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</si>
  <si>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</si>
  <si>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</si>
  <si>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</si>
  <si>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</si>
  <si>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</si>
  <si>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</si>
  <si>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</si>
  <si>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</si>
  <si>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</si>
  <si>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</si>
  <si>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</si>
  <si>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</si>
  <si>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</si>
  <si>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</si>
  <si>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</si>
  <si>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</si>
  <si>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</si>
  <si>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</si>
  <si>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</si>
  <si>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</si>
  <si>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</si>
  <si>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</si>
  <si>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</si>
  <si>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</si>
  <si>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</si>
  <si>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</si>
  <si>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</si>
  <si>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</si>
  <si>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</si>
  <si>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</si>
  <si>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</si>
  <si>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</si>
  <si>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</si>
  <si>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</si>
  <si>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</si>
  <si>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</si>
  <si>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</si>
  <si>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</si>
  <si>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</si>
  <si>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</si>
  <si>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</si>
  <si>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</si>
  <si>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</si>
  <si>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</si>
  <si>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</si>
  <si>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</si>
  <si>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</si>
  <si>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</si>
  <si>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</si>
  <si>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</si>
  <si>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</si>
  <si>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</si>
  <si>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</si>
  <si>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</si>
  <si>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</si>
  <si>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</si>
  <si>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</si>
  <si>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</si>
  <si>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</si>
  <si>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</si>
  <si>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</si>
  <si>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</si>
  <si>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</si>
  <si>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</si>
  <si>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</si>
  <si>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</si>
  <si>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</si>
  <si>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</si>
  <si>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</si>
  <si>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</si>
  <si>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</si>
  <si>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</si>
  <si>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</si>
  <si>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</si>
  <si>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</si>
  <si>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</si>
  <si>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</si>
  <si>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</si>
  <si>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</si>
  <si>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</si>
  <si>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</si>
  <si>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</si>
  <si>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</si>
  <si>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</si>
  <si>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</si>
  <si>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</si>
  <si>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</si>
  <si>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</si>
  <si>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</si>
  <si>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</si>
  <si>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</si>
  <si>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</si>
  <si>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</si>
  <si>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</si>
  <si>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</si>
  <si>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</si>
  <si>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</si>
  <si>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</si>
  <si>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</si>
  <si>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</si>
  <si>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</si>
  <si>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</si>
  <si>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</si>
  <si>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</si>
  <si>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</si>
  <si>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</si>
  <si>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</si>
  <si>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</si>
  <si>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</si>
  <si>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</si>
  <si>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</si>
  <si>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</si>
  <si>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</si>
  <si>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</si>
  <si>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</si>
  <si>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</si>
  <si>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</si>
  <si>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</si>
  <si>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</si>
  <si>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</si>
  <si>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</si>
  <si>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</si>
  <si>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</si>
  <si>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</si>
  <si>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</si>
  <si>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</si>
  <si>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</si>
  <si>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</si>
  <si>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</si>
  <si>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</si>
  <si>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</si>
  <si>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</si>
  <si>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</si>
  <si>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</si>
  <si>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</si>
  <si>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</si>
  <si>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</si>
  <si>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</si>
  <si>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</si>
  <si>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</si>
  <si>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</si>
  <si>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</si>
  <si>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</si>
  <si>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</si>
  <si>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</si>
  <si>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</si>
  <si>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</si>
  <si>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</si>
  <si>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</si>
  <si>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</si>
  <si>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</si>
  <si>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</si>
  <si>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</si>
  <si>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</si>
  <si>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</si>
  <si>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</si>
  <si>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</si>
  <si>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</si>
  <si>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</si>
  <si>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</si>
  <si>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</si>
  <si>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</si>
  <si>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</si>
  <si>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</si>
  <si>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</si>
  <si>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</si>
  <si>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</si>
  <si>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</si>
  <si>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</si>
  <si>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</si>
  <si>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</si>
  <si>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</si>
  <si>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</si>
  <si>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</si>
  <si>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</si>
  <si>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</si>
  <si>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</si>
  <si>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</si>
  <si>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</si>
  <si>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</si>
  <si>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</si>
  <si>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</si>
  <si>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</si>
  <si>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</si>
  <si>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</si>
  <si>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</si>
  <si>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</si>
  <si>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</si>
  <si>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</si>
  <si>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</si>
  <si>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</si>
  <si>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</si>
  <si>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</si>
  <si>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</si>
  <si>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</si>
  <si>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</si>
  <si>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</si>
  <si>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</si>
  <si>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</si>
  <si>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</si>
  <si>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</si>
  <si>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</si>
  <si>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</si>
  <si>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</si>
  <si>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</si>
  <si>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</si>
  <si>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</si>
  <si>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</si>
  <si>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</si>
  <si>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</si>
  <si>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</si>
  <si>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</si>
  <si>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</si>
  <si>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</si>
  <si>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</si>
  <si>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</si>
  <si>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</si>
  <si>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</si>
  <si>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</si>
  <si>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</si>
  <si>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</si>
  <si>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</si>
  <si>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</si>
  <si>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</si>
  <si>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</si>
  <si>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</si>
  <si>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</si>
  <si>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</si>
  <si>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</si>
  <si>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</si>
  <si>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</si>
  <si>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</si>
  <si>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</si>
  <si>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</si>
  <si>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</si>
  <si>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</si>
  <si>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</si>
  <si>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</si>
  <si>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</si>
  <si>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</si>
  <si>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</si>
  <si>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</si>
  <si>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</si>
  <si>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</si>
  <si>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</si>
  <si>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</si>
  <si>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</si>
  <si>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</si>
  <si>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</si>
  <si>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</si>
  <si>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</si>
  <si>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</si>
  <si>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</si>
  <si>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</si>
  <si>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</si>
  <si>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</si>
  <si>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</si>
  <si>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</si>
  <si>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</si>
  <si>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</si>
  <si>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</si>
  <si>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</si>
  <si>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</si>
  <si>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</si>
  <si>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</si>
  <si>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</si>
  <si>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</si>
  <si>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</si>
  <si>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</si>
  <si>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</si>
  <si>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</si>
  <si>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</si>
  <si>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</si>
  <si>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</si>
  <si>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</si>
  <si>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</si>
  <si>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</si>
  <si>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</si>
  <si>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</si>
  <si>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</si>
  <si>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</si>
  <si>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</si>
  <si>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</si>
  <si>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</si>
  <si>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</si>
  <si>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</si>
  <si>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</si>
  <si>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</si>
  <si>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</si>
  <si>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</si>
  <si>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</si>
  <si>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</si>
  <si>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</si>
  <si>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</si>
  <si>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</si>
  <si>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</si>
  <si>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</si>
  <si>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</si>
  <si>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</si>
  <si>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</si>
  <si>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</si>
  <si>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</si>
  <si>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</si>
  <si>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</si>
  <si>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</si>
  <si>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</si>
  <si>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</si>
  <si>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</si>
  <si>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</si>
  <si>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</si>
  <si>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</si>
  <si>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</si>
  <si>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</si>
  <si>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</si>
  <si>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</si>
  <si>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</si>
  <si>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</si>
  <si>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</si>
  <si>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</si>
  <si>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</si>
  <si>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</si>
  <si>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</si>
  <si>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</si>
  <si>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</si>
  <si>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</si>
  <si>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</si>
  <si>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</si>
  <si>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</si>
  <si>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</si>
  <si>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</si>
  <si>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</si>
  <si>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</si>
  <si>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</si>
  <si>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</si>
  <si>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</si>
  <si>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</si>
  <si>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</si>
  <si>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</si>
  <si>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</si>
  <si>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</si>
  <si>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</si>
  <si>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</si>
  <si>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</si>
  <si>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</si>
  <si>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</si>
  <si>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</si>
  <si>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</si>
  <si>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</si>
  <si>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</si>
  <si>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</si>
  <si>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</si>
  <si>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</si>
  <si>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</si>
  <si>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</si>
  <si>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</si>
  <si>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</si>
  <si>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</si>
  <si>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</si>
  <si>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</si>
  <si>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</si>
  <si>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</si>
  <si>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</si>
  <si>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</si>
  <si>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</si>
  <si>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</si>
  <si>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</si>
  <si>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</si>
  <si>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</si>
  <si>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</si>
  <si>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</si>
  <si>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</si>
  <si>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</si>
  <si>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</si>
  <si>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</si>
  <si>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</si>
  <si>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</si>
  <si>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</si>
  <si>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</si>
  <si>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</si>
  <si>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</si>
  <si>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</si>
  <si>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</si>
  <si>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</si>
  <si>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</si>
  <si>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</si>
  <si>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</si>
  <si>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</si>
  <si>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</si>
  <si>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</si>
  <si>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</si>
  <si>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</si>
  <si>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</si>
  <si>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</si>
  <si>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</si>
  <si>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</si>
  <si>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</si>
  <si>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</si>
  <si>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</si>
  <si>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</si>
  <si>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</si>
  <si>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</si>
  <si>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</si>
  <si>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</si>
  <si>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</si>
  <si>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</si>
  <si>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</si>
  <si>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</si>
  <si>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</si>
  <si>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</si>
  <si>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</si>
  <si>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</si>
  <si>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</si>
  <si>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</si>
  <si>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</si>
  <si>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</si>
  <si>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</si>
  <si>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</si>
  <si>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</si>
  <si>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</si>
  <si>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</si>
  <si>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</si>
  <si>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</si>
  <si>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</si>
  <si>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</si>
  <si>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</si>
  <si>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</si>
  <si>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</si>
  <si>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</si>
  <si>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</si>
  <si>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</si>
  <si>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</si>
  <si>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</si>
  <si>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</si>
  <si>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</si>
  <si>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</si>
  <si>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</si>
  <si>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</si>
  <si>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</si>
  <si>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</si>
  <si>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</si>
  <si>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</si>
  <si>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</si>
  <si>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</si>
  <si>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</si>
  <si>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</si>
  <si>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</si>
  <si>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</si>
  <si>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</si>
  <si>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</si>
  <si>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</si>
  <si>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</si>
  <si>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</si>
  <si>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</si>
  <si>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</si>
  <si>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</si>
  <si>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</si>
  <si>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</si>
  <si>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</si>
  <si>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</si>
  <si>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</si>
  <si>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</si>
  <si>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</si>
  <si>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</si>
  <si>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</si>
  <si>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</si>
  <si>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</si>
  <si>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</si>
  <si>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</si>
  <si>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</si>
  <si>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</si>
  <si>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</si>
  <si>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</si>
  <si>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</si>
  <si>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</si>
  <si>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</si>
  <si>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</si>
  <si>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</si>
  <si>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</si>
  <si>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</si>
  <si>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</si>
  <si>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</si>
  <si>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</si>
  <si>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</si>
  <si>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</si>
  <si>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</si>
  <si>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</si>
  <si>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</si>
  <si>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</si>
  <si>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</si>
  <si>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</si>
  <si>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</si>
  <si>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</si>
  <si>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</si>
  <si>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</si>
  <si>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</si>
  <si>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</si>
  <si>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</si>
  <si>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</si>
  <si>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</si>
  <si>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</si>
  <si>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</si>
  <si>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</si>
  <si>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</si>
  <si>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</si>
  <si>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</si>
  <si>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</si>
  <si>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</si>
  <si>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</si>
  <si>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</si>
  <si>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</si>
  <si>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</si>
  <si>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</si>
  <si>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</si>
  <si>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</si>
  <si>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</si>
  <si>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</si>
  <si>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</si>
  <si>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</si>
  <si>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</si>
  <si>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</si>
  <si>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</si>
  <si>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</si>
  <si>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</si>
  <si>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</si>
  <si>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</si>
  <si>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</si>
  <si>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</si>
  <si>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</si>
  <si>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</si>
  <si>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</si>
  <si>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</si>
  <si>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</si>
  <si>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</si>
  <si>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</si>
  <si>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</si>
  <si>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</si>
  <si>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</si>
  <si>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</si>
  <si>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</si>
  <si>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</si>
  <si>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</si>
  <si>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</si>
  <si>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</si>
  <si>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</si>
  <si>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</si>
  <si>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</si>
  <si>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</si>
  <si>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</si>
  <si>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</si>
  <si>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</si>
  <si>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</si>
  <si>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</si>
  <si>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</si>
  <si>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</si>
  <si>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</si>
  <si>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</si>
  <si>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</si>
  <si>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</si>
  <si>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</si>
  <si>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</si>
  <si>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</si>
  <si>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</si>
  <si>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</si>
  <si>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</si>
  <si>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</si>
  <si>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</si>
  <si>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</si>
  <si>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</si>
  <si>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</si>
  <si>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</si>
  <si>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</si>
  <si>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</si>
  <si>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</si>
  <si>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</si>
  <si>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</si>
  <si>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</si>
  <si>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</si>
  <si>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</si>
  <si>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</si>
  <si>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</si>
  <si>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</si>
  <si>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</si>
  <si>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</si>
  <si>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</si>
  <si>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</si>
  <si>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</si>
  <si>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</si>
  <si>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</si>
  <si>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</si>
  <si>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</si>
  <si>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</si>
  <si>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</si>
  <si>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</si>
  <si>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</si>
  <si>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</si>
  <si>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</si>
  <si>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</si>
  <si>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</si>
  <si>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</si>
  <si>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</si>
  <si>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</si>
  <si>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</si>
  <si>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</si>
  <si>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</si>
  <si>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</si>
  <si>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</si>
  <si>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</si>
  <si>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</si>
  <si>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</si>
  <si>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</si>
  <si>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</si>
  <si>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</si>
  <si>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</si>
  <si>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</si>
  <si>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</si>
  <si>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</si>
  <si>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</si>
  <si>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</si>
  <si>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</si>
  <si>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</si>
  <si>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</si>
  <si>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</si>
  <si>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</si>
  <si>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</si>
  <si>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</si>
  <si>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</si>
  <si>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</si>
  <si>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</si>
  <si>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</si>
  <si>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</si>
  <si>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</si>
  <si>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</si>
  <si>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</si>
  <si>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</si>
  <si>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</si>
  <si>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</si>
  <si>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</si>
  <si>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</si>
  <si>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</si>
  <si>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</si>
  <si>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</si>
  <si>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</si>
  <si>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</si>
  <si>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</si>
  <si>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</si>
  <si>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</si>
  <si>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</si>
  <si>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</si>
  <si>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</si>
  <si>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</si>
  <si>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</si>
  <si>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</si>
  <si>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</si>
  <si>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</si>
  <si>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</si>
  <si>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</si>
  <si>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</si>
  <si>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</si>
  <si>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</si>
  <si>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</si>
  <si>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</si>
  <si>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</si>
  <si>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</si>
  <si>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</si>
  <si>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</si>
  <si>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</si>
  <si>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</si>
  <si>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</si>
  <si>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</si>
  <si>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</si>
  <si>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</si>
  <si>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</si>
  <si>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</si>
  <si>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</si>
  <si>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</si>
  <si>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</si>
  <si>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</si>
  <si>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</si>
  <si>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</si>
  <si>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</si>
  <si>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</si>
  <si>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</si>
  <si>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</si>
  <si>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</si>
  <si>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</si>
  <si>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</si>
  <si>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</si>
  <si>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</si>
  <si>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</si>
  <si>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</si>
  <si>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</si>
  <si>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</si>
  <si>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</si>
  <si>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</si>
  <si>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</si>
  <si>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</si>
  <si>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</si>
  <si>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</si>
  <si>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</si>
  <si>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</si>
  <si>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</si>
  <si>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</si>
  <si>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</si>
  <si>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</si>
  <si>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</si>
  <si>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</si>
  <si>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</si>
  <si>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</si>
  <si>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</si>
  <si>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</si>
  <si>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</si>
  <si>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</si>
  <si>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</si>
  <si>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</si>
  <si>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</si>
  <si>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</si>
  <si>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</si>
  <si>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</si>
  <si>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</si>
  <si>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</si>
  <si>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</si>
  <si>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</si>
  <si>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</si>
  <si>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</si>
  <si>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</si>
  <si>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</si>
  <si>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</si>
  <si>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</si>
  <si>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</si>
  <si>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</si>
  <si>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</si>
  <si>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</si>
  <si>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</si>
  <si>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</si>
  <si>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</si>
  <si>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</si>
  <si>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</si>
  <si>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</si>
  <si>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</si>
  <si>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</si>
  <si>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</si>
  <si>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</si>
  <si>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</si>
  <si>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</si>
  <si>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</si>
  <si>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</si>
  <si>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</si>
  <si>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</si>
  <si>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</si>
  <si>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</si>
  <si>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</si>
  <si>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</si>
  <si>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</si>
  <si>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</si>
  <si>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</si>
  <si>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</si>
  <si>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</si>
  <si>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</si>
  <si>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</si>
  <si>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</si>
  <si>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</si>
  <si>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</si>
  <si>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</si>
  <si>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</si>
  <si>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</si>
  <si>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</si>
  <si>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</si>
  <si>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</si>
  <si>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</si>
  <si>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</si>
  <si>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</si>
  <si>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</si>
  <si>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</si>
  <si>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</si>
  <si>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</si>
  <si>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</si>
  <si>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</si>
  <si>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</si>
  <si>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</si>
  <si>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</si>
  <si>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</si>
  <si>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</si>
  <si>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</si>
  <si>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</si>
  <si>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</si>
  <si>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</si>
  <si>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</si>
  <si>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</si>
  <si>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</si>
  <si>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</si>
  <si>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</si>
  <si>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</si>
  <si>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</si>
  <si>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</si>
  <si>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</si>
  <si>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</si>
  <si>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</si>
  <si>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</si>
  <si>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</si>
  <si>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</si>
  <si>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</si>
  <si>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</si>
  <si>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</si>
  <si>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</si>
  <si>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</si>
  <si>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</si>
  <si>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</si>
  <si>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</si>
  <si>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</si>
  <si>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</si>
  <si>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</si>
  <si>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</si>
  <si>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</si>
  <si>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</si>
  <si>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</si>
  <si>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</si>
  <si>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</si>
  <si>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</si>
  <si>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</si>
  <si>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</si>
  <si>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</si>
  <si>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</si>
  <si>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</si>
  <si>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</si>
  <si>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</si>
  <si>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</si>
  <si>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</si>
  <si>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</si>
  <si>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</si>
  <si>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</si>
  <si>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</si>
  <si>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</si>
  <si>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</si>
  <si>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</si>
  <si>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</si>
  <si>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</si>
  <si>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</si>
  <si>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</si>
  <si>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</si>
  <si>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</si>
  <si>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</si>
  <si>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</si>
  <si>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</si>
  <si>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</si>
  <si>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</si>
  <si>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</si>
  <si>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</si>
  <si>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</si>
  <si>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</si>
  <si>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</si>
  <si>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</si>
  <si>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</si>
  <si>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</si>
  <si>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</si>
  <si>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</si>
  <si>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</si>
  <si>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</si>
  <si>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</si>
  <si>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</si>
  <si>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</si>
  <si>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</si>
  <si>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</si>
  <si>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</si>
  <si>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</si>
  <si>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</si>
  <si>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</si>
  <si>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</si>
  <si>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</si>
  <si>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</si>
  <si>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</si>
  <si>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</si>
  <si>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</si>
  <si>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</si>
  <si>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</si>
  <si>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</si>
  <si>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</si>
  <si>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</si>
  <si>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</si>
  <si>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</si>
  <si>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</si>
  <si>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</si>
  <si>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</si>
  <si>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</si>
  <si>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</si>
  <si>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</si>
  <si>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</si>
  <si>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</si>
  <si>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</si>
  <si>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</si>
  <si>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</si>
  <si>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</si>
  <si>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</si>
  <si>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</si>
  <si>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</si>
  <si>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</si>
  <si>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</si>
  <si>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</si>
  <si>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</si>
  <si>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</si>
  <si>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</si>
  <si>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</si>
  <si>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</si>
  <si>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</si>
  <si>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</si>
  <si>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</si>
  <si>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</si>
  <si>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</si>
  <si>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</si>
  <si>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</si>
  <si>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</si>
  <si>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</si>
  <si>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</si>
  <si>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</si>
  <si>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</si>
  <si>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</si>
  <si>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</si>
  <si>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</si>
  <si>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</si>
  <si>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</si>
  <si>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</si>
  <si>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</si>
  <si>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</si>
  <si>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</si>
  <si>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</si>
  <si>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</si>
  <si>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</si>
  <si>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</si>
  <si>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</si>
  <si>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</si>
  <si>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</si>
  <si>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</si>
  <si>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</si>
  <si>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</si>
  <si>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</si>
  <si>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</si>
  <si>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</si>
  <si>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</si>
  <si>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</si>
  <si>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</si>
  <si>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</si>
  <si>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</si>
  <si>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</si>
  <si>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</si>
  <si>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</si>
  <si>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</si>
  <si>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</si>
  <si>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</si>
  <si>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</si>
  <si>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</si>
  <si>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</si>
  <si>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</si>
  <si>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</si>
  <si>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</si>
  <si>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</si>
  <si>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</si>
  <si>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</si>
  <si>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</si>
  <si>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</si>
  <si>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</si>
  <si>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</si>
  <si>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</si>
  <si>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</si>
  <si>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</si>
  <si>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</si>
  <si>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</si>
  <si>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</si>
  <si>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</si>
  <si>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</si>
  <si>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</si>
  <si>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</si>
  <si>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</si>
  <si>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</si>
  <si>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</si>
  <si>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</si>
  <si>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</si>
  <si>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</si>
  <si>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</si>
  <si>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</si>
  <si>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</si>
  <si>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</si>
  <si>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</si>
  <si>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</si>
  <si>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</si>
  <si>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</si>
  <si>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</si>
  <si>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</si>
  <si>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</si>
  <si>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</si>
  <si>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</si>
  <si>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</si>
  <si>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</si>
  <si>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</si>
  <si>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</si>
  <si>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</si>
  <si>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</si>
  <si>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</si>
  <si>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</si>
  <si>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</si>
  <si>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</si>
  <si>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</si>
  <si>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</si>
  <si>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</si>
  <si>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</si>
  <si>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</si>
  <si>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</si>
  <si>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</si>
  <si>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</si>
  <si>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</si>
  <si>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</si>
  <si>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</si>
  <si>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</si>
  <si>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</si>
  <si>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</si>
  <si>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</si>
  <si>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</si>
  <si>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</si>
  <si>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</si>
  <si>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</si>
  <si>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</si>
  <si>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</si>
  <si>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</si>
  <si>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</si>
  <si>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</si>
  <si>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</si>
  <si>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</si>
  <si>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</si>
  <si>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</si>
  <si>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</si>
  <si>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</si>
  <si>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</si>
  <si>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</si>
  <si>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</si>
  <si>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</si>
  <si>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</si>
  <si>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</si>
  <si>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</si>
  <si>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</si>
  <si>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</si>
  <si>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</si>
  <si>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</si>
  <si>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</si>
  <si>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</si>
  <si>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</si>
  <si>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</si>
  <si>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</si>
  <si>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</si>
  <si>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</si>
  <si>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</si>
  <si>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</si>
  <si>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</si>
  <si>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</si>
  <si>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</si>
  <si>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</si>
  <si>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</si>
  <si>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</si>
  <si>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</si>
  <si>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</si>
  <si>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</si>
  <si>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</si>
  <si>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</si>
  <si>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</si>
  <si>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</si>
  <si>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</si>
  <si>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</si>
  <si>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</si>
  <si>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</si>
  <si>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</si>
  <si>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</si>
  <si>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</si>
  <si>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</si>
  <si>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</si>
  <si>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</si>
  <si>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</si>
  <si>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</si>
  <si>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</si>
  <si>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</si>
  <si>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</si>
  <si>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</si>
  <si>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</si>
  <si>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</si>
  <si>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</si>
  <si>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</si>
  <si>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</si>
  <si>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</si>
  <si>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</si>
  <si>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</si>
  <si>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</si>
  <si>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</si>
  <si>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</si>
  <si>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</si>
  <si>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</si>
  <si>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</si>
  <si>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</si>
  <si>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</si>
  <si>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</si>
  <si>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</si>
  <si>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</si>
  <si>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</si>
  <si>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</si>
  <si>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</si>
  <si>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</si>
  <si>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</si>
  <si>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</si>
  <si>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</si>
  <si>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</si>
  <si>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</si>
  <si>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</si>
  <si>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</si>
  <si>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</si>
  <si>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</si>
  <si>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</si>
  <si>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</si>
  <si>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</si>
  <si>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</si>
  <si>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</si>
  <si>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</si>
  <si>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</si>
  <si>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</si>
  <si>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</si>
  <si>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</si>
  <si>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</si>
  <si>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</si>
  <si>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</si>
  <si>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</si>
  <si>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</si>
  <si>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</si>
  <si>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</si>
  <si>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</si>
  <si>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</si>
  <si>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</si>
  <si>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</si>
  <si>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</si>
  <si>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</si>
  <si>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</si>
  <si>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</si>
  <si>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</si>
  <si>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</si>
  <si>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</si>
  <si>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</si>
  <si>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</si>
  <si>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</si>
  <si>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</si>
  <si>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</si>
  <si>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</si>
  <si>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</si>
  <si>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</si>
  <si>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</si>
  <si>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</si>
  <si>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</si>
  <si>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</si>
  <si>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</si>
  <si>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</si>
  <si>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</si>
  <si>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</si>
  <si>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</si>
  <si>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</si>
  <si>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</si>
  <si>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</si>
  <si>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</si>
  <si>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</si>
  <si>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</si>
  <si>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</si>
  <si>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</si>
  <si>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</si>
  <si>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</si>
  <si>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</si>
  <si>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</si>
  <si>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</si>
  <si>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</si>
  <si>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</si>
  <si>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</si>
  <si>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</si>
  <si>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</si>
  <si>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</si>
  <si>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</si>
  <si>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</si>
  <si>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</si>
  <si>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</si>
  <si>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</si>
  <si>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</si>
  <si>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</si>
  <si>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</si>
  <si>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</si>
  <si>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</si>
  <si>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</si>
  <si>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</si>
  <si>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</si>
  <si>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</si>
  <si>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</si>
  <si>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</si>
  <si>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</si>
  <si>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</si>
  <si>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</si>
  <si>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</si>
  <si>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</si>
  <si>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</si>
  <si>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</si>
  <si>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</si>
  <si>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</si>
  <si>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</si>
  <si>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</si>
  <si>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</si>
  <si>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</si>
  <si>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</si>
  <si>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</si>
  <si>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</si>
  <si>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</si>
  <si>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</si>
  <si>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</si>
  <si>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</si>
  <si>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</si>
  <si>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</si>
  <si>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</si>
  <si>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</si>
  <si>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</si>
  <si>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</si>
  <si>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</si>
  <si>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</si>
  <si>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</si>
  <si>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</si>
  <si>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</si>
  <si>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</si>
  <si>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</si>
  <si>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</si>
  <si>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</si>
  <si>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</si>
  <si>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</si>
  <si>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</si>
  <si>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</si>
  <si>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</si>
  <si>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</si>
  <si>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</si>
  <si>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</si>
  <si>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</si>
  <si>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</si>
  <si>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</si>
  <si>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</si>
  <si>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Moore &amp; Simonin, PC</t>
  </si>
  <si>
    <t>Robert E. Moore, CPA</t>
  </si>
  <si>
    <t>3636 North Belt West</t>
  </si>
  <si>
    <t>Belleville</t>
  </si>
  <si>
    <t>IL</t>
  </si>
  <si>
    <t>618-233-5049</t>
  </si>
  <si>
    <t>618-233-1061</t>
  </si>
  <si>
    <t>mooresimonin@mrsaccountants.com</t>
  </si>
  <si>
    <t>066-005248</t>
  </si>
  <si>
    <t>Cinton</t>
  </si>
  <si>
    <t>19004 St. Rose Rd</t>
  </si>
  <si>
    <t>St. Rose</t>
  </si>
  <si>
    <t>Egyptian Benefit Trust</t>
  </si>
  <si>
    <t>PSIC</t>
  </si>
  <si>
    <t>KSED</t>
  </si>
  <si>
    <t>Central School District No. 71</t>
  </si>
  <si>
    <t>Page 11, Line 107:  Book Fair and Yearbooks - $4,326; Sale Equipment - $1,880</t>
  </si>
  <si>
    <t>Whether the School District had the resources to prepare their financial statements in accordance with U.S. generally accepted accounting principles or another comprehensive basis of accounting for the year ended June 30, 2018.</t>
  </si>
  <si>
    <t>The School District does not have internal controls over their financial reporting.</t>
  </si>
  <si>
    <t>The School District is unable to prepare their financial statements in accordance with U.S. generally accepted accounting principles or another comprehensive basis of accounting for the year ended June 30, 2018.</t>
  </si>
  <si>
    <t>The District is able to prepare its financial reports, but lacks the resources to research, study and apply all new reporting standards necessary to complete the related notes and exhibits.</t>
  </si>
  <si>
    <t>To study the cost versus benefit of providing the necessary education and training to staff in order to prepare the financial statements in accordance with another comprehensive basis of accounting.</t>
  </si>
  <si>
    <t>Management plans to study the cost versus benefit of providing the necessary education and training to staff or continue to use their auditor to prepare all necessary financial statements.</t>
  </si>
  <si>
    <t>We noted that the School District was not able to prepare their financial statements in accordance with U.S. generally accepted accounting principles or another comprehensive basis of accounting for the year ended June 30, 2018.</t>
  </si>
  <si>
    <t>ED-Fiscal Service</t>
  </si>
  <si>
    <t>School Bookkeeping Solutions</t>
  </si>
  <si>
    <t>St. Rose SD 14-15</t>
  </si>
  <si>
    <t>10-2520-300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</si>
</sst>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4</xdr:row>
          <xdr:rowOff>57150</xdr:rowOff>
        </xdr:from>
        <xdr:to>
          <xdr:col>1</xdr:col>
          <xdr:colOff>952500</xdr:colOff>
          <xdr:row>7</xdr:row>
          <xdr:rowOff>57150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13014141502</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2087</v>
      </c>
      <c r="B15" s="2006"/>
      <c r="C15" s="2006"/>
      <c r="D15" s="2006"/>
      <c r="E15" s="2006"/>
      <c r="F15" s="2006"/>
      <c r="G15" s="2006"/>
      <c r="H15" s="2007"/>
      <c r="T15" s="1969" t="s">
        <v>2079</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2104</v>
      </c>
      <c r="B17" s="2031"/>
      <c r="C17" s="2031"/>
      <c r="D17" s="2031"/>
      <c r="E17" s="2031"/>
      <c r="F17" s="2031"/>
      <c r="G17" s="2031"/>
      <c r="H17" s="2032"/>
      <c r="T17" s="2018" t="s">
        <v>2080</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2088</v>
      </c>
      <c r="B19" s="2002"/>
      <c r="C19" s="2002"/>
      <c r="D19" s="2002"/>
      <c r="E19" s="2002"/>
      <c r="F19" s="2002"/>
      <c r="G19" s="2002"/>
      <c r="H19" s="2000"/>
      <c r="I19" s="30"/>
      <c r="J19" s="99"/>
      <c r="K19" s="40"/>
      <c r="L19" s="38"/>
      <c r="M19" s="112" t="s">
        <v>333</v>
      </c>
      <c r="P19" s="27"/>
      <c r="Q19" s="27"/>
      <c r="R19" s="27"/>
      <c r="S19" s="31"/>
      <c r="T19" s="2001" t="s">
        <v>2081</v>
      </c>
      <c r="U19" s="1999"/>
      <c r="V19" s="1999"/>
      <c r="W19" s="2000"/>
      <c r="X19" s="2016" t="s">
        <v>2082</v>
      </c>
      <c r="Y19" s="2017"/>
      <c r="Z19" s="2014">
        <v>62226</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2089</v>
      </c>
      <c r="B21" s="1999"/>
      <c r="C21" s="1999"/>
      <c r="D21" s="1999"/>
      <c r="E21" s="1999"/>
      <c r="F21" s="1999"/>
      <c r="G21" s="1999"/>
      <c r="H21" s="2000"/>
      <c r="I21" s="2024" t="s">
        <v>699</v>
      </c>
      <c r="J21" s="1987"/>
      <c r="K21" s="1987"/>
      <c r="L21" s="1987"/>
      <c r="M21" s="1987"/>
      <c r="N21" s="1987"/>
      <c r="O21" s="1987"/>
      <c r="P21" s="1987"/>
      <c r="Q21" s="1987"/>
      <c r="R21" s="1987"/>
      <c r="S21" s="1988"/>
      <c r="T21" s="1966" t="s">
        <v>2083</v>
      </c>
      <c r="U21" s="1967"/>
      <c r="V21" s="1967"/>
      <c r="W21" s="1967"/>
      <c r="X21" s="1980" t="s">
        <v>2084</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c r="B23" s="2022"/>
      <c r="C23" s="2022"/>
      <c r="D23" s="2022"/>
      <c r="E23" s="2022"/>
      <c r="F23" s="2022"/>
      <c r="G23" s="2022"/>
      <c r="H23" s="2023"/>
      <c r="T23" s="1961" t="s">
        <v>2086</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62230</v>
      </c>
      <c r="B25" s="1999"/>
      <c r="C25" s="1999"/>
      <c r="D25" s="1999"/>
      <c r="E25" s="1999"/>
      <c r="F25" s="1999"/>
      <c r="G25" s="1999"/>
      <c r="H25" s="2000"/>
      <c r="I25" s="113"/>
      <c r="J25" s="2065"/>
      <c r="K25" s="2065"/>
      <c r="L25" s="2065"/>
      <c r="M25" s="2065"/>
      <c r="N25" s="2065"/>
      <c r="O25" s="2065"/>
      <c r="P25" s="2065"/>
      <c r="Q25" s="2065"/>
      <c r="R25" s="2065"/>
      <c r="S25" s="2066"/>
      <c r="T25" s="1958" t="s">
        <v>2085</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D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461275</v>
      </c>
      <c r="C4" s="1546"/>
      <c r="D4" s="1774">
        <f>B4-C4</f>
        <v>461275</v>
      </c>
      <c r="E4" s="1546">
        <v>479699</v>
      </c>
      <c r="F4" s="1774">
        <f>E4-C4</f>
        <v>479699</v>
      </c>
    </row>
    <row r="5" spans="1:6" ht="13.7" customHeight="1" x14ac:dyDescent="0.2">
      <c r="A5" s="716" t="s">
        <v>925</v>
      </c>
      <c r="B5" s="1772">
        <f>'Revenues 9-14'!D5</f>
        <v>72060</v>
      </c>
      <c r="C5" s="585"/>
      <c r="D5" s="1775">
        <f t="shared" ref="D5:D18" si="0">B5-C5</f>
        <v>72060</v>
      </c>
      <c r="E5" s="585">
        <v>74953</v>
      </c>
      <c r="F5" s="1775">
        <f>E5-C5</f>
        <v>74953</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34597</v>
      </c>
      <c r="C7" s="585"/>
      <c r="D7" s="1775">
        <f t="shared" si="0"/>
        <v>34597</v>
      </c>
      <c r="E7" s="585">
        <v>36977</v>
      </c>
      <c r="F7" s="1775">
        <f t="shared" si="1"/>
        <v>36977</v>
      </c>
    </row>
    <row r="8" spans="1:6" ht="13.7" customHeight="1" x14ac:dyDescent="0.2">
      <c r="A8" s="716" t="s">
        <v>1241</v>
      </c>
      <c r="B8" s="1772">
        <f>'Revenues 9-14'!G5</f>
        <v>12753</v>
      </c>
      <c r="C8" s="585"/>
      <c r="D8" s="1775">
        <f t="shared" si="0"/>
        <v>12753</v>
      </c>
      <c r="E8" s="585">
        <v>12394</v>
      </c>
      <c r="F8" s="1775">
        <f t="shared" si="1"/>
        <v>12394</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14417</v>
      </c>
      <c r="C10" s="585"/>
      <c r="D10" s="1775">
        <f t="shared" si="0"/>
        <v>14417</v>
      </c>
      <c r="E10" s="585">
        <v>14991</v>
      </c>
      <c r="F10" s="1775">
        <f t="shared" si="1"/>
        <v>14991</v>
      </c>
    </row>
    <row r="11" spans="1:6" x14ac:dyDescent="0.2">
      <c r="A11" s="716" t="s">
        <v>429</v>
      </c>
      <c r="B11" s="1772">
        <f>'Revenues 9-14'!J5</f>
        <v>98001</v>
      </c>
      <c r="C11" s="585"/>
      <c r="D11" s="1775">
        <f t="shared" si="0"/>
        <v>98001</v>
      </c>
      <c r="E11" s="585"/>
      <c r="F11" s="1775">
        <f t="shared" si="1"/>
        <v>0</v>
      </c>
    </row>
    <row r="12" spans="1:6" ht="13.7" customHeight="1" x14ac:dyDescent="0.2">
      <c r="A12" s="716" t="s">
        <v>159</v>
      </c>
      <c r="B12" s="1772">
        <f>'Revenues 9-14'!K5</f>
        <v>0</v>
      </c>
      <c r="C12" s="585"/>
      <c r="D12" s="1775">
        <f t="shared" si="0"/>
        <v>0</v>
      </c>
      <c r="E12" s="585">
        <v>97163</v>
      </c>
      <c r="F12" s="1775">
        <f t="shared" si="1"/>
        <v>97163</v>
      </c>
    </row>
    <row r="13" spans="1:6" ht="13.7" customHeight="1" x14ac:dyDescent="0.2">
      <c r="A13" s="716" t="s">
        <v>993</v>
      </c>
      <c r="B13" s="1772">
        <f>SUM('Revenues 9-14'!C6:D6)</f>
        <v>14415</v>
      </c>
      <c r="C13" s="585"/>
      <c r="D13" s="1775">
        <f t="shared" si="0"/>
        <v>14415</v>
      </c>
      <c r="E13" s="585">
        <v>14991</v>
      </c>
      <c r="F13" s="1775">
        <f t="shared" si="1"/>
        <v>14991</v>
      </c>
    </row>
    <row r="14" spans="1:6" ht="13.7" customHeight="1" x14ac:dyDescent="0.2">
      <c r="A14" s="716" t="s">
        <v>430</v>
      </c>
      <c r="B14" s="1772">
        <f>SUM('Revenues 9-14'!C7:D7,'Revenues 9-14'!F7:H7)</f>
        <v>5767</v>
      </c>
      <c r="C14" s="585"/>
      <c r="D14" s="1775">
        <f t="shared" si="0"/>
        <v>5767</v>
      </c>
      <c r="E14" s="585">
        <v>5996</v>
      </c>
      <c r="F14" s="1775">
        <f t="shared" si="1"/>
        <v>5996</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12862</v>
      </c>
      <c r="C16" s="585"/>
      <c r="D16" s="1775">
        <f t="shared" si="0"/>
        <v>12862</v>
      </c>
      <c r="E16" s="585">
        <v>12394</v>
      </c>
      <c r="F16" s="1775">
        <f t="shared" si="1"/>
        <v>12394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726147</v>
      </c>
      <c r="C19" s="1773">
        <f>SUM(C4:C18)</f>
        <v>0</v>
      </c>
      <c r="D19" s="1773">
        <f>SUM(D4:D18)</f>
        <v>726147</v>
      </c>
      <c r="E19" s="1773">
        <f>SUM(E4:E18)</f>
        <v>749558</v>
      </c>
      <c r="F19" s="1773">
        <f>SUM(F4:F18)</f>
        <v>749558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D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9" t="s">
        <v>2038</v>
      </c>
      <c r="D2" s="724" t="s">
        <v>2045</v>
      </c>
      <c r="E2" s="724" t="s">
        <v>2046</v>
      </c>
      <c r="F2" s="1909" t="s">
        <v>2039</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D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5767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5767</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5767</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5767</v>
      </c>
      <c r="I23" s="1780">
        <f>SUM(I14:I16,I21,I22)</f>
        <v>0</v>
      </c>
      <c r="J23" s="1780">
        <f>SUM(J14:J16,J21,J22)</f>
        <v>0</v>
      </c>
      <c r="K23" s="1780">
        <f>SUM(K14:K16,K21,K22)</f>
        <v>0</v>
      </c>
    </row>
    <row r="24" spans="1:11" ht="14.25" thickTop="1" thickBot="1" x14ac:dyDescent="0.25">
      <c r="A24" s="2252" t="s">
        <v>2026</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D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1585778</v>
      </c>
      <c r="D8" s="845"/>
      <c r="E8" s="845"/>
      <c r="F8" s="1782">
        <f>(C8+D8)-E8</f>
        <v>1585778</v>
      </c>
      <c r="G8" s="844">
        <v>50</v>
      </c>
      <c r="H8" s="766">
        <v>546400</v>
      </c>
      <c r="I8" s="766">
        <v>44203</v>
      </c>
      <c r="J8" s="766"/>
      <c r="K8" s="1791">
        <f>(H8+I8)-J8</f>
        <v>590603</v>
      </c>
      <c r="L8" s="1791">
        <f>F8-K8</f>
        <v>995175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442415</v>
      </c>
      <c r="D12" s="845"/>
      <c r="E12" s="845"/>
      <c r="F12" s="1782">
        <f>(C12+D12)-E12</f>
        <v>442415</v>
      </c>
      <c r="G12" s="844">
        <v>10</v>
      </c>
      <c r="H12" s="766">
        <v>392692</v>
      </c>
      <c r="I12" s="766">
        <v>10820</v>
      </c>
      <c r="J12" s="766"/>
      <c r="K12" s="1791">
        <f>(H12+I12)-J12</f>
        <v>403512</v>
      </c>
      <c r="L12" s="1791">
        <f>F12-K12</f>
        <v>38903</v>
      </c>
    </row>
    <row r="13" spans="1:14" ht="14.25" thickTop="1" thickBot="1" x14ac:dyDescent="0.25">
      <c r="A13" s="849" t="s">
        <v>1184</v>
      </c>
      <c r="B13" s="841">
        <v>252</v>
      </c>
      <c r="C13" s="845">
        <v>291444</v>
      </c>
      <c r="D13" s="845"/>
      <c r="E13" s="845">
        <v>57445</v>
      </c>
      <c r="F13" s="1782">
        <f>(C13+D13)-E13</f>
        <v>233999</v>
      </c>
      <c r="G13" s="844">
        <v>5</v>
      </c>
      <c r="H13" s="766">
        <v>237572</v>
      </c>
      <c r="I13" s="766">
        <v>11972</v>
      </c>
      <c r="J13" s="766">
        <v>57445</v>
      </c>
      <c r="K13" s="1791">
        <f>(H13+I13)-J13</f>
        <v>192099</v>
      </c>
      <c r="L13" s="1791">
        <f>F13-K13</f>
        <v>41900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2319637</v>
      </c>
      <c r="D16" s="1782">
        <f>SUM(D3,D5:D6,D8:D10,D12:D15)</f>
        <v>0</v>
      </c>
      <c r="E16" s="1782">
        <f>SUM(E3,E5:E6,E8:E10,E12:E15)</f>
        <v>57445</v>
      </c>
      <c r="F16" s="1782">
        <f>SUM(F3,F5:F6,F8:F10,F12:F15)</f>
        <v>2262192</v>
      </c>
      <c r="G16" s="844"/>
      <c r="H16" s="1782">
        <f>SUM(H3,H6,H8:H10,H12:H14,)</f>
        <v>1176664</v>
      </c>
      <c r="I16" s="1782">
        <f>SUM(I3,I6,I8:I10,I12:I14,)</f>
        <v>66995</v>
      </c>
      <c r="J16" s="1782">
        <f>SUM(J3,J6,J8:J10,J12:J14,)</f>
        <v>57445</v>
      </c>
      <c r="K16" s="1782">
        <f>(H16+I16)-J16</f>
        <v>1186214</v>
      </c>
      <c r="L16" s="1782">
        <f>F16-K16</f>
        <v>1075978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2229</v>
      </c>
      <c r="G17" s="838">
        <v>10</v>
      </c>
      <c r="H17" s="770"/>
      <c r="I17" s="1791">
        <f>F17/G17</f>
        <v>222.9</v>
      </c>
      <c r="J17" s="770"/>
      <c r="K17" s="796"/>
      <c r="L17" s="796"/>
    </row>
    <row r="18" spans="1:12" ht="14.25" thickTop="1" thickBot="1" x14ac:dyDescent="0.25">
      <c r="A18" s="1789" t="s">
        <v>706</v>
      </c>
      <c r="B18" s="1790"/>
      <c r="C18" s="772"/>
      <c r="D18" s="772"/>
      <c r="E18" s="772"/>
      <c r="F18" s="851"/>
      <c r="G18" s="852"/>
      <c r="H18" s="774"/>
      <c r="I18" s="1782">
        <f>SUM(I16,I17)</f>
        <v>67217.899999999994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5" activePane="bottomLeft" state="frozen"/>
      <selection sqref="A1:D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1086098</v>
      </c>
      <c r="G8" s="866"/>
    </row>
    <row r="9" spans="1:7" x14ac:dyDescent="0.2">
      <c r="A9" s="870" t="s">
        <v>480</v>
      </c>
      <c r="B9" s="871" t="s">
        <v>1989</v>
      </c>
      <c r="C9" s="872"/>
      <c r="D9" s="870" t="s">
        <v>522</v>
      </c>
      <c r="E9" s="869"/>
      <c r="F9" s="1935">
        <f>'Expenditures 15-22'!K151</f>
        <v>78666</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71733</v>
      </c>
      <c r="G11" s="873"/>
    </row>
    <row r="12" spans="1:7" x14ac:dyDescent="0.2">
      <c r="A12" s="870" t="s">
        <v>482</v>
      </c>
      <c r="B12" s="871" t="s">
        <v>1992</v>
      </c>
      <c r="C12" s="872"/>
      <c r="D12" s="870" t="s">
        <v>522</v>
      </c>
      <c r="E12" s="869"/>
      <c r="F12" s="1935">
        <f>'Expenditures 15-22'!K295</f>
        <v>46749</v>
      </c>
      <c r="G12" s="873"/>
    </row>
    <row r="13" spans="1:7" x14ac:dyDescent="0.2">
      <c r="A13" s="870" t="s">
        <v>108</v>
      </c>
      <c r="B13" s="871" t="s">
        <v>1993</v>
      </c>
      <c r="C13" s="872"/>
      <c r="D13" s="870" t="s">
        <v>522</v>
      </c>
      <c r="E13" s="869"/>
      <c r="F13" s="1935">
        <f>'Expenditures 15-22'!K342</f>
        <v>80518</v>
      </c>
      <c r="G13" s="874"/>
    </row>
    <row r="14" spans="1:7" ht="12" customHeight="1" thickBot="1" x14ac:dyDescent="0.25">
      <c r="A14" s="1792"/>
      <c r="B14" s="1793"/>
      <c r="C14" s="1794"/>
      <c r="D14" s="1795" t="s">
        <v>522</v>
      </c>
      <c r="E14" s="1796" t="s">
        <v>1015</v>
      </c>
      <c r="F14" s="1797">
        <f>SUM(F8:F13)</f>
        <v>1363764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32299</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22067</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2851</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42</v>
      </c>
      <c r="G52" s="866"/>
    </row>
    <row r="53" spans="1:7" x14ac:dyDescent="0.2">
      <c r="A53" s="870" t="s">
        <v>479</v>
      </c>
      <c r="B53" s="870" t="s">
        <v>1551</v>
      </c>
      <c r="C53" s="890">
        <f>'Expenditures 15-22'!B102</f>
        <v>4000</v>
      </c>
      <c r="D53" s="889" t="str">
        <f>'Expenditures 15-22'!A102</f>
        <v>Total Payments to Other Govt Units</v>
      </c>
      <c r="E53" s="869"/>
      <c r="F53" s="1939">
        <f>'Expenditures 15-22'!K102</f>
        <v>13419</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2229</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302</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40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2061</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75310</v>
      </c>
      <c r="G76" s="866"/>
    </row>
    <row r="77" spans="1:8" s="894" customFormat="1" ht="12" customHeight="1" thickTop="1" thickBot="1" x14ac:dyDescent="0.25">
      <c r="A77" s="1801"/>
      <c r="B77" s="1798"/>
      <c r="C77" s="1794"/>
      <c r="D77" s="1799" t="s">
        <v>2012</v>
      </c>
      <c r="E77" s="1796"/>
      <c r="F77" s="1802">
        <f>(F14-F76)</f>
        <v>1288454</v>
      </c>
      <c r="G77" s="870"/>
    </row>
    <row r="78" spans="1:8" s="894" customFormat="1" ht="12" customHeight="1" thickTop="1" x14ac:dyDescent="0.2">
      <c r="A78" s="1803"/>
      <c r="B78" s="1798"/>
      <c r="C78" s="1794"/>
      <c r="D78" s="1799" t="s">
        <v>2059</v>
      </c>
      <c r="E78" s="1796"/>
      <c r="F78" s="899">
        <v>149.66999999999999</v>
      </c>
      <c r="G78" s="900"/>
      <c r="H78" s="870"/>
    </row>
    <row r="79" spans="1:8" s="894" customFormat="1" ht="12" customHeight="1" thickBot="1" x14ac:dyDescent="0.25">
      <c r="A79" s="1804"/>
      <c r="B79" s="1798"/>
      <c r="C79" s="1794"/>
      <c r="D79" s="1799" t="s">
        <v>2013</v>
      </c>
      <c r="E79" s="1796" t="s">
        <v>1015</v>
      </c>
      <c r="F79" s="1805">
        <f>IF(F78&gt;0,F77/F78," Complete Line 78")</f>
        <v>8608.6323244471168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60678</v>
      </c>
      <c r="G94" s="913"/>
    </row>
    <row r="95" spans="1:7" x14ac:dyDescent="0.2">
      <c r="A95" s="909" t="s">
        <v>142</v>
      </c>
      <c r="B95" s="909" t="s">
        <v>177</v>
      </c>
      <c r="C95" s="911">
        <v>1700</v>
      </c>
      <c r="D95" s="919" t="str">
        <f>'Revenues 9-14'!A82</f>
        <v>Total District/School Activity Income</v>
      </c>
      <c r="E95" s="907"/>
      <c r="F95" s="1811">
        <f>SUM('Revenues 9-14'!C82,'Revenues 9-14'!D82)</f>
        <v>23964</v>
      </c>
      <c r="G95" s="913"/>
    </row>
    <row r="96" spans="1:7" x14ac:dyDescent="0.2">
      <c r="A96" s="909" t="s">
        <v>479</v>
      </c>
      <c r="B96" s="909" t="s">
        <v>178</v>
      </c>
      <c r="C96" s="911">
        <f>'Revenues 9-14'!B84</f>
        <v>1811</v>
      </c>
      <c r="D96" s="912" t="str">
        <f>'Revenues 9-14'!A84</f>
        <v>Rentals - Regular Textbooks</v>
      </c>
      <c r="E96" s="907"/>
      <c r="F96" s="1811">
        <f>'Revenues 9-14'!C84</f>
        <v>14325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3750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14895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178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54469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15595</v>
      </c>
      <c r="G128" s="931"/>
    </row>
    <row r="129" spans="1:7" x14ac:dyDescent="0.2">
      <c r="A129" s="928" t="s">
        <v>685</v>
      </c>
      <c r="B129" s="928" t="s">
        <v>803</v>
      </c>
      <c r="C129" s="933">
        <v>4200</v>
      </c>
      <c r="D129" s="930" t="str">
        <f>'Revenues 9-14'!A201</f>
        <v>Total Food Service</v>
      </c>
      <c r="E129" s="907"/>
      <c r="F129" s="1811">
        <f>SUM('Revenues 9-14'!C201,'Revenues 9-14'!G201)</f>
        <v>22243</v>
      </c>
      <c r="G129" s="931"/>
    </row>
    <row r="130" spans="1:7" x14ac:dyDescent="0.2">
      <c r="A130" s="928" t="s">
        <v>689</v>
      </c>
      <c r="B130" s="928" t="s">
        <v>804</v>
      </c>
      <c r="C130" s="933">
        <v>4300</v>
      </c>
      <c r="D130" s="934" t="str">
        <f>'Revenues 9-14'!A211</f>
        <v>Total Title I</v>
      </c>
      <c r="E130" s="907"/>
      <c r="F130" s="1811">
        <f>SUM('Revenues 9-14'!C211,'Revenues 9-14'!D211,'Revenues 9-14'!F211,'Revenues 9-14'!G211)</f>
        <v>22454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7344</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4855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5270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461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153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250634</v>
      </c>
    </row>
    <row r="179" spans="1:7" ht="12" customHeight="1" x14ac:dyDescent="0.2">
      <c r="A179" s="1792"/>
      <c r="B179" s="1806"/>
      <c r="C179" s="1807"/>
      <c r="D179" s="1808" t="s">
        <v>2015</v>
      </c>
      <c r="E179" s="1809"/>
      <c r="F179" s="1811">
        <f>'PCTC-OEPP 27-28'!F77-F178</f>
        <v>1037820</v>
      </c>
    </row>
    <row r="180" spans="1:7" ht="12" customHeight="1" x14ac:dyDescent="0.2">
      <c r="A180" s="1792"/>
      <c r="B180" s="1806"/>
      <c r="C180" s="1807"/>
      <c r="D180" s="1808" t="s">
        <v>1924</v>
      </c>
      <c r="E180" s="1809"/>
      <c r="F180" s="1811">
        <f>'Cap Outlay Deprec 26'!I18</f>
        <v>67217.899999999994</v>
      </c>
    </row>
    <row r="181" spans="1:7" ht="12" customHeight="1" x14ac:dyDescent="0.2">
      <c r="A181" s="1792"/>
      <c r="B181" s="1806"/>
      <c r="C181" s="1807"/>
      <c r="D181" s="1808" t="s">
        <v>2016</v>
      </c>
      <c r="E181" s="1809"/>
      <c r="F181" s="1811">
        <f>F179+F180</f>
        <v>1105037.8999999999</v>
      </c>
    </row>
    <row r="182" spans="1:7" ht="12" customHeight="1" x14ac:dyDescent="0.2">
      <c r="A182" s="1792"/>
      <c r="B182" s="1812"/>
      <c r="C182" s="1807"/>
      <c r="D182" s="1808" t="str">
        <f>D78</f>
        <v>9 Month ADA from District Average Daily Attendance/Prior General State Aid Inquiry 2017-2018</v>
      </c>
      <c r="E182" s="1809"/>
      <c r="F182" s="1813">
        <f>'PCTC-OEPP 27-28'!F78</f>
        <v>149.66999999999999</v>
      </c>
      <c r="G182" s="931"/>
    </row>
    <row r="183" spans="1:7" ht="12" customHeight="1" thickBot="1" x14ac:dyDescent="0.25">
      <c r="A183" s="1792"/>
      <c r="B183" s="1812"/>
      <c r="C183" s="1807"/>
      <c r="D183" s="1808" t="s">
        <v>2017</v>
      </c>
      <c r="E183" s="1809" t="s">
        <v>1626</v>
      </c>
      <c r="F183" s="1814">
        <f>F181/F182</f>
        <v>7383.1622903721518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sqref="A1:D1"/>
      <selection pane="bottomLeft" activeCell="B18" sqref="B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2102</v>
      </c>
      <c r="B17" s="2504" t="s">
        <v>2105</v>
      </c>
      <c r="C17" s="1957" t="s">
        <v>2103</v>
      </c>
      <c r="D17" s="1867">
        <v>8675</v>
      </c>
      <c r="E17" s="1562">
        <f t="shared" ref="E17:E141" si="1">IF(D17&lt;=25000,D17,IF(D17&gt;25000,25000,0))</f>
        <v>8675</v>
      </c>
      <c r="F17" s="1815">
        <f t="shared" si="0"/>
        <v>8675</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8675</v>
      </c>
      <c r="E141" s="1563">
        <f t="shared" si="1"/>
        <v>8675</v>
      </c>
      <c r="F141" s="1817">
        <f>SUM(F17:F140)</f>
        <v>8675</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sqref="A1:D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22243</v>
      </c>
      <c r="F10" s="975"/>
      <c r="G10" s="976"/>
      <c r="H10" s="162"/>
      <c r="I10" s="162"/>
    </row>
    <row r="11" spans="1:9" s="669" customFormat="1" ht="22.5" customHeight="1" x14ac:dyDescent="0.2">
      <c r="A11" s="2304" t="s">
        <v>1945</v>
      </c>
      <c r="B11" s="2305"/>
      <c r="C11" s="2305"/>
      <c r="D11" s="2306"/>
      <c r="E11" s="978">
        <v>8559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840738</v>
      </c>
      <c r="F19" s="1822"/>
      <c r="G19" s="1824">
        <f>'Expenditures 15-22'!K33-SUM('Expenditures 15-22'!G33,'Expenditures 15-22'!I33)+'Expenditures 15-22'!D229</f>
        <v>840738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6353</v>
      </c>
      <c r="F21" s="1825"/>
      <c r="G21" s="1828">
        <f>'Expenditures 15-22'!K42-SUM('Expenditures 15-22'!G42,'Expenditures 15-22'!I42)+'Expenditures 15-22'!K120-SUM('Expenditures 15-22'!G120,'Expenditures 15-22'!I120)+'Expenditures 15-22'!K180-SUM('Expenditures 15-22'!G180,'Expenditures 15-22'!I180)+'Expenditures 15-22'!D238</f>
        <v>6353</v>
      </c>
      <c r="H21" s="988"/>
      <c r="I21" s="162"/>
    </row>
    <row r="22" spans="1:9" s="669" customFormat="1" ht="12" customHeight="1" x14ac:dyDescent="0.2">
      <c r="A22" s="995" t="s">
        <v>585</v>
      </c>
      <c r="B22" s="996"/>
      <c r="C22" s="994">
        <v>2200</v>
      </c>
      <c r="D22" s="1825"/>
      <c r="E22" s="1827">
        <f>'Expenditures 15-22'!K47-SUM('Expenditures 15-22'!G47,'Expenditures 15-22'!I47)+'Expenditures 15-22'!D243</f>
        <v>8861</v>
      </c>
      <c r="F22" s="1825"/>
      <c r="G22" s="1828">
        <f>'Expenditures 15-22'!K47-SUM('Expenditures 15-22'!G47,'Expenditures 15-22'!I47)+'Expenditures 15-22'!D243</f>
        <v>8861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154982</v>
      </c>
      <c r="F23" s="1825"/>
      <c r="G23" s="1827">
        <f>'Expenditures 15-22'!K53-SUM('Expenditures 15-22'!G53,'Expenditures 15-22'!I53)+'Expenditures 15-22'!D257+'Expenditures 15-22'!K330-SUM('Expenditures 15-22'!G330,'Expenditures 15-22'!I330)</f>
        <v>154982</v>
      </c>
      <c r="H23" s="988"/>
      <c r="I23" s="162"/>
    </row>
    <row r="24" spans="1:9" s="669" customFormat="1" ht="12" customHeight="1" x14ac:dyDescent="0.2">
      <c r="A24" s="995" t="s">
        <v>587</v>
      </c>
      <c r="B24" s="996"/>
      <c r="C24" s="994">
        <v>2400</v>
      </c>
      <c r="D24" s="1825"/>
      <c r="E24" s="1827">
        <f>'Expenditures 15-22'!K57-SUM('Expenditures 15-22'!G57,'Expenditures 15-22'!I57)+'Expenditures 15-22'!D261</f>
        <v>74389</v>
      </c>
      <c r="F24" s="1825"/>
      <c r="G24" s="1828">
        <f>'Expenditures 15-22'!K57-SUM('Expenditures 15-22'!G57,'Expenditures 15-22'!I57)+'Expenditures 15-22'!D261</f>
        <v>74389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20811</v>
      </c>
      <c r="E27" s="1827">
        <f>E8</f>
        <v>0</v>
      </c>
      <c r="F27" s="1827">
        <f>'Expenditures 15-22'!K60-SUM('Expenditures 15-22'!G60,'Expenditures 15-22'!I60)+'Expenditures 15-22'!D264-E8</f>
        <v>20811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88010</v>
      </c>
      <c r="F28" s="1829">
        <f>'Expenditures 15-22'!K61-SUM('Expenditures 15-22'!G61,'Expenditures 15-22'!I61)+'Expenditures 15-22'!K124-SUM('Expenditures 15-22'!G124,'Expenditures 15-22'!I124)+'Expenditures 15-22'!D266-E9</f>
        <v>88010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74619</v>
      </c>
      <c r="F29" s="1825"/>
      <c r="G29" s="1828">
        <f>'Expenditures 15-22'!K62-SUM('Expenditures 15-22'!G62,'Expenditures 15-22'!I62)+'Expenditures 15-22'!K125-SUM('Expenditures 15-22'!G125,'Expenditures 15-22'!I125)+'Expenditures 15-22'!K182-SUM('Expenditures 15-22'!G182,'Expenditures 15-22'!I182)+'Expenditures 15-22'!D267</f>
        <v>74619</v>
      </c>
      <c r="H29" s="986"/>
    </row>
    <row r="30" spans="1:9" ht="12" customHeight="1" x14ac:dyDescent="0.2">
      <c r="A30" s="995" t="s">
        <v>102</v>
      </c>
      <c r="B30" s="998"/>
      <c r="C30" s="994">
        <v>2560</v>
      </c>
      <c r="D30" s="1825"/>
      <c r="E30" s="1827">
        <f>'Expenditures 15-22'!K63-SUM('Expenditures 15-22'!G63,'Expenditures 15-22'!I63)+'Expenditures 15-22'!D268-E10</f>
        <v>55007</v>
      </c>
      <c r="F30" s="1825"/>
      <c r="G30" s="1827">
        <f>'Expenditures 15-22'!K63-SUM('Expenditures 15-22'!G63,'Expenditures 15-22'!I63)+'Expenditures 15-22'!D268-E10</f>
        <v>55007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42</v>
      </c>
      <c r="F39" s="1825"/>
      <c r="G39" s="1827">
        <f>'Expenditures 15-22'!K75-SUM('Expenditures 15-22'!G75,'Expenditures 15-22'!I75)+'Expenditures 15-22'!K130-SUM('Expenditures 15-22'!G130,'Expenditures 15-22'!I130)+'Expenditures 15-22'!K185-SUM('Expenditures 15-22'!G185,'Expenditures 15-22'!I185)+'Expenditures 15-22'!D280</f>
        <v>42</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20811</v>
      </c>
      <c r="E41" s="1829">
        <f>SUM(E19:E40)</f>
        <v>1303001</v>
      </c>
      <c r="F41" s="1829">
        <f>SUM(F19:F39)</f>
        <v>108821</v>
      </c>
      <c r="G41" s="1829">
        <f>SUM(G19:G40)</f>
        <v>1214991</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20811</v>
      </c>
      <c r="F43" s="1830" t="s">
        <v>495</v>
      </c>
      <c r="G43" s="1831">
        <f>F41</f>
        <v>108821</v>
      </c>
    </row>
    <row r="44" spans="1:7" ht="12" customHeight="1" x14ac:dyDescent="0.2">
      <c r="A44" s="988"/>
      <c r="B44" s="162"/>
      <c r="C44" s="1002"/>
      <c r="D44" s="1830" t="s">
        <v>494</v>
      </c>
      <c r="E44" s="1831">
        <f>E41</f>
        <v>1303001</v>
      </c>
      <c r="F44" s="1830" t="s">
        <v>494</v>
      </c>
      <c r="G44" s="1831">
        <f>G41</f>
        <v>1214991</v>
      </c>
    </row>
    <row r="45" spans="1:7" ht="12" customHeight="1" x14ac:dyDescent="0.2">
      <c r="A45" s="988"/>
      <c r="B45" s="162"/>
      <c r="C45" s="162"/>
      <c r="D45" s="1832" t="s">
        <v>1063</v>
      </c>
      <c r="E45" s="1833">
        <f>(E43/E44)</f>
        <v>1.597159173323735E-2</v>
      </c>
      <c r="F45" s="1832" t="s">
        <v>1063</v>
      </c>
      <c r="G45" s="1833">
        <f>(G43/G44)</f>
        <v>8.9565272499960907E-2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sqref="A1:D1"/>
      <selection pane="bottomLeft" activeCell="L50" sqref="L50"/>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0" t="s">
        <v>1446</v>
      </c>
      <c r="B1" s="2310"/>
      <c r="C1" s="2310"/>
      <c r="D1" s="2310"/>
      <c r="E1" s="2310"/>
      <c r="F1" s="2310"/>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1" t="s">
        <v>1627</v>
      </c>
      <c r="B5" s="2312"/>
      <c r="C5" s="2313"/>
      <c r="D5" s="2313"/>
      <c r="E5" s="2313"/>
      <c r="F5" s="2313"/>
    </row>
    <row r="6" spans="1:10" ht="12" customHeight="1" x14ac:dyDescent="0.25">
      <c r="A6" s="1875"/>
      <c r="B6" s="1876"/>
      <c r="C6" s="2314" t="str">
        <f>COVER!A17</f>
        <v>St. Rose SD 14-15</v>
      </c>
      <c r="D6" s="2314"/>
      <c r="E6" s="2314"/>
      <c r="F6" s="1877"/>
    </row>
    <row r="7" spans="1:10" ht="11.25" customHeight="1" thickBot="1" x14ac:dyDescent="0.3">
      <c r="A7" s="1875"/>
      <c r="B7" s="1876"/>
      <c r="C7" s="2315">
        <f>COVER!A13</f>
        <v>13014141502</v>
      </c>
      <c r="D7" s="2315"/>
      <c r="E7" s="2315"/>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c r="F14" s="1892" t="s">
        <v>2090</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c r="F19" s="1892" t="s">
        <v>2091</v>
      </c>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c r="F30" s="1892" t="s">
        <v>2093</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0</v>
      </c>
      <c r="K34" s="1903">
        <f>SUM(H34:J34)</f>
        <v>40</v>
      </c>
    </row>
    <row r="35" spans="1:11" ht="12" customHeight="1" x14ac:dyDescent="0.2">
      <c r="A35" s="1896" t="s">
        <v>1459</v>
      </c>
      <c r="B35" s="1897"/>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8"/>
      <c r="B39" s="1898"/>
      <c r="C39" s="1898"/>
      <c r="D39" s="1898"/>
      <c r="E39" s="1898"/>
      <c r="F39" s="1898"/>
    </row>
    <row r="40" spans="1:11" s="1895" customFormat="1" ht="12" customHeight="1" x14ac:dyDescent="0.25">
      <c r="A40" s="1899" t="s">
        <v>1458</v>
      </c>
      <c r="B40" s="1900"/>
      <c r="C40" s="2324"/>
      <c r="D40" s="2324"/>
      <c r="E40" s="2324"/>
      <c r="F40" s="2325"/>
      <c r="H40" s="1904"/>
      <c r="I40" s="1904"/>
      <c r="J40" s="1904"/>
      <c r="K40" s="1904"/>
    </row>
    <row r="41" spans="1:11" s="1895" customFormat="1" ht="12" customHeight="1" x14ac:dyDescent="0.25">
      <c r="A41" s="2326"/>
      <c r="B41" s="2327"/>
      <c r="C41" s="2327"/>
      <c r="D41" s="2327"/>
      <c r="E41" s="2327"/>
      <c r="F41" s="2328"/>
      <c r="H41" s="1904"/>
      <c r="I41" s="1904"/>
      <c r="J41" s="1904"/>
      <c r="K41" s="1904"/>
    </row>
    <row r="42" spans="1:11" s="1895" customFormat="1" ht="12" customHeight="1" x14ac:dyDescent="0.25">
      <c r="A42" s="2326"/>
      <c r="B42" s="2327"/>
      <c r="C42" s="2327"/>
      <c r="D42" s="2327"/>
      <c r="E42" s="2327"/>
      <c r="F42" s="2328"/>
      <c r="H42" s="1904"/>
      <c r="I42" s="1904"/>
      <c r="J42" s="1904"/>
      <c r="K42" s="1904"/>
    </row>
    <row r="43" spans="1:11" s="1895" customFormat="1" ht="15" x14ac:dyDescent="0.25">
      <c r="A43" s="2318"/>
      <c r="B43" s="2319"/>
      <c r="C43" s="2319"/>
      <c r="D43" s="2319"/>
      <c r="E43" s="2319"/>
      <c r="F43" s="2320"/>
      <c r="H43" s="1904"/>
      <c r="I43" s="1904"/>
      <c r="J43" s="1904"/>
      <c r="K43" s="1904"/>
    </row>
    <row r="44" spans="1:11" s="1895" customFormat="1" ht="12" hidden="1" customHeight="1" x14ac:dyDescent="0.25">
      <c r="A44" s="2318"/>
      <c r="B44" s="2319"/>
      <c r="C44" s="2319"/>
      <c r="D44" s="2319"/>
      <c r="E44" s="2319"/>
      <c r="F44" s="232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sqref="A1:D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4" t="str">
        <f>COVER!A17</f>
        <v>St. Rose SD 14-15</v>
      </c>
      <c r="J6" s="2335"/>
      <c r="Q6" s="1686"/>
    </row>
    <row r="7" spans="1:17" x14ac:dyDescent="0.2">
      <c r="A7" s="2336" t="s">
        <v>924</v>
      </c>
      <c r="B7" s="2337"/>
      <c r="C7" s="2337"/>
      <c r="D7" s="2337"/>
      <c r="E7" s="2338"/>
      <c r="F7" s="1018"/>
      <c r="G7" s="1010"/>
      <c r="H7" s="1017" t="s">
        <v>390</v>
      </c>
      <c r="I7" s="2339">
        <f>COVER!A13</f>
        <v>13014141502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64736</v>
      </c>
      <c r="F12" s="1040"/>
      <c r="G12" s="1834">
        <f t="shared" ref="G12:G18" si="0">SUM(E12:F12)</f>
        <v>64736</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64736</v>
      </c>
      <c r="F19" s="1836">
        <f t="shared" si="2"/>
        <v>0</v>
      </c>
      <c r="G19" s="1836">
        <f t="shared" si="2"/>
        <v>64736</v>
      </c>
      <c r="H19" s="1836">
        <f t="shared" si="2"/>
        <v>0</v>
      </c>
      <c r="I19" s="1836">
        <f t="shared" si="2"/>
        <v>0</v>
      </c>
      <c r="J19" s="1836">
        <f t="shared" si="2"/>
        <v>0</v>
      </c>
    </row>
    <row r="20" spans="1:10" ht="13.5" thickTop="1" x14ac:dyDescent="0.2">
      <c r="A20" s="1036">
        <v>9</v>
      </c>
      <c r="B20" s="2346" t="s">
        <v>1703</v>
      </c>
      <c r="C20" s="2346"/>
      <c r="D20" s="2347"/>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sqref="A1:D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2094</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St. Rose SD 14-15</v>
      </c>
    </row>
    <row r="65" spans="2:2" x14ac:dyDescent="0.2">
      <c r="B65" s="1071">
        <f>COVER!A13</f>
        <v>13014141502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sqref="A1:D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D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50178" r:id="rId4">
          <objectPr defaultSize="0" r:id="rId5">
            <anchor moveWithCells="1">
              <from>
                <xdr:col>1</xdr:col>
                <xdr:colOff>133350</xdr:colOff>
                <xdr:row>4</xdr:row>
                <xdr:rowOff>57150</xdr:rowOff>
              </from>
              <to>
                <xdr:col>1</xdr:col>
                <xdr:colOff>952500</xdr:colOff>
                <xdr:row>7</xdr:row>
                <xdr:rowOff>57150</xdr:rowOff>
              </to>
            </anchor>
          </objectPr>
        </oleObject>
      </mc:Choice>
      <mc:Fallback>
        <oleObject progId="Packager Shell Object" dvAspect="DVASPECT_ICON" shapeId="5017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1056279</v>
      </c>
      <c r="C8" s="1838">
        <f>'Acct Summary 7-8'!D8</f>
        <v>86561</v>
      </c>
      <c r="D8" s="1838">
        <f>'Acct Summary 7-8'!F8</f>
        <v>124167</v>
      </c>
      <c r="E8" s="1838">
        <f>'Acct Summary 7-8'!I8</f>
        <v>15332</v>
      </c>
      <c r="F8" s="1838">
        <f>SUM(B8:E8)</f>
        <v>1282339</v>
      </c>
    </row>
    <row r="9" spans="1:8" s="1080" customFormat="1" ht="14.25" customHeight="1" thickBot="1" x14ac:dyDescent="0.25">
      <c r="A9" s="1079" t="s">
        <v>1436</v>
      </c>
      <c r="B9" s="1839">
        <f>'Acct Summary 7-8'!C17</f>
        <v>1086098</v>
      </c>
      <c r="C9" s="1839">
        <f>'Acct Summary 7-8'!D17</f>
        <v>78666</v>
      </c>
      <c r="D9" s="1839">
        <f>'Acct Summary 7-8'!F17</f>
        <v>71733</v>
      </c>
      <c r="E9" s="1838"/>
      <c r="F9" s="1838">
        <f>SUM(B9:E9)</f>
        <v>1236497</v>
      </c>
    </row>
    <row r="10" spans="1:8" s="1080" customFormat="1" ht="14.25" thickTop="1" thickBot="1" x14ac:dyDescent="0.25">
      <c r="A10" s="1081" t="s">
        <v>1437</v>
      </c>
      <c r="B10" s="1840">
        <f>(B8-B9)</f>
        <v>-29819</v>
      </c>
      <c r="C10" s="1840">
        <f>(C8-C9)</f>
        <v>7895</v>
      </c>
      <c r="D10" s="1840">
        <f>(D8-D9)</f>
        <v>52434</v>
      </c>
      <c r="E10" s="1839">
        <f>(E8-E9)</f>
        <v>15332</v>
      </c>
      <c r="F10" s="1841">
        <f>SUM(F8-F9)</f>
        <v>45842</v>
      </c>
    </row>
    <row r="11" spans="1:8" s="1080" customFormat="1" ht="14.25" thickTop="1" thickBot="1" x14ac:dyDescent="0.25">
      <c r="A11" s="1082" t="s">
        <v>1785</v>
      </c>
      <c r="B11" s="1842">
        <f>'Acct Summary 7-8'!C81</f>
        <v>232936</v>
      </c>
      <c r="C11" s="1842">
        <f>'Acct Summary 7-8'!D81</f>
        <v>158552</v>
      </c>
      <c r="D11" s="1842">
        <f>'Acct Summary 7-8'!F81</f>
        <v>203793</v>
      </c>
      <c r="E11" s="1842">
        <f>'Acct Summary 7-8'!I81</f>
        <v>150332</v>
      </c>
      <c r="F11" s="1843">
        <f>SUM(B11:E11)</f>
        <v>745613</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13014141502</v>
      </c>
    </row>
    <row r="3" spans="1:2" x14ac:dyDescent="0.2">
      <c r="A3" t="s">
        <v>1013</v>
      </c>
      <c r="B3" s="138" t="str">
        <f>COVER!A15</f>
        <v>Cinton</v>
      </c>
    </row>
    <row r="4" spans="1:2" x14ac:dyDescent="0.2">
      <c r="A4" t="s">
        <v>1064</v>
      </c>
      <c r="B4" s="138" t="str">
        <f>COVER!A17</f>
        <v>St. Rose SD 14-15</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066-005248</v>
      </c>
    </row>
    <row r="16" spans="1:2" x14ac:dyDescent="0.2">
      <c r="A16" t="s">
        <v>442</v>
      </c>
      <c r="B16" s="138" t="str">
        <f>COVER!T13</f>
        <v>Moore &amp; Simonin, PC</v>
      </c>
    </row>
    <row r="17" spans="1:2" x14ac:dyDescent="0.2">
      <c r="A17" t="s">
        <v>939</v>
      </c>
      <c r="B17" s="138" t="str">
        <f>COVER!T15</f>
        <v>Robert E. Moore, CPA</v>
      </c>
    </row>
    <row r="18" spans="1:2" x14ac:dyDescent="0.2">
      <c r="A18" t="s">
        <v>1212</v>
      </c>
      <c r="B18" s="138" t="str">
        <f>COVER!T17</f>
        <v>3636 North Belt West</v>
      </c>
    </row>
    <row r="19" spans="1:2" x14ac:dyDescent="0.2">
      <c r="A19" t="s">
        <v>941</v>
      </c>
      <c r="B19" s="138" t="str">
        <f>COVER!T25</f>
        <v>mooresimonin@mrsaccountants.com</v>
      </c>
    </row>
    <row r="20" spans="1:2" x14ac:dyDescent="0.2">
      <c r="A20" t="s">
        <v>942</v>
      </c>
      <c r="B20" s="138" t="str">
        <f>COVER!T19</f>
        <v>Belleville</v>
      </c>
    </row>
    <row r="21" spans="1:2" x14ac:dyDescent="0.2">
      <c r="A21" t="s">
        <v>500</v>
      </c>
      <c r="B21" s="138" t="str">
        <f>COVER!X19</f>
        <v>IL</v>
      </c>
    </row>
    <row r="22" spans="1:2" x14ac:dyDescent="0.2">
      <c r="A22" t="s">
        <v>943</v>
      </c>
      <c r="B22" s="138">
        <f>COVER!Z19</f>
        <v>62226</v>
      </c>
    </row>
    <row r="23" spans="1:2" x14ac:dyDescent="0.2">
      <c r="A23" t="s">
        <v>1214</v>
      </c>
      <c r="B23" s="138" t="str">
        <f>COVER!T21</f>
        <v>618-233-5049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249402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253002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20066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20066</v>
      </c>
      <c r="C91" s="2" t="s">
        <v>594</v>
      </c>
      <c r="D91" s="2" t="str">
        <f t="shared" si="0"/>
        <v>Error?</v>
      </c>
    </row>
    <row r="92" spans="1:4" x14ac:dyDescent="0.2">
      <c r="A92" s="5">
        <v>31</v>
      </c>
      <c r="B92" s="138">
        <f>'Assets-Liab 5-6'!C39</f>
        <v>232936</v>
      </c>
      <c r="D92" s="2" t="str">
        <f t="shared" si="0"/>
        <v>Error?</v>
      </c>
    </row>
    <row r="93" spans="1:4" x14ac:dyDescent="0.2">
      <c r="A93" s="5">
        <v>32</v>
      </c>
      <c r="B93" s="138">
        <f>'Assets-Liab 5-6'!C41</f>
        <v>253002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158552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158552</v>
      </c>
      <c r="D123" s="2" t="str">
        <f t="shared" si="0"/>
        <v>Error?</v>
      </c>
    </row>
    <row r="124" spans="1:4" x14ac:dyDescent="0.2">
      <c r="A124" s="5">
        <v>63</v>
      </c>
      <c r="B124" s="138">
        <f>'Assets-Liab 5-6'!D41</f>
        <v>158552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203793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203793</v>
      </c>
      <c r="D170" s="2" t="str">
        <f t="shared" si="1"/>
        <v>Error?</v>
      </c>
    </row>
    <row r="171" spans="1:4" x14ac:dyDescent="0.2">
      <c r="A171" s="5">
        <v>110</v>
      </c>
      <c r="B171" s="138">
        <f>'Assets-Liab 5-6'!F41</f>
        <v>203793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232342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122301</v>
      </c>
      <c r="D189" s="2" t="str">
        <f t="shared" si="1"/>
        <v>Error?</v>
      </c>
    </row>
    <row r="190" spans="1:4" x14ac:dyDescent="0.2">
      <c r="A190" s="5">
        <v>129</v>
      </c>
      <c r="B190" s="138">
        <f>'Assets-Liab 5-6'!G41</f>
        <v>232342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1585778</v>
      </c>
      <c r="D274" s="2" t="str">
        <f t="shared" si="3"/>
        <v>Error?</v>
      </c>
    </row>
    <row r="275" spans="1:4" x14ac:dyDescent="0.2">
      <c r="A275" s="5">
        <v>214</v>
      </c>
      <c r="B275" s="138">
        <f>'Assets-Liab 5-6'!M18</f>
        <v>0</v>
      </c>
      <c r="D275" s="2" t="str">
        <f t="shared" si="3"/>
        <v>Error?</v>
      </c>
    </row>
    <row r="276" spans="1:4" x14ac:dyDescent="0.2">
      <c r="A276" s="5">
        <v>215</v>
      </c>
      <c r="B276" s="138">
        <f>'Assets-Liab 5-6'!M19</f>
        <v>676414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2262192</v>
      </c>
      <c r="C279" s="2" t="s">
        <v>594</v>
      </c>
      <c r="D279" s="2" t="str">
        <f t="shared" si="3"/>
        <v>Error?</v>
      </c>
    </row>
    <row r="280" spans="1:4" x14ac:dyDescent="0.2">
      <c r="A280" s="5">
        <v>219</v>
      </c>
      <c r="B280" s="138">
        <f>'Assets-Liab 5-6'!M40</f>
        <v>2262192</v>
      </c>
      <c r="D280" s="2" t="str">
        <f t="shared" si="3"/>
        <v>Error?</v>
      </c>
    </row>
    <row r="281" spans="1:4" x14ac:dyDescent="0.2">
      <c r="A281" s="5">
        <v>220</v>
      </c>
      <c r="B281" s="138">
        <f>'Assets-Liab 5-6'!M41</f>
        <v>2262192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655681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11600</v>
      </c>
      <c r="D718" s="2" t="str">
        <f t="shared" si="10"/>
        <v>Error?</v>
      </c>
    </row>
    <row r="719" spans="1:4" x14ac:dyDescent="0.2">
      <c r="A719" s="5">
        <v>658</v>
      </c>
      <c r="B719" s="138">
        <f>'Expenditures 15-22'!C15</f>
        <v>2739</v>
      </c>
      <c r="D719" s="2" t="str">
        <f t="shared" si="10"/>
        <v>Error?</v>
      </c>
    </row>
    <row r="720" spans="1:4" x14ac:dyDescent="0.2">
      <c r="A720" s="5">
        <v>659</v>
      </c>
      <c r="B720" s="138">
        <f>'Expenditures 15-22'!C33</f>
        <v>765580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2550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2550</v>
      </c>
      <c r="C731" s="2" t="s">
        <v>594</v>
      </c>
      <c r="D731" s="2" t="str">
        <f t="shared" si="10"/>
        <v>Error?</v>
      </c>
    </row>
    <row r="732" spans="1:4" x14ac:dyDescent="0.2">
      <c r="A732" s="5">
        <v>671</v>
      </c>
      <c r="B732" s="138">
        <f>'Expenditures 15-22'!C49</f>
        <v>600</v>
      </c>
      <c r="D732" s="2" t="str">
        <f t="shared" si="10"/>
        <v>Error?</v>
      </c>
    </row>
    <row r="733" spans="1:4" x14ac:dyDescent="0.2">
      <c r="A733" s="5">
        <v>672</v>
      </c>
      <c r="B733" s="138">
        <f>'Expenditures 15-22'!C50</f>
        <v>57209</v>
      </c>
      <c r="D733" s="2" t="str">
        <f t="shared" si="10"/>
        <v>Error?</v>
      </c>
    </row>
    <row r="734" spans="1:4" x14ac:dyDescent="0.2">
      <c r="A734" s="5">
        <v>673</v>
      </c>
      <c r="B734" s="138">
        <f>'Expenditures 15-22'!C53</f>
        <v>57809</v>
      </c>
      <c r="C734" s="2" t="s">
        <v>594</v>
      </c>
      <c r="D734" s="2" t="str">
        <f t="shared" si="10"/>
        <v>Error?</v>
      </c>
    </row>
    <row r="735" spans="1:4" x14ac:dyDescent="0.2">
      <c r="A735" s="5">
        <v>674</v>
      </c>
      <c r="B735" s="138">
        <f>'Expenditures 15-22'!C55</f>
        <v>63570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63570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9915</v>
      </c>
      <c r="D739" s="2" t="str">
        <f t="shared" si="10"/>
        <v>Error?</v>
      </c>
    </row>
    <row r="740" spans="1:4" x14ac:dyDescent="0.2">
      <c r="A740" s="5">
        <v>679</v>
      </c>
      <c r="B740" s="138">
        <f>'Expenditures 15-22'!C61</f>
        <v>2471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35503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47889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171818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937398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9531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89</v>
      </c>
      <c r="D776" s="2" t="str">
        <f t="shared" si="11"/>
        <v>Error?</v>
      </c>
    </row>
    <row r="777" spans="1:4" x14ac:dyDescent="0.2">
      <c r="A777" s="5">
        <v>716</v>
      </c>
      <c r="B777" s="138">
        <f>'Expenditures 15-22'!D15</f>
        <v>112</v>
      </c>
      <c r="D777" s="2" t="str">
        <f t="shared" si="11"/>
        <v>Error?</v>
      </c>
    </row>
    <row r="778" spans="1:4" x14ac:dyDescent="0.2">
      <c r="A778" s="5">
        <v>717</v>
      </c>
      <c r="B778" s="138">
        <f>'Expenditures 15-22'!D33</f>
        <v>10550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256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835</v>
      </c>
      <c r="D791" s="2" t="str">
        <f t="shared" si="11"/>
        <v>Error?</v>
      </c>
    </row>
    <row r="792" spans="1:4" x14ac:dyDescent="0.2">
      <c r="A792" s="5">
        <v>731</v>
      </c>
      <c r="B792" s="138">
        <f>'Expenditures 15-22'!D53</f>
        <v>835</v>
      </c>
      <c r="C792" s="2" t="s">
        <v>594</v>
      </c>
      <c r="D792" s="2" t="str">
        <f t="shared" si="11"/>
        <v>Error?</v>
      </c>
    </row>
    <row r="793" spans="1:4" x14ac:dyDescent="0.2">
      <c r="A793" s="5">
        <v>732</v>
      </c>
      <c r="B793" s="138">
        <f>'Expenditures 15-22'!D55</f>
        <v>510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510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1601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12151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5600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10108</v>
      </c>
      <c r="C836" s="2" t="s">
        <v>594</v>
      </c>
      <c r="D836" s="2" t="str">
        <f t="shared" si="12"/>
        <v>Error?</v>
      </c>
    </row>
    <row r="837" spans="1:4" x14ac:dyDescent="0.2">
      <c r="A837" s="5">
        <v>776</v>
      </c>
      <c r="B837" s="138">
        <f>'Expenditures 15-22'!E36</f>
        <v>6353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6353</v>
      </c>
      <c r="C843" s="2" t="s">
        <v>594</v>
      </c>
      <c r="D843" s="2" t="str">
        <f t="shared" si="12"/>
        <v>Error?</v>
      </c>
    </row>
    <row r="844" spans="1:4" x14ac:dyDescent="0.2">
      <c r="A844" s="5">
        <v>783</v>
      </c>
      <c r="B844" s="138">
        <f>'Expenditures 15-22'!E44</f>
        <v>2124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1112</v>
      </c>
      <c r="D846" s="2" t="str">
        <f t="shared" si="12"/>
        <v>Error?</v>
      </c>
    </row>
    <row r="847" spans="1:4" x14ac:dyDescent="0.2">
      <c r="A847" s="5">
        <v>786</v>
      </c>
      <c r="B847" s="138">
        <f>'Expenditures 15-22'!E47</f>
        <v>3236</v>
      </c>
      <c r="C847" s="2" t="s">
        <v>594</v>
      </c>
      <c r="D847" s="2" t="str">
        <f t="shared" si="12"/>
        <v>Error?</v>
      </c>
    </row>
    <row r="848" spans="1:4" x14ac:dyDescent="0.2">
      <c r="A848" s="5">
        <v>787</v>
      </c>
      <c r="B848" s="138">
        <f>'Expenditures 15-22'!E49</f>
        <v>4747</v>
      </c>
      <c r="D848" s="2" t="str">
        <f t="shared" si="12"/>
        <v>Error?</v>
      </c>
    </row>
    <row r="849" spans="1:4" x14ac:dyDescent="0.2">
      <c r="A849" s="5">
        <v>788</v>
      </c>
      <c r="B849" s="138">
        <f>'Expenditures 15-22'!E50</f>
        <v>3619</v>
      </c>
      <c r="D849" s="2" t="str">
        <f t="shared" si="12"/>
        <v>Error?</v>
      </c>
    </row>
    <row r="850" spans="1:4" x14ac:dyDescent="0.2">
      <c r="A850" s="5">
        <v>789</v>
      </c>
      <c r="B850" s="138">
        <f>'Expenditures 15-22'!E53</f>
        <v>8366</v>
      </c>
      <c r="C850" s="2" t="s">
        <v>594</v>
      </c>
      <c r="D850" s="2" t="str">
        <f t="shared" si="12"/>
        <v>Error?</v>
      </c>
    </row>
    <row r="851" spans="1:4" x14ac:dyDescent="0.2">
      <c r="A851" s="5">
        <v>790</v>
      </c>
      <c r="B851" s="138">
        <f>'Expenditures 15-22'!E55</f>
        <v>4156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4156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9036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2026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11062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33173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44331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31939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1612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34455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2782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2782</v>
      </c>
      <c r="C905" s="2" t="s">
        <v>594</v>
      </c>
      <c r="D905" s="2" t="str">
        <f t="shared" si="13"/>
        <v>Error?</v>
      </c>
    </row>
    <row r="906" spans="1:4" x14ac:dyDescent="0.2">
      <c r="A906" s="5">
        <v>845</v>
      </c>
      <c r="B906" s="138">
        <f>'Expenditures 15-22'!F49</f>
        <v>1529</v>
      </c>
      <c r="D906" s="2" t="str">
        <f t="shared" si="13"/>
        <v>Error?</v>
      </c>
    </row>
    <row r="907" spans="1:4" x14ac:dyDescent="0.2">
      <c r="A907" s="5">
        <v>846</v>
      </c>
      <c r="B907" s="138">
        <f>'Expenditures 15-22'!F50</f>
        <v>585</v>
      </c>
      <c r="D907" s="2" t="str">
        <f t="shared" si="13"/>
        <v>Error?</v>
      </c>
    </row>
    <row r="908" spans="1:4" x14ac:dyDescent="0.2">
      <c r="A908" s="5">
        <v>847</v>
      </c>
      <c r="B908" s="138">
        <f>'Expenditures 15-22'!F53</f>
        <v>2114</v>
      </c>
      <c r="C908" s="2" t="s">
        <v>594</v>
      </c>
      <c r="D908" s="2" t="str">
        <f t="shared" si="13"/>
        <v>Error?</v>
      </c>
    </row>
    <row r="909" spans="1:4" x14ac:dyDescent="0.2">
      <c r="A909" s="5">
        <v>848</v>
      </c>
      <c r="B909" s="138">
        <f>'Expenditures 15-22'!F55</f>
        <v>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33364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33364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38294</v>
      </c>
      <c r="C929" s="2" t="s">
        <v>594</v>
      </c>
      <c r="D929" s="2" t="str">
        <f t="shared" si="13"/>
        <v>Error?</v>
      </c>
    </row>
    <row r="930" spans="1:4" x14ac:dyDescent="0.2">
      <c r="A930" s="5">
        <v>869</v>
      </c>
      <c r="B930" s="138">
        <f>'Expenditures 15-22'!F75</f>
        <v>42</v>
      </c>
      <c r="D930" s="2" t="str">
        <f t="shared" si="13"/>
        <v>Error?</v>
      </c>
    </row>
    <row r="931" spans="1:4" x14ac:dyDescent="0.2">
      <c r="A931" s="5">
        <v>870</v>
      </c>
      <c r="B931" s="138">
        <f>'Expenditures 15-22'!F114</f>
        <v>72791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1793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1793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1863</v>
      </c>
      <c r="D1022" s="2" t="str">
        <f t="shared" si="14"/>
        <v>Error?</v>
      </c>
    </row>
    <row r="1023" spans="1:4" x14ac:dyDescent="0.2">
      <c r="A1023" s="5">
        <v>962</v>
      </c>
      <c r="B1023" s="138">
        <f>'Expenditures 15-22'!H50</f>
        <v>938</v>
      </c>
      <c r="D1023" s="2" t="str">
        <f t="shared" ref="D1023:D1086" si="15">IF(ISBLANK(B1023),"OK",IF(A1023-B1023=0,"OK","Error?"))</f>
        <v>Error?</v>
      </c>
    </row>
    <row r="1024" spans="1:4" x14ac:dyDescent="0.2">
      <c r="A1024" s="5">
        <v>963</v>
      </c>
      <c r="B1024" s="138">
        <f>'Expenditures 15-22'!H53</f>
        <v>2801</v>
      </c>
      <c r="C1024" s="2" t="s">
        <v>594</v>
      </c>
      <c r="D1024" s="2" t="str">
        <f t="shared" si="15"/>
        <v>Error?</v>
      </c>
    </row>
    <row r="1025" spans="1:4" x14ac:dyDescent="0.2">
      <c r="A1025" s="5">
        <v>964</v>
      </c>
      <c r="B1025" s="138">
        <f>'Expenditures 15-22'!H55</f>
        <v>235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3036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12369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17198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701574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20694</v>
      </c>
      <c r="C1106" s="2" t="s">
        <v>594</v>
      </c>
      <c r="D1106" s="2" t="str">
        <f t="shared" si="16"/>
        <v>Error?</v>
      </c>
    </row>
    <row r="1107" spans="1:4" x14ac:dyDescent="0.2">
      <c r="A1107" s="5">
        <v>1046</v>
      </c>
      <c r="B1107" s="138">
        <f>'Expenditures 15-22'!K15</f>
        <v>2851</v>
      </c>
      <c r="C1107" s="2" t="s">
        <v>594</v>
      </c>
      <c r="D1107" s="2" t="str">
        <f t="shared" si="16"/>
        <v>Error?</v>
      </c>
    </row>
    <row r="1108" spans="1:4" x14ac:dyDescent="0.2">
      <c r="A1108" s="5">
        <v>1047</v>
      </c>
      <c r="B1108" s="138">
        <f>'Expenditures 15-22'!K33</f>
        <v>822486</v>
      </c>
      <c r="C1108" s="2" t="s">
        <v>594</v>
      </c>
      <c r="D1108" s="2" t="str">
        <f t="shared" si="16"/>
        <v>Error?</v>
      </c>
    </row>
    <row r="1109" spans="1:4" x14ac:dyDescent="0.2">
      <c r="A1109" s="5">
        <v>1048</v>
      </c>
      <c r="B1109" s="138">
        <f>'Expenditures 15-22'!K36</f>
        <v>6353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6353</v>
      </c>
      <c r="C1115" s="2" t="s">
        <v>594</v>
      </c>
      <c r="D1115" s="2" t="str">
        <f t="shared" si="16"/>
        <v>Error?</v>
      </c>
    </row>
    <row r="1116" spans="1:4" x14ac:dyDescent="0.2">
      <c r="A1116" s="5">
        <v>1055</v>
      </c>
      <c r="B1116" s="138">
        <f>'Expenditures 15-22'!K44</f>
        <v>4930</v>
      </c>
      <c r="C1116" s="2" t="s">
        <v>594</v>
      </c>
      <c r="D1116" s="2" t="str">
        <f t="shared" si="16"/>
        <v>Error?</v>
      </c>
    </row>
    <row r="1117" spans="1:4" x14ac:dyDescent="0.2">
      <c r="A1117" s="5">
        <v>1056</v>
      </c>
      <c r="B1117" s="138">
        <f>'Expenditures 15-22'!K45</f>
        <v>3461</v>
      </c>
      <c r="C1117" s="2" t="s">
        <v>594</v>
      </c>
      <c r="D1117" s="2" t="str">
        <f t="shared" si="16"/>
        <v>Error?</v>
      </c>
    </row>
    <row r="1118" spans="1:4" x14ac:dyDescent="0.2">
      <c r="A1118" s="5">
        <v>1057</v>
      </c>
      <c r="B1118" s="138">
        <f>'Expenditures 15-22'!K46</f>
        <v>1112</v>
      </c>
      <c r="C1118" s="2" t="s">
        <v>594</v>
      </c>
      <c r="D1118" s="2" t="str">
        <f t="shared" si="16"/>
        <v>Error?</v>
      </c>
    </row>
    <row r="1119" spans="1:4" x14ac:dyDescent="0.2">
      <c r="A1119" s="5">
        <v>1058</v>
      </c>
      <c r="B1119" s="138">
        <f>'Expenditures 15-22'!K47</f>
        <v>9503</v>
      </c>
      <c r="C1119" s="2" t="s">
        <v>594</v>
      </c>
      <c r="D1119" s="2" t="str">
        <f t="shared" si="16"/>
        <v>Error?</v>
      </c>
    </row>
    <row r="1120" spans="1:4" x14ac:dyDescent="0.2">
      <c r="A1120" s="5">
        <v>1059</v>
      </c>
      <c r="B1120" s="138">
        <f>'Expenditures 15-22'!K49</f>
        <v>8739</v>
      </c>
      <c r="C1120" s="2" t="s">
        <v>594</v>
      </c>
      <c r="D1120" s="2" t="str">
        <f t="shared" si="16"/>
        <v>Error?</v>
      </c>
    </row>
    <row r="1121" spans="1:4" x14ac:dyDescent="0.2">
      <c r="A1121" s="5">
        <v>1060</v>
      </c>
      <c r="B1121" s="138">
        <f>'Expenditures 15-22'!K50</f>
        <v>64736</v>
      </c>
      <c r="C1121" s="2" t="s">
        <v>594</v>
      </c>
      <c r="D1121" s="2" t="str">
        <f t="shared" si="16"/>
        <v>Error?</v>
      </c>
    </row>
    <row r="1122" spans="1:4" x14ac:dyDescent="0.2">
      <c r="A1122" s="5">
        <v>1061</v>
      </c>
      <c r="B1122" s="138">
        <f>'Expenditures 15-22'!K53</f>
        <v>73475</v>
      </c>
      <c r="C1122" s="2" t="s">
        <v>594</v>
      </c>
      <c r="D1122" s="2" t="str">
        <f t="shared" si="16"/>
        <v>Error?</v>
      </c>
    </row>
    <row r="1123" spans="1:4" x14ac:dyDescent="0.2">
      <c r="A1123" s="5">
        <v>1062</v>
      </c>
      <c r="B1123" s="138">
        <f>'Expenditures 15-22'!K55</f>
        <v>68505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68505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18951</v>
      </c>
      <c r="C1127" s="2" t="s">
        <v>594</v>
      </c>
      <c r="D1127" s="2" t="str">
        <f t="shared" si="16"/>
        <v>Error?</v>
      </c>
    </row>
    <row r="1128" spans="1:4" x14ac:dyDescent="0.2">
      <c r="A1128" s="5">
        <v>1067</v>
      </c>
      <c r="B1128" s="138">
        <f>'Expenditures 15-22'!K61</f>
        <v>2471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70893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92315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250151</v>
      </c>
      <c r="C1143" s="2" t="s">
        <v>594</v>
      </c>
      <c r="D1143" s="2" t="str">
        <f t="shared" si="16"/>
        <v>Error?</v>
      </c>
    </row>
    <row r="1144" spans="1:4" x14ac:dyDescent="0.2">
      <c r="A1144" s="5">
        <v>1083</v>
      </c>
      <c r="B1144" s="138">
        <f>'Expenditures 15-22'!K75</f>
        <v>42</v>
      </c>
      <c r="C1144" s="2" t="s">
        <v>594</v>
      </c>
      <c r="D1144" s="2" t="str">
        <f t="shared" si="16"/>
        <v>Error?</v>
      </c>
    </row>
    <row r="1145" spans="1:4" x14ac:dyDescent="0.2">
      <c r="A1145" s="5">
        <v>1084</v>
      </c>
      <c r="B1145" s="138">
        <f>'Expenditures 15-22'!K102</f>
        <v>13419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1086098</v>
      </c>
      <c r="C1152" s="2" t="s">
        <v>594</v>
      </c>
      <c r="D1152" s="2" t="str">
        <f t="shared" si="17"/>
        <v>Error?</v>
      </c>
    </row>
    <row r="1153" spans="1:4" x14ac:dyDescent="0.2">
      <c r="A1153" s="5">
        <v>1092</v>
      </c>
      <c r="B1153" s="138">
        <f>'Expenditures 15-22'!K115</f>
        <v>-29819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32714</v>
      </c>
      <c r="D1221" s="2" t="str">
        <f t="shared" si="18"/>
        <v>Error?</v>
      </c>
    </row>
    <row r="1222" spans="1:4" x14ac:dyDescent="0.2">
      <c r="A1222" s="10">
        <v>1161</v>
      </c>
      <c r="D1222" s="2" t="str">
        <f t="shared" si="18"/>
        <v>OK</v>
      </c>
    </row>
    <row r="1223" spans="1:4" x14ac:dyDescent="0.2">
      <c r="A1223" s="5">
        <v>1162</v>
      </c>
      <c r="B1223" s="138">
        <f>'Expenditures 15-22'!C127</f>
        <v>32714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32714</v>
      </c>
      <c r="C1225" s="2" t="s">
        <v>594</v>
      </c>
      <c r="D1225" s="2" t="str">
        <f t="shared" si="18"/>
        <v>Error?</v>
      </c>
    </row>
    <row r="1226" spans="1:4" x14ac:dyDescent="0.2">
      <c r="A1226" s="5">
        <v>1165</v>
      </c>
      <c r="B1226" s="138">
        <f>'Expenditures 15-22'!C151</f>
        <v>32714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6243</v>
      </c>
      <c r="D1229" s="2" t="str">
        <f t="shared" si="18"/>
        <v>Error?</v>
      </c>
    </row>
    <row r="1230" spans="1:4" x14ac:dyDescent="0.2">
      <c r="A1230" s="10">
        <v>1169</v>
      </c>
      <c r="D1230" s="2" t="str">
        <f t="shared" si="18"/>
        <v>OK</v>
      </c>
    </row>
    <row r="1231" spans="1:4" x14ac:dyDescent="0.2">
      <c r="A1231" s="5">
        <v>1170</v>
      </c>
      <c r="B1231" s="138">
        <f>'Expenditures 15-22'!D127</f>
        <v>6243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6243</v>
      </c>
      <c r="C1233" s="2" t="s">
        <v>594</v>
      </c>
      <c r="D1233" s="2" t="str">
        <f t="shared" si="18"/>
        <v>Error?</v>
      </c>
    </row>
    <row r="1234" spans="1:4" x14ac:dyDescent="0.2">
      <c r="A1234" s="5">
        <v>1173</v>
      </c>
      <c r="B1234" s="138">
        <f>'Expenditures 15-22'!D151</f>
        <v>6243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15321</v>
      </c>
      <c r="D1237" s="2" t="str">
        <f t="shared" si="18"/>
        <v>Error?</v>
      </c>
    </row>
    <row r="1238" spans="1:4" x14ac:dyDescent="0.2">
      <c r="A1238" s="10">
        <v>1177</v>
      </c>
      <c r="D1238" s="2" t="str">
        <f t="shared" si="18"/>
        <v>OK</v>
      </c>
    </row>
    <row r="1239" spans="1:4" x14ac:dyDescent="0.2">
      <c r="A1239" s="5">
        <v>1178</v>
      </c>
      <c r="B1239" s="138">
        <f>'Expenditures 15-22'!E127</f>
        <v>15321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15321</v>
      </c>
      <c r="C1241" s="2" t="s">
        <v>594</v>
      </c>
      <c r="D1241" s="2" t="str">
        <f t="shared" si="18"/>
        <v>Error?</v>
      </c>
    </row>
    <row r="1242" spans="1:4" x14ac:dyDescent="0.2">
      <c r="A1242" s="5">
        <v>1181</v>
      </c>
      <c r="B1242" s="138">
        <f>'Expenditures 15-22'!E151</f>
        <v>15321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24388</v>
      </c>
      <c r="D1245" s="2" t="str">
        <f t="shared" si="18"/>
        <v>Error?</v>
      </c>
    </row>
    <row r="1246" spans="1:4" x14ac:dyDescent="0.2">
      <c r="A1246" s="10">
        <v>1185</v>
      </c>
      <c r="D1246" s="2" t="str">
        <f t="shared" si="18"/>
        <v>OK</v>
      </c>
    </row>
    <row r="1247" spans="1:4" x14ac:dyDescent="0.2">
      <c r="A1247" s="5">
        <v>1186</v>
      </c>
      <c r="B1247" s="138">
        <f>'Expenditures 15-22'!F127</f>
        <v>24388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24388</v>
      </c>
      <c r="C1249" s="2" t="s">
        <v>594</v>
      </c>
      <c r="D1249" s="2" t="str">
        <f t="shared" si="18"/>
        <v>Error?</v>
      </c>
    </row>
    <row r="1250" spans="1:4" x14ac:dyDescent="0.2">
      <c r="A1250" s="5">
        <v>1189</v>
      </c>
      <c r="B1250" s="138">
        <f>'Expenditures 15-22'!F151</f>
        <v>24388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78666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78666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78666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78666</v>
      </c>
      <c r="C1288" s="2" t="s">
        <v>594</v>
      </c>
      <c r="D1288" s="2" t="str">
        <f t="shared" si="19"/>
        <v>Error?</v>
      </c>
    </row>
    <row r="1289" spans="1:4" x14ac:dyDescent="0.2">
      <c r="A1289" s="5">
        <v>1228</v>
      </c>
      <c r="B1289" s="138">
        <f>'Expenditures 15-22'!K152</f>
        <v>7895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46814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46814</v>
      </c>
      <c r="C1339" s="2" t="s">
        <v>594</v>
      </c>
      <c r="D1339" s="2" t="str">
        <f t="shared" si="19"/>
        <v>Error?</v>
      </c>
    </row>
    <row r="1340" spans="1:4" x14ac:dyDescent="0.2">
      <c r="A1340" s="5">
        <v>1279</v>
      </c>
      <c r="B1340" s="138">
        <f>'Expenditures 15-22'!C210</f>
        <v>46814</v>
      </c>
      <c r="C1340" s="2" t="s">
        <v>594</v>
      </c>
      <c r="D1340" s="2" t="str">
        <f t="shared" si="19"/>
        <v>Error?</v>
      </c>
    </row>
    <row r="1341" spans="1:4" x14ac:dyDescent="0.2">
      <c r="A1341" s="5">
        <v>1280</v>
      </c>
      <c r="B1341" s="138">
        <f>'Expenditures 15-22'!D182</f>
        <v>164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164</v>
      </c>
      <c r="C1345" s="2" t="s">
        <v>594</v>
      </c>
      <c r="D1345" s="2" t="str">
        <f t="shared" si="20"/>
        <v>Error?</v>
      </c>
    </row>
    <row r="1346" spans="1:4" x14ac:dyDescent="0.2">
      <c r="A1346" s="5">
        <v>1285</v>
      </c>
      <c r="B1346" s="138">
        <f>'Expenditures 15-22'!D210</f>
        <v>164</v>
      </c>
      <c r="C1346" s="2" t="s">
        <v>594</v>
      </c>
      <c r="D1346" s="2" t="str">
        <f t="shared" si="20"/>
        <v>Error?</v>
      </c>
    </row>
    <row r="1347" spans="1:4" x14ac:dyDescent="0.2">
      <c r="A1347" s="5">
        <v>1286</v>
      </c>
      <c r="B1347" s="138">
        <f>'Expenditures 15-22'!E182</f>
        <v>2579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2579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2579</v>
      </c>
      <c r="C1353" s="2" t="s">
        <v>594</v>
      </c>
      <c r="D1353" s="2" t="str">
        <f t="shared" si="20"/>
        <v>Error?</v>
      </c>
    </row>
    <row r="1354" spans="1:4" x14ac:dyDescent="0.2">
      <c r="A1354" s="5">
        <v>1293</v>
      </c>
      <c r="B1354" s="138">
        <f>'Expenditures 15-22'!F182</f>
        <v>22176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22176</v>
      </c>
      <c r="C1358" s="2" t="s">
        <v>594</v>
      </c>
      <c r="D1358" s="2" t="str">
        <f t="shared" si="20"/>
        <v>Error?</v>
      </c>
    </row>
    <row r="1359" spans="1:4" x14ac:dyDescent="0.2">
      <c r="A1359" s="5">
        <v>1298</v>
      </c>
      <c r="B1359" s="138">
        <f>'Expenditures 15-22'!F210</f>
        <v>22176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71733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71733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71733</v>
      </c>
      <c r="C1388" s="2" t="s">
        <v>594</v>
      </c>
      <c r="D1388" s="2" t="str">
        <f t="shared" si="20"/>
        <v>Error?</v>
      </c>
    </row>
    <row r="1389" spans="1:4" x14ac:dyDescent="0.2">
      <c r="A1389" s="5">
        <v>1328</v>
      </c>
      <c r="B1389" s="138">
        <f>'Expenditures 15-22'!K211</f>
        <v>52434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584</v>
      </c>
      <c r="D1408" s="2" t="str">
        <f t="shared" si="21"/>
        <v>Error?</v>
      </c>
    </row>
    <row r="1409" spans="1:4" x14ac:dyDescent="0.2">
      <c r="A1409" s="5">
        <v>1348</v>
      </c>
      <c r="B1409" s="138">
        <f>'Expenditures 15-22'!D224</f>
        <v>40</v>
      </c>
      <c r="D1409" s="2" t="str">
        <f t="shared" si="21"/>
        <v>Error?</v>
      </c>
    </row>
    <row r="1410" spans="1:4" x14ac:dyDescent="0.2">
      <c r="A1410" s="5">
        <v>1349</v>
      </c>
      <c r="B1410" s="138">
        <f>'Expenditures 15-22'!D229</f>
        <v>18252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37</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829</v>
      </c>
      <c r="D1423" s="2" t="str">
        <f t="shared" si="21"/>
        <v>Error?</v>
      </c>
    </row>
    <row r="1424" spans="1:4" x14ac:dyDescent="0.2">
      <c r="A1424" s="5">
        <v>1363</v>
      </c>
      <c r="B1424" s="138">
        <f>'Expenditures 15-22'!D257</f>
        <v>4600</v>
      </c>
      <c r="C1424" s="2" t="s">
        <v>594</v>
      </c>
      <c r="D1424" s="2" t="str">
        <f t="shared" si="21"/>
        <v>Error?</v>
      </c>
    </row>
    <row r="1425" spans="1:4" x14ac:dyDescent="0.2">
      <c r="A1425" s="5">
        <v>1364</v>
      </c>
      <c r="B1425" s="138">
        <f>'Expenditures 15-22'!D259</f>
        <v>5884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5884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6873</v>
      </c>
      <c r="D1431" s="2" t="str">
        <f t="shared" si="21"/>
        <v>Error?</v>
      </c>
    </row>
    <row r="1432" spans="1:4" x14ac:dyDescent="0.2">
      <c r="A1432" s="5">
        <v>1371</v>
      </c>
      <c r="B1432" s="138">
        <f>'Expenditures 15-22'!D267</f>
        <v>2886</v>
      </c>
      <c r="D1432" s="2" t="str">
        <f t="shared" si="21"/>
        <v>Error?</v>
      </c>
    </row>
    <row r="1433" spans="1:4" x14ac:dyDescent="0.2">
      <c r="A1433" s="5">
        <v>1372</v>
      </c>
      <c r="B1433" s="138">
        <f>'Expenditures 15-22'!D268</f>
        <v>6357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17976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28497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46749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584</v>
      </c>
      <c r="C1472" s="2" t="s">
        <v>594</v>
      </c>
      <c r="D1472" s="2" t="str">
        <f t="shared" si="22"/>
        <v>Error?</v>
      </c>
    </row>
    <row r="1473" spans="1:4" x14ac:dyDescent="0.2">
      <c r="A1473" s="5">
        <v>1412</v>
      </c>
      <c r="B1473" s="138">
        <f>'Expenditures 15-22'!K224</f>
        <v>40</v>
      </c>
      <c r="C1473" s="2" t="s">
        <v>594</v>
      </c>
      <c r="D1473" s="2" t="str">
        <f t="shared" si="22"/>
        <v>Error?</v>
      </c>
    </row>
    <row r="1474" spans="1:4" x14ac:dyDescent="0.2">
      <c r="A1474" s="5">
        <v>1413</v>
      </c>
      <c r="B1474" s="138">
        <f>'Expenditures 15-22'!K229</f>
        <v>18252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37</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829</v>
      </c>
      <c r="C1487" s="2" t="s">
        <v>594</v>
      </c>
      <c r="D1487" s="2" t="str">
        <f t="shared" si="22"/>
        <v>Error?</v>
      </c>
    </row>
    <row r="1488" spans="1:4" x14ac:dyDescent="0.2">
      <c r="A1488" s="5">
        <v>1427</v>
      </c>
      <c r="B1488" s="138">
        <f>'Expenditures 15-22'!K257</f>
        <v>4600</v>
      </c>
      <c r="C1488" s="2" t="s">
        <v>594</v>
      </c>
      <c r="D1488" s="2" t="str">
        <f t="shared" si="22"/>
        <v>Error?</v>
      </c>
    </row>
    <row r="1489" spans="1:4" x14ac:dyDescent="0.2">
      <c r="A1489" s="5">
        <v>1428</v>
      </c>
      <c r="B1489" s="138">
        <f>'Expenditures 15-22'!K259</f>
        <v>5884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5884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1860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6873</v>
      </c>
      <c r="C1495" s="2" t="s">
        <v>594</v>
      </c>
      <c r="D1495" s="2" t="str">
        <f t="shared" si="22"/>
        <v>Error?</v>
      </c>
    </row>
    <row r="1496" spans="1:4" x14ac:dyDescent="0.2">
      <c r="A1496" s="5">
        <v>1435</v>
      </c>
      <c r="B1496" s="138">
        <f>'Expenditures 15-22'!K267</f>
        <v>2886</v>
      </c>
      <c r="C1496" s="2" t="s">
        <v>594</v>
      </c>
      <c r="D1496" s="2" t="str">
        <f t="shared" si="22"/>
        <v>Error?</v>
      </c>
    </row>
    <row r="1497" spans="1:4" x14ac:dyDescent="0.2">
      <c r="A1497" s="5">
        <v>1436</v>
      </c>
      <c r="B1497" s="138">
        <f>'Expenditures 15-22'!K268</f>
        <v>6357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17976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28497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46749</v>
      </c>
      <c r="C1517" s="2" t="s">
        <v>594</v>
      </c>
      <c r="D1517" s="2" t="str">
        <f t="shared" si="22"/>
        <v>Error?</v>
      </c>
    </row>
    <row r="1518" spans="1:4" x14ac:dyDescent="0.2">
      <c r="A1518" s="5">
        <v>1457</v>
      </c>
      <c r="B1518" s="138">
        <f>'Expenditures 15-22'!K296</f>
        <v>-19056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262755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232936</v>
      </c>
      <c r="C1630" s="2" t="s">
        <v>594</v>
      </c>
      <c r="D1630" s="2" t="str">
        <f t="shared" si="24"/>
        <v>Error?</v>
      </c>
    </row>
    <row r="1631" spans="1:4" x14ac:dyDescent="0.2">
      <c r="A1631" s="5">
        <v>1570</v>
      </c>
      <c r="B1631" s="138">
        <f>'Acct Summary 7-8'!D79</f>
        <v>150657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158552</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151359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203793</v>
      </c>
      <c r="C1672" s="2" t="s">
        <v>594</v>
      </c>
      <c r="D1672" s="2" t="str">
        <f t="shared" si="25"/>
        <v>Error?</v>
      </c>
    </row>
    <row r="1673" spans="1:4" x14ac:dyDescent="0.2">
      <c r="A1673" s="5">
        <v>1612</v>
      </c>
      <c r="B1673" s="138">
        <f>'Acct Summary 7-8'!G79</f>
        <v>251398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232342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461275</v>
      </c>
      <c r="C1744" s="2" t="s">
        <v>594</v>
      </c>
      <c r="D1744" s="2" t="str">
        <f t="shared" si="26"/>
        <v>Error?</v>
      </c>
    </row>
    <row r="1745" spans="1:5" x14ac:dyDescent="0.2">
      <c r="A1745" s="5">
        <v>1684</v>
      </c>
      <c r="B1745" s="138">
        <f>'Tax Sched 23'!B5</f>
        <v>72060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34597</v>
      </c>
      <c r="C1747" s="2" t="s">
        <v>594</v>
      </c>
      <c r="D1747" s="2" t="str">
        <f t="shared" si="26"/>
        <v>Error?</v>
      </c>
    </row>
    <row r="1748" spans="1:5" x14ac:dyDescent="0.2">
      <c r="A1748" s="5">
        <v>1687</v>
      </c>
      <c r="B1748" s="138">
        <f>'Tax Sched 23'!B8</f>
        <v>12753</v>
      </c>
      <c r="C1748" s="2" t="s">
        <v>594</v>
      </c>
      <c r="D1748" s="2" t="str">
        <f t="shared" si="26"/>
        <v>Error?</v>
      </c>
    </row>
    <row r="1749" spans="1:5" x14ac:dyDescent="0.2">
      <c r="A1749" s="5">
        <v>1688</v>
      </c>
      <c r="B1749" s="138">
        <f>'Tax Sched 23'!B10</f>
        <v>14417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98001</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5767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726147</v>
      </c>
      <c r="C1759" s="2" t="s">
        <v>594</v>
      </c>
      <c r="D1759" s="2" t="str">
        <f t="shared" si="26"/>
        <v>Error?</v>
      </c>
    </row>
    <row r="1760" spans="1:5" x14ac:dyDescent="0.2">
      <c r="A1760" s="5">
        <v>1699</v>
      </c>
      <c r="B1760" s="138">
        <f>'Tax Sched 23'!D4</f>
        <v>461275</v>
      </c>
      <c r="C1760" s="2" t="s">
        <v>594</v>
      </c>
      <c r="D1760" s="2" t="str">
        <f t="shared" si="26"/>
        <v>Error?</v>
      </c>
    </row>
    <row r="1761" spans="1:5" x14ac:dyDescent="0.2">
      <c r="A1761" s="5">
        <v>1700</v>
      </c>
      <c r="B1761" s="138">
        <f>'Tax Sched 23'!D5</f>
        <v>72060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34597</v>
      </c>
      <c r="C1763" s="2" t="s">
        <v>594</v>
      </c>
      <c r="D1763" s="2" t="str">
        <f t="shared" si="26"/>
        <v>Error?</v>
      </c>
    </row>
    <row r="1764" spans="1:5" x14ac:dyDescent="0.2">
      <c r="A1764" s="5">
        <v>1703</v>
      </c>
      <c r="B1764" s="138">
        <f>'Tax Sched 23'!D8</f>
        <v>12753</v>
      </c>
      <c r="C1764" s="2" t="s">
        <v>594</v>
      </c>
      <c r="D1764" s="2" t="str">
        <f t="shared" si="26"/>
        <v>Error?</v>
      </c>
    </row>
    <row r="1765" spans="1:5" x14ac:dyDescent="0.2">
      <c r="A1765" s="5">
        <v>1704</v>
      </c>
      <c r="B1765" s="138">
        <f>'Tax Sched 23'!D10</f>
        <v>14417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98001</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5767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726147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479699</v>
      </c>
      <c r="C1792" s="2" t="s">
        <v>594</v>
      </c>
      <c r="D1792" s="2" t="str">
        <f t="shared" si="27"/>
        <v>Error?</v>
      </c>
    </row>
    <row r="1793" spans="1:4" x14ac:dyDescent="0.2">
      <c r="A1793" s="5">
        <v>1732</v>
      </c>
      <c r="B1793" s="138">
        <f>'Tax Sched 23'!F5</f>
        <v>74953</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36977</v>
      </c>
      <c r="C1795" s="2" t="s">
        <v>594</v>
      </c>
      <c r="D1795" s="2" t="str">
        <f t="shared" si="27"/>
        <v>Error?</v>
      </c>
    </row>
    <row r="1796" spans="1:4" x14ac:dyDescent="0.2">
      <c r="A1796" s="5">
        <v>1735</v>
      </c>
      <c r="B1796" s="138">
        <f>'Tax Sched 23'!F8</f>
        <v>12394</v>
      </c>
      <c r="C1796" s="2" t="s">
        <v>594</v>
      </c>
      <c r="D1796" s="2" t="str">
        <f t="shared" si="27"/>
        <v>Error?</v>
      </c>
    </row>
    <row r="1797" spans="1:4" x14ac:dyDescent="0.2">
      <c r="A1797" s="5">
        <v>1736</v>
      </c>
      <c r="B1797" s="138">
        <f>'Tax Sched 23'!F10</f>
        <v>14991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97163</v>
      </c>
      <c r="C1801" s="2" t="s">
        <v>594</v>
      </c>
      <c r="D1801" s="2" t="str">
        <f t="shared" si="27"/>
        <v>Error?</v>
      </c>
    </row>
    <row r="1802" spans="1:4" x14ac:dyDescent="0.2">
      <c r="A1802" s="5">
        <v>1741</v>
      </c>
      <c r="B1802" s="138">
        <f>'Tax Sched 23'!F14</f>
        <v>5996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749558</v>
      </c>
      <c r="C1807" s="2" t="s">
        <v>594</v>
      </c>
      <c r="D1807" s="2" t="str">
        <f t="shared" si="27"/>
        <v>Error?</v>
      </c>
    </row>
    <row r="1808" spans="1:4" x14ac:dyDescent="0.2">
      <c r="A1808" s="5">
        <v>1747</v>
      </c>
      <c r="B1808" s="138">
        <f>'Tax Sched 23'!E4</f>
        <v>479699</v>
      </c>
      <c r="D1808" s="2" t="str">
        <f t="shared" si="27"/>
        <v>Error?</v>
      </c>
    </row>
    <row r="1809" spans="1:4" x14ac:dyDescent="0.2">
      <c r="A1809" s="5">
        <v>1748</v>
      </c>
      <c r="B1809" s="138">
        <f>'Tax Sched 23'!E5</f>
        <v>74953</v>
      </c>
      <c r="D1809" s="2" t="str">
        <f t="shared" si="27"/>
        <v>Error?</v>
      </c>
    </row>
    <row r="1810" spans="1:4" x14ac:dyDescent="0.2">
      <c r="A1810" s="5">
        <v>1749</v>
      </c>
      <c r="B1810" s="138">
        <f>'Tax Sched 23'!E6</f>
        <v>0</v>
      </c>
      <c r="D1810" s="2" t="str">
        <f t="shared" si="27"/>
        <v>Error?</v>
      </c>
    </row>
    <row r="1811" spans="1:4" x14ac:dyDescent="0.2">
      <c r="A1811" s="5">
        <v>1750</v>
      </c>
      <c r="B1811" s="138">
        <f>'Tax Sched 23'!E7</f>
        <v>36977</v>
      </c>
      <c r="D1811" s="2" t="str">
        <f t="shared" si="27"/>
        <v>Error?</v>
      </c>
    </row>
    <row r="1812" spans="1:4" x14ac:dyDescent="0.2">
      <c r="A1812" s="5">
        <v>1751</v>
      </c>
      <c r="B1812" s="138">
        <f>'Tax Sched 23'!E8</f>
        <v>12394</v>
      </c>
      <c r="D1812" s="2" t="str">
        <f t="shared" si="27"/>
        <v>Error?</v>
      </c>
    </row>
    <row r="1813" spans="1:4" x14ac:dyDescent="0.2">
      <c r="A1813" s="5">
        <v>1752</v>
      </c>
      <c r="B1813" s="138">
        <f>'Tax Sched 23'!E10</f>
        <v>14991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97163</v>
      </c>
      <c r="D1817" s="2" t="str">
        <f t="shared" si="27"/>
        <v>Error?</v>
      </c>
    </row>
    <row r="1818" spans="1:4" x14ac:dyDescent="0.2">
      <c r="A1818" s="5">
        <v>1757</v>
      </c>
      <c r="B1818" s="138">
        <f>'Tax Sched 23'!E14</f>
        <v>5996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749558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5767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5767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5767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1585778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442415</v>
      </c>
      <c r="D2011" s="2" t="str">
        <f t="shared" si="30"/>
        <v>Error?</v>
      </c>
    </row>
    <row r="2012" spans="1:4" x14ac:dyDescent="0.2">
      <c r="A2012" s="5">
        <v>1951</v>
      </c>
      <c r="B2012" s="138">
        <f>'Cap Outlay Deprec 26'!C13</f>
        <v>291444</v>
      </c>
      <c r="D2012" s="2" t="str">
        <f t="shared" si="30"/>
        <v>Error?</v>
      </c>
    </row>
    <row r="2013" spans="1:4" x14ac:dyDescent="0.2">
      <c r="A2013" s="5">
        <v>1952</v>
      </c>
      <c r="B2013" s="138">
        <f>'Cap Outlay Deprec 26'!C16</f>
        <v>2319637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57445</v>
      </c>
      <c r="D2024" s="2" t="str">
        <f t="shared" si="30"/>
        <v>Error?</v>
      </c>
    </row>
    <row r="2025" spans="1:4" x14ac:dyDescent="0.2">
      <c r="A2025" s="5">
        <v>1964</v>
      </c>
      <c r="B2025" s="138">
        <f>'Cap Outlay Deprec 26'!E16</f>
        <v>57445</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1585778</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442415</v>
      </c>
      <c r="C2029" s="2" t="s">
        <v>594</v>
      </c>
      <c r="D2029" s="2" t="str">
        <f t="shared" si="30"/>
        <v>Error?</v>
      </c>
    </row>
    <row r="2030" spans="1:4" x14ac:dyDescent="0.2">
      <c r="A2030" s="5">
        <v>1969</v>
      </c>
      <c r="B2030" s="138">
        <f>'Cap Outlay Deprec 26'!F13</f>
        <v>233999</v>
      </c>
      <c r="C2030" s="2" t="s">
        <v>594</v>
      </c>
      <c r="D2030" s="2" t="str">
        <f t="shared" si="30"/>
        <v>Error?</v>
      </c>
    </row>
    <row r="2031" spans="1:4" x14ac:dyDescent="0.2">
      <c r="A2031" s="5">
        <v>1970</v>
      </c>
      <c r="B2031" s="138">
        <f>'Cap Outlay Deprec 26'!F16</f>
        <v>2262192</v>
      </c>
      <c r="C2031" s="2" t="s">
        <v>594</v>
      </c>
      <c r="D2031" s="2" t="str">
        <f t="shared" si="30"/>
        <v>Error?</v>
      </c>
    </row>
    <row r="2032" spans="1:4" x14ac:dyDescent="0.2">
      <c r="A2032" s="10">
        <v>1971</v>
      </c>
      <c r="D2032" s="2" t="str">
        <f t="shared" si="30"/>
        <v>OK</v>
      </c>
    </row>
    <row r="2033" spans="1:4" x14ac:dyDescent="0.2">
      <c r="A2033" s="5">
        <v>1972</v>
      </c>
      <c r="B2033" s="138">
        <f>'Cap Outlay Deprec 26'!H8</f>
        <v>546400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392692</v>
      </c>
      <c r="D2035" s="2" t="str">
        <f t="shared" si="30"/>
        <v>Error?</v>
      </c>
    </row>
    <row r="2036" spans="1:4" x14ac:dyDescent="0.2">
      <c r="A2036" s="5">
        <v>1975</v>
      </c>
      <c r="B2036" s="138">
        <f>'Cap Outlay Deprec 26'!H13</f>
        <v>237572</v>
      </c>
      <c r="D2036" s="2" t="str">
        <f t="shared" si="30"/>
        <v>Error?</v>
      </c>
    </row>
    <row r="2037" spans="1:4" x14ac:dyDescent="0.2">
      <c r="A2037" s="5">
        <v>1976</v>
      </c>
      <c r="B2037" s="138">
        <f>'Cap Outlay Deprec 26'!H16</f>
        <v>1176664</v>
      </c>
      <c r="C2037" s="2" t="s">
        <v>594</v>
      </c>
      <c r="D2037" s="2" t="str">
        <f t="shared" si="30"/>
        <v>Error?</v>
      </c>
    </row>
    <row r="2038" spans="1:4" x14ac:dyDescent="0.2">
      <c r="A2038" s="10">
        <v>1977</v>
      </c>
      <c r="D2038" s="2" t="str">
        <f t="shared" si="30"/>
        <v>OK</v>
      </c>
    </row>
    <row r="2039" spans="1:4" x14ac:dyDescent="0.2">
      <c r="A2039" s="5">
        <v>1978</v>
      </c>
      <c r="B2039" s="138">
        <f>'Cap Outlay Deprec 26'!I8</f>
        <v>44203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10820</v>
      </c>
      <c r="D2041" s="2" t="str">
        <f t="shared" si="30"/>
        <v>Error?</v>
      </c>
    </row>
    <row r="2042" spans="1:4" x14ac:dyDescent="0.2">
      <c r="A2042" s="5">
        <v>1981</v>
      </c>
      <c r="B2042" s="138">
        <f>'Cap Outlay Deprec 26'!I13</f>
        <v>11972</v>
      </c>
      <c r="D2042" s="2" t="str">
        <f t="shared" si="30"/>
        <v>Error?</v>
      </c>
    </row>
    <row r="2043" spans="1:4" x14ac:dyDescent="0.2">
      <c r="A2043" s="5">
        <v>1982</v>
      </c>
      <c r="B2043" s="138">
        <f>'Cap Outlay Deprec 26'!I16</f>
        <v>66995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57445</v>
      </c>
      <c r="D2048" s="2" t="str">
        <f t="shared" si="31"/>
        <v>Error?</v>
      </c>
    </row>
    <row r="2049" spans="1:4" x14ac:dyDescent="0.2">
      <c r="A2049" s="5">
        <v>1988</v>
      </c>
      <c r="B2049" s="138">
        <f>'Cap Outlay Deprec 26'!J16</f>
        <v>57445</v>
      </c>
      <c r="C2049" s="2" t="s">
        <v>594</v>
      </c>
      <c r="D2049" s="2" t="str">
        <f t="shared" si="31"/>
        <v>Error?</v>
      </c>
    </row>
    <row r="2050" spans="1:4" x14ac:dyDescent="0.2">
      <c r="A2050" s="10">
        <v>1989</v>
      </c>
      <c r="D2050" s="2" t="str">
        <f t="shared" si="31"/>
        <v>OK</v>
      </c>
    </row>
    <row r="2051" spans="1:4" x14ac:dyDescent="0.2">
      <c r="A2051" s="5">
        <v>1990</v>
      </c>
      <c r="B2051" s="138">
        <f>'Cap Outlay Deprec 26'!K8</f>
        <v>590603</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403512</v>
      </c>
      <c r="C2053" s="2" t="s">
        <v>594</v>
      </c>
      <c r="D2053" s="2" t="str">
        <f t="shared" si="31"/>
        <v>Error?</v>
      </c>
    </row>
    <row r="2054" spans="1:4" x14ac:dyDescent="0.2">
      <c r="A2054" s="5">
        <v>1993</v>
      </c>
      <c r="B2054" s="138">
        <f>'Cap Outlay Deprec 26'!K13</f>
        <v>192099</v>
      </c>
      <c r="C2054" s="2" t="s">
        <v>594</v>
      </c>
      <c r="D2054" s="2" t="str">
        <f t="shared" si="31"/>
        <v>Error?</v>
      </c>
    </row>
    <row r="2055" spans="1:4" x14ac:dyDescent="0.2">
      <c r="A2055" s="5">
        <v>1994</v>
      </c>
      <c r="B2055" s="138">
        <f>'Cap Outlay Deprec 26'!K16</f>
        <v>1186214</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995175</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38903</v>
      </c>
      <c r="C2059" s="2" t="s">
        <v>594</v>
      </c>
      <c r="D2059" s="2" t="str">
        <f t="shared" si="31"/>
        <v>Error?</v>
      </c>
    </row>
    <row r="2060" spans="1:4" x14ac:dyDescent="0.2">
      <c r="A2060" s="5">
        <v>1999</v>
      </c>
      <c r="B2060" s="138">
        <f>'Cap Outlay Deprec 26'!L13</f>
        <v>41900</v>
      </c>
      <c r="C2060" s="2" t="s">
        <v>594</v>
      </c>
      <c r="D2060" s="2" t="str">
        <f t="shared" si="31"/>
        <v>Error?</v>
      </c>
    </row>
    <row r="2061" spans="1:4" x14ac:dyDescent="0.2">
      <c r="A2061" s="5">
        <v>2000</v>
      </c>
      <c r="B2061" s="138">
        <f>'Cap Outlay Deprec 26'!L16</f>
        <v>1075978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12369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13419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110041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627289</v>
      </c>
      <c r="C2551" s="2" t="s">
        <v>594</v>
      </c>
      <c r="D2551" s="2" t="str">
        <f t="shared" si="38"/>
        <v>Error?</v>
      </c>
    </row>
    <row r="2552" spans="1:4" x14ac:dyDescent="0.2">
      <c r="A2552" s="10">
        <v>2491</v>
      </c>
      <c r="D2552" s="2" t="str">
        <f t="shared" si="38"/>
        <v>OK</v>
      </c>
    </row>
    <row r="2553" spans="1:4" x14ac:dyDescent="0.2">
      <c r="A2553" s="5">
        <v>2492</v>
      </c>
      <c r="B2553" s="138">
        <f>'Acct Summary 7-8'!C6</f>
        <v>350615</v>
      </c>
      <c r="C2553" s="2" t="s">
        <v>594</v>
      </c>
      <c r="D2553" s="2" t="str">
        <f t="shared" si="38"/>
        <v>Error?</v>
      </c>
    </row>
    <row r="2554" spans="1:4" x14ac:dyDescent="0.2">
      <c r="A2554" s="5">
        <v>2493</v>
      </c>
      <c r="B2554" s="138">
        <f>'Acct Summary 7-8'!C7</f>
        <v>78375</v>
      </c>
      <c r="C2554" s="2" t="s">
        <v>594</v>
      </c>
      <c r="D2554" s="2" t="str">
        <f t="shared" si="38"/>
        <v>Error?</v>
      </c>
    </row>
    <row r="2555" spans="1:4" x14ac:dyDescent="0.2">
      <c r="A2555" s="5">
        <v>2494</v>
      </c>
      <c r="B2555" s="138">
        <f>'Acct Summary 7-8'!C8</f>
        <v>1056279</v>
      </c>
      <c r="C2555" s="2" t="s">
        <v>594</v>
      </c>
      <c r="D2555" s="2" t="str">
        <f t="shared" si="38"/>
        <v>Error?</v>
      </c>
    </row>
    <row r="2556" spans="1:4" x14ac:dyDescent="0.2">
      <c r="A2556" s="5">
        <v>2495</v>
      </c>
      <c r="B2556" s="138">
        <f>'Acct Summary 7-8'!C12</f>
        <v>822486</v>
      </c>
      <c r="C2556" s="2" t="s">
        <v>594</v>
      </c>
      <c r="D2556" s="2" t="str">
        <f t="shared" si="38"/>
        <v>Error?</v>
      </c>
    </row>
    <row r="2557" spans="1:4" x14ac:dyDescent="0.2">
      <c r="A2557" s="5">
        <v>2496</v>
      </c>
      <c r="B2557" s="138">
        <f>'Acct Summary 7-8'!C13</f>
        <v>250151</v>
      </c>
      <c r="C2557" s="2" t="s">
        <v>594</v>
      </c>
      <c r="D2557" s="2" t="str">
        <f t="shared" si="38"/>
        <v>Error?</v>
      </c>
    </row>
    <row r="2558" spans="1:4" x14ac:dyDescent="0.2">
      <c r="A2558" s="5">
        <v>2497</v>
      </c>
      <c r="B2558" s="138">
        <f>'Acct Summary 7-8'!C14</f>
        <v>42</v>
      </c>
      <c r="C2558" s="2" t="s">
        <v>594</v>
      </c>
      <c r="D2558" s="2" t="str">
        <f t="shared" si="38"/>
        <v>Error?</v>
      </c>
    </row>
    <row r="2559" spans="1:4" x14ac:dyDescent="0.2">
      <c r="A2559" s="5">
        <v>2498</v>
      </c>
      <c r="B2559" s="138">
        <f>'Acct Summary 7-8'!C15</f>
        <v>13419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1086098</v>
      </c>
      <c r="C2561" s="2" t="s">
        <v>594</v>
      </c>
      <c r="D2561" s="2" t="str">
        <f t="shared" si="39"/>
        <v>Error?</v>
      </c>
    </row>
    <row r="2562" spans="1:4" x14ac:dyDescent="0.2">
      <c r="A2562" s="5">
        <v>2501</v>
      </c>
      <c r="B2562" s="138">
        <f>'Acct Summary 7-8'!C20</f>
        <v>-29819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86561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86561</v>
      </c>
      <c r="C2568" s="2" t="s">
        <v>594</v>
      </c>
      <c r="D2568" s="2" t="str">
        <f t="shared" si="39"/>
        <v>Error?</v>
      </c>
    </row>
    <row r="2569" spans="1:4" x14ac:dyDescent="0.2">
      <c r="A2569" s="5">
        <v>2508</v>
      </c>
      <c r="B2569" s="138">
        <f>'Acct Summary 7-8'!D13</f>
        <v>78666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78666</v>
      </c>
      <c r="C2573" s="2" t="s">
        <v>594</v>
      </c>
      <c r="D2573" s="2" t="str">
        <f t="shared" si="39"/>
        <v>Error?</v>
      </c>
    </row>
    <row r="2574" spans="1:4" x14ac:dyDescent="0.2">
      <c r="A2574" s="5">
        <v>2513</v>
      </c>
      <c r="B2574" s="138">
        <f>'Acct Summary 7-8'!D20</f>
        <v>7895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69698</v>
      </c>
      <c r="C2591" s="2" t="s">
        <v>594</v>
      </c>
      <c r="D2591" s="2" t="str">
        <f t="shared" si="39"/>
        <v>Error?</v>
      </c>
    </row>
    <row r="2592" spans="1:4" x14ac:dyDescent="0.2">
      <c r="A2592" s="10">
        <v>2531</v>
      </c>
      <c r="D2592" s="2" t="str">
        <f t="shared" si="39"/>
        <v>OK</v>
      </c>
    </row>
    <row r="2593" spans="1:4" x14ac:dyDescent="0.2">
      <c r="A2593" s="5">
        <v>2532</v>
      </c>
      <c r="B2593" s="138">
        <f>'Acct Summary 7-8'!F6</f>
        <v>54469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124167</v>
      </c>
      <c r="C2595" s="2" t="s">
        <v>594</v>
      </c>
      <c r="D2595" s="2" t="str">
        <f t="shared" si="39"/>
        <v>Error?</v>
      </c>
    </row>
    <row r="2596" spans="1:4" x14ac:dyDescent="0.2">
      <c r="A2596" s="5">
        <v>2535</v>
      </c>
      <c r="B2596" s="138">
        <f>'Acct Summary 7-8'!F13</f>
        <v>71733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71733</v>
      </c>
      <c r="C2600" s="2" t="s">
        <v>594</v>
      </c>
      <c r="D2600" s="2" t="str">
        <f t="shared" si="39"/>
        <v>Error?</v>
      </c>
    </row>
    <row r="2601" spans="1:4" x14ac:dyDescent="0.2">
      <c r="A2601" s="5">
        <v>2540</v>
      </c>
      <c r="B2601" s="138">
        <f>'Acct Summary 7-8'!F20</f>
        <v>52434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27693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27693</v>
      </c>
      <c r="C2606" s="2" t="s">
        <v>594</v>
      </c>
      <c r="D2606" s="2" t="str">
        <f t="shared" si="39"/>
        <v>Error?</v>
      </c>
    </row>
    <row r="2607" spans="1:4" x14ac:dyDescent="0.2">
      <c r="A2607" s="5">
        <v>2546</v>
      </c>
      <c r="B2607" s="138">
        <f>'Acct Summary 7-8'!G12</f>
        <v>18252</v>
      </c>
      <c r="C2607" s="2" t="s">
        <v>594</v>
      </c>
      <c r="D2607" s="2" t="str">
        <f t="shared" si="39"/>
        <v>Error?</v>
      </c>
    </row>
    <row r="2608" spans="1:4" x14ac:dyDescent="0.2">
      <c r="A2608" s="5">
        <v>2547</v>
      </c>
      <c r="B2608" s="138">
        <f>'Acct Summary 7-8'!G13</f>
        <v>28497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46749</v>
      </c>
      <c r="C2612" s="2" t="s">
        <v>594</v>
      </c>
      <c r="D2612" s="2" t="str">
        <f t="shared" si="39"/>
        <v>Error?</v>
      </c>
    </row>
    <row r="2613" spans="1:4" x14ac:dyDescent="0.2">
      <c r="A2613" s="5">
        <v>2552</v>
      </c>
      <c r="B2613" s="138">
        <f>'Acct Summary 7-8'!G20</f>
        <v>-19056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1050</v>
      </c>
      <c r="C2789" s="2" t="s">
        <v>594</v>
      </c>
      <c r="D2789" s="2" t="str">
        <f t="shared" si="42"/>
        <v>Error?</v>
      </c>
    </row>
    <row r="2790" spans="1:4" x14ac:dyDescent="0.2">
      <c r="A2790" s="5">
        <v>2729</v>
      </c>
      <c r="B2790" s="138">
        <f>'Expenditures 15-22'!E102</f>
        <v>1050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150332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150332</v>
      </c>
      <c r="D2912" s="2" t="str">
        <f t="shared" si="44"/>
        <v>Error?</v>
      </c>
    </row>
    <row r="2913" spans="1:4" x14ac:dyDescent="0.2">
      <c r="A2913" s="5">
        <v>2852</v>
      </c>
      <c r="B2913" s="138">
        <f>'Assets-Liab 5-6'!I41</f>
        <v>150332</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1050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12369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12369</v>
      </c>
      <c r="C2974" s="2" t="s">
        <v>594</v>
      </c>
      <c r="D2974" s="2" t="str">
        <f t="shared" si="45"/>
        <v>Error?</v>
      </c>
    </row>
    <row r="2975" spans="1:4" x14ac:dyDescent="0.2">
      <c r="A2975" s="5">
        <v>2914</v>
      </c>
      <c r="B2975" s="138">
        <f>'Expenditures 15-22'!K80</f>
        <v>1050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15507</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85</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15592</v>
      </c>
      <c r="C3062" s="2" t="s">
        <v>594</v>
      </c>
      <c r="D3062" s="2" t="str">
        <f t="shared" si="46"/>
        <v>Error?</v>
      </c>
    </row>
    <row r="3063" spans="1:4" x14ac:dyDescent="0.2">
      <c r="A3063" s="10">
        <v>3002</v>
      </c>
      <c r="D3063" s="2" t="str">
        <f t="shared" si="46"/>
        <v>OK</v>
      </c>
    </row>
    <row r="3064" spans="1:4" x14ac:dyDescent="0.2">
      <c r="A3064" s="5">
        <v>3003</v>
      </c>
      <c r="B3064" s="138">
        <f>'Expenditures 15-22'!D219</f>
        <v>2639</v>
      </c>
      <c r="D3064" s="2" t="str">
        <f t="shared" si="46"/>
        <v>Error?</v>
      </c>
    </row>
    <row r="3065" spans="1:4" x14ac:dyDescent="0.2">
      <c r="A3065" s="5">
        <v>3004</v>
      </c>
      <c r="B3065" s="138">
        <f>'Expenditures 15-22'!K219</f>
        <v>2639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15332</v>
      </c>
      <c r="C3225" s="2" t="s">
        <v>594</v>
      </c>
      <c r="D3225" s="2" t="str">
        <f t="shared" si="49"/>
        <v>Error?</v>
      </c>
    </row>
    <row r="3226" spans="1:4" x14ac:dyDescent="0.2">
      <c r="A3226" s="5">
        <v>3165</v>
      </c>
      <c r="B3226" s="138">
        <f>'Acct Summary 7-8'!I8</f>
        <v>15332</v>
      </c>
      <c r="C3226" s="2" t="s">
        <v>594</v>
      </c>
      <c r="D3226" s="2" t="str">
        <f t="shared" si="49"/>
        <v>Error?</v>
      </c>
    </row>
    <row r="3227" spans="1:4" x14ac:dyDescent="0.2">
      <c r="A3227" s="5">
        <v>3166</v>
      </c>
      <c r="B3227" s="138">
        <f>'Acct Summary 7-8'!I20</f>
        <v>15332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-29819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7895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52434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-19056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15332</v>
      </c>
      <c r="C3320" s="2" t="s">
        <v>594</v>
      </c>
      <c r="D3320" s="2" t="str">
        <f t="shared" si="50"/>
        <v>Error?</v>
      </c>
    </row>
    <row r="3321" spans="1:4" x14ac:dyDescent="0.2">
      <c r="A3321" s="5">
        <v>3260</v>
      </c>
      <c r="B3321" s="138">
        <f>'Acct Summary 7-8'!I79</f>
        <v>135000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150332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59196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59708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10170</v>
      </c>
      <c r="D3387" s="2" t="str">
        <f t="shared" si="51"/>
        <v>Error?</v>
      </c>
    </row>
    <row r="3388" spans="1:4" x14ac:dyDescent="0.2">
      <c r="A3388" s="5">
        <v>3327</v>
      </c>
      <c r="B3388" s="138">
        <f>'Expenditures 15-22'!D217</f>
        <v>4517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10170</v>
      </c>
      <c r="C3390" s="2" t="s">
        <v>594</v>
      </c>
      <c r="D3390" s="2" t="str">
        <f t="shared" si="51"/>
        <v>Error?</v>
      </c>
    </row>
    <row r="3391" spans="1:4" x14ac:dyDescent="0.2">
      <c r="A3391" s="5">
        <v>3330</v>
      </c>
      <c r="B3391" s="138">
        <f>'Expenditures 15-22'!K217</f>
        <v>4517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3600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158552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203793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232342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150332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12862</v>
      </c>
      <c r="C3446" s="2" t="s">
        <v>594</v>
      </c>
      <c r="D3446" s="2" t="str">
        <f t="shared" si="52"/>
        <v>Error?</v>
      </c>
    </row>
    <row r="3447" spans="1:4" x14ac:dyDescent="0.2">
      <c r="A3447" s="5">
        <v>3386</v>
      </c>
      <c r="B3447" s="138">
        <f>'Tax Sched 23'!D16</f>
        <v>12862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12394</v>
      </c>
      <c r="C3449" s="2" t="s">
        <v>594</v>
      </c>
      <c r="D3449" s="2" t="str">
        <f t="shared" si="52"/>
        <v>Error?</v>
      </c>
    </row>
    <row r="3450" spans="1:4" x14ac:dyDescent="0.2">
      <c r="A3450" s="5">
        <v>3389</v>
      </c>
      <c r="B3450" s="138">
        <f>'Tax Sched 23'!E16</f>
        <v>12394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14415</v>
      </c>
      <c r="C3725" s="2" t="s">
        <v>594</v>
      </c>
      <c r="D3725" s="2" t="str">
        <f t="shared" si="57"/>
        <v>Error?</v>
      </c>
    </row>
    <row r="3726" spans="1:4" x14ac:dyDescent="0.2">
      <c r="A3726" s="5">
        <v>3665</v>
      </c>
      <c r="B3726" s="138">
        <f>'Tax Sched 23'!D13</f>
        <v>14415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14991</v>
      </c>
      <c r="C3728" s="2" t="s">
        <v>594</v>
      </c>
      <c r="D3728" s="2" t="str">
        <f t="shared" si="57"/>
        <v>Error?</v>
      </c>
    </row>
    <row r="3729" spans="1:4" x14ac:dyDescent="0.2">
      <c r="A3729" s="5">
        <v>3668</v>
      </c>
      <c r="B3729" s="138">
        <f>'Tax Sched 23'!E13</f>
        <v>14991</v>
      </c>
      <c r="D3729" s="2" t="str">
        <f t="shared" si="57"/>
        <v>Error?</v>
      </c>
    </row>
    <row r="3730" spans="1:4" x14ac:dyDescent="0.2">
      <c r="A3730" s="5">
        <v>3669</v>
      </c>
      <c r="B3730" s="138">
        <f>'ICR Computation 30'!E10</f>
        <v>22243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616006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1672285</v>
      </c>
      <c r="C4122" s="2" t="s">
        <v>594</v>
      </c>
      <c r="D4122" s="2" t="str">
        <f t="shared" si="63"/>
        <v>Error?</v>
      </c>
    </row>
    <row r="4123" spans="1:4" x14ac:dyDescent="0.2">
      <c r="A4123" s="5">
        <v>4062</v>
      </c>
      <c r="B4123" s="138">
        <f>'Acct Summary 7-8'!D10</f>
        <v>86561</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124167</v>
      </c>
      <c r="C4125" s="2" t="s">
        <v>594</v>
      </c>
      <c r="D4125" s="2" t="str">
        <f t="shared" si="63"/>
        <v>Error?</v>
      </c>
    </row>
    <row r="4126" spans="1:4" x14ac:dyDescent="0.2">
      <c r="A4126" s="5">
        <v>4065</v>
      </c>
      <c r="B4126" s="138">
        <f>'Acct Summary 7-8'!G10</f>
        <v>27693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15332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616006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1702104</v>
      </c>
      <c r="C4136" s="2" t="s">
        <v>594</v>
      </c>
      <c r="D4136" s="2" t="str">
        <f t="shared" si="63"/>
        <v>Error?</v>
      </c>
    </row>
    <row r="4137" spans="1:4" x14ac:dyDescent="0.2">
      <c r="A4137" s="5">
        <v>4076</v>
      </c>
      <c r="B4137" s="138">
        <f>'Acct Summary 7-8'!D19</f>
        <v>78666</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71733</v>
      </c>
      <c r="C4139" s="2" t="s">
        <v>594</v>
      </c>
      <c r="D4139" s="2" t="str">
        <f t="shared" si="63"/>
        <v>Error?</v>
      </c>
    </row>
    <row r="4140" spans="1:4" x14ac:dyDescent="0.2">
      <c r="A4140" s="5">
        <v>4079</v>
      </c>
      <c r="B4140" s="138">
        <f>'Acct Summary 7-8'!G19</f>
        <v>46749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1600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1969.9999999999998</v>
      </c>
      <c r="C4268" s="2" t="s">
        <v>594</v>
      </c>
      <c r="D4268" s="2" t="str">
        <f t="shared" si="65"/>
        <v>Error?</v>
      </c>
    </row>
    <row r="4269" spans="1:5" x14ac:dyDescent="0.2">
      <c r="A4269" s="12">
        <v>4208</v>
      </c>
      <c r="B4269" s="138">
        <f>'FP Info 3'!J16</f>
        <v>745613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461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15595</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15595</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7344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5270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29981161</v>
      </c>
      <c r="D4995" s="2" t="str">
        <f t="shared" si="77"/>
        <v>Error?</v>
      </c>
    </row>
    <row r="4996" spans="1:4" x14ac:dyDescent="0.2">
      <c r="A4996" s="12">
        <v>4935</v>
      </c>
      <c r="B4996" s="138">
        <f>'FP Info 3'!H31</f>
        <v>2068700.1090000002</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461275</v>
      </c>
      <c r="D5061" s="2" t="str">
        <f t="shared" si="78"/>
        <v>Error?</v>
      </c>
    </row>
    <row r="5062" spans="1:4" x14ac:dyDescent="0.2">
      <c r="A5062" s="10">
        <v>5001</v>
      </c>
      <c r="D5062" s="2" t="str">
        <f t="shared" si="78"/>
        <v>OK</v>
      </c>
    </row>
    <row r="5063" spans="1:4" x14ac:dyDescent="0.2">
      <c r="A5063" s="5">
        <v>5002</v>
      </c>
      <c r="B5063" s="138">
        <f>'Revenues 9-14'!C7</f>
        <v>5767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467042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8203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8203</v>
      </c>
      <c r="C5071" s="2" t="s">
        <v>594</v>
      </c>
      <c r="D5071" s="2" t="str">
        <f t="shared" si="78"/>
        <v>Error?</v>
      </c>
    </row>
    <row r="5072" spans="1:4" x14ac:dyDescent="0.2">
      <c r="A5072" s="5">
        <v>5011</v>
      </c>
      <c r="B5072" s="138">
        <f>'Revenues 9-14'!C20</f>
        <v>24850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24850</v>
      </c>
      <c r="C5087" s="2" t="s">
        <v>594</v>
      </c>
      <c r="D5087" s="2" t="str">
        <f t="shared" si="78"/>
        <v>Error?</v>
      </c>
    </row>
    <row r="5088" spans="1:4" x14ac:dyDescent="0.2">
      <c r="A5088" s="5">
        <v>5027</v>
      </c>
      <c r="B5088" s="138">
        <f>'Revenues 9-14'!C65</f>
        <v>3178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3178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7871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3302</v>
      </c>
      <c r="D5094" s="2" t="str">
        <f t="shared" si="78"/>
        <v>Error?</v>
      </c>
    </row>
    <row r="5095" spans="1:4" x14ac:dyDescent="0.2">
      <c r="A5095" s="5">
        <v>5034</v>
      </c>
      <c r="B5095" s="138">
        <f>'Revenues 9-14'!C74</f>
        <v>80</v>
      </c>
      <c r="D5095" s="2" t="str">
        <f t="shared" si="78"/>
        <v>Error?</v>
      </c>
    </row>
    <row r="5096" spans="1:4" x14ac:dyDescent="0.2">
      <c r="A5096" s="5">
        <v>5035</v>
      </c>
      <c r="B5096" s="138">
        <f>'Revenues 9-14'!C75</f>
        <v>60678</v>
      </c>
      <c r="C5096" s="2" t="s">
        <v>594</v>
      </c>
      <c r="D5096" s="2" t="str">
        <f t="shared" si="78"/>
        <v>Error?</v>
      </c>
    </row>
    <row r="5097" spans="1:4" x14ac:dyDescent="0.2">
      <c r="A5097" s="5">
        <v>5036</v>
      </c>
      <c r="B5097" s="138">
        <f>'Revenues 9-14'!C77</f>
        <v>13168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10606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190</v>
      </c>
      <c r="D5101" s="2" t="str">
        <f t="shared" si="78"/>
        <v>Error?</v>
      </c>
    </row>
    <row r="5102" spans="1:4" x14ac:dyDescent="0.2">
      <c r="A5102" s="5">
        <v>5041</v>
      </c>
      <c r="B5102" s="138">
        <f>'Revenues 9-14'!C82</f>
        <v>23964</v>
      </c>
      <c r="C5102" s="2" t="s">
        <v>594</v>
      </c>
      <c r="D5102" s="2" t="str">
        <f t="shared" si="78"/>
        <v>Error?</v>
      </c>
    </row>
    <row r="5103" spans="1:4" x14ac:dyDescent="0.2">
      <c r="A5103" s="5">
        <v>5042</v>
      </c>
      <c r="B5103" s="138">
        <f>'Revenues 9-14'!C84</f>
        <v>14325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14325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16551</v>
      </c>
      <c r="D5114" s="2" t="str">
        <f t="shared" si="78"/>
        <v>Error?</v>
      </c>
    </row>
    <row r="5115" spans="1:4" x14ac:dyDescent="0.2">
      <c r="A5115" s="5">
        <v>5054</v>
      </c>
      <c r="B5115" s="138">
        <f>'Revenues 9-14'!C98</f>
        <v>3750</v>
      </c>
      <c r="D5115" s="2" t="str">
        <f t="shared" si="78"/>
        <v>Error?</v>
      </c>
    </row>
    <row r="5116" spans="1:4" x14ac:dyDescent="0.2">
      <c r="A5116" s="5">
        <v>5055</v>
      </c>
      <c r="B5116" s="138">
        <f>'Revenues 9-14'!C99</f>
        <v>422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4326</v>
      </c>
      <c r="D5119" s="2" t="str">
        <f t="shared" ref="D5119:D5182" si="79">IF(ISBLANK(B5119),"OK",IF(A5119-B5119=0,"OK","Error?"))</f>
        <v>Error?</v>
      </c>
    </row>
    <row r="5120" spans="1:4" x14ac:dyDescent="0.2">
      <c r="A5120" s="5">
        <v>5059</v>
      </c>
      <c r="B5120" s="138">
        <f>'Revenues 9-14'!C108</f>
        <v>25049</v>
      </c>
      <c r="C5120" s="2" t="s">
        <v>594</v>
      </c>
      <c r="D5120" s="2" t="str">
        <f t="shared" si="79"/>
        <v>Error?</v>
      </c>
    </row>
    <row r="5121" spans="1:4" x14ac:dyDescent="0.2">
      <c r="A5121" s="5">
        <v>5060</v>
      </c>
      <c r="B5121" s="138">
        <f>'Revenues 9-14'!C109</f>
        <v>627289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335542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335542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9698</v>
      </c>
      <c r="D5134" s="2" t="str">
        <f t="shared" si="79"/>
        <v>Error?</v>
      </c>
    </row>
    <row r="5135" spans="1:4" x14ac:dyDescent="0.2">
      <c r="A5135" s="5">
        <v>5074</v>
      </c>
      <c r="B5135" s="138">
        <f>'Revenues 9-14'!C126</f>
        <v>5197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14895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178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15073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350615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21843</v>
      </c>
      <c r="D5239" s="2" t="str">
        <f t="shared" si="80"/>
        <v>Error?</v>
      </c>
    </row>
    <row r="5240" spans="1:4" x14ac:dyDescent="0.2">
      <c r="A5240" s="5">
        <v>5179</v>
      </c>
      <c r="B5240" s="138">
        <f>'Revenues 9-14'!C195</f>
        <v>400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22243</v>
      </c>
      <c r="C5246" s="2" t="s">
        <v>594</v>
      </c>
      <c r="D5246" s="2" t="str">
        <f t="shared" si="80"/>
        <v>Error?</v>
      </c>
    </row>
    <row r="5247" spans="1:4" x14ac:dyDescent="0.2">
      <c r="A5247" s="5">
        <v>5186</v>
      </c>
      <c r="B5247" s="138">
        <f>'Revenues 9-14'!C203</f>
        <v>22454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7344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22454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4855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4855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78375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78375</v>
      </c>
      <c r="C5326" s="2" t="s">
        <v>594</v>
      </c>
      <c r="D5326" s="2" t="str">
        <f t="shared" si="82"/>
        <v>Error?</v>
      </c>
    </row>
    <row r="5327" spans="1:4" x14ac:dyDescent="0.2">
      <c r="A5327" s="5">
        <v>5266</v>
      </c>
      <c r="B5327" s="138">
        <f>'Revenues 9-14'!C275</f>
        <v>1056279</v>
      </c>
      <c r="C5327" s="2" t="s">
        <v>594</v>
      </c>
      <c r="D5327" s="2" t="str">
        <f t="shared" si="82"/>
        <v>Error?</v>
      </c>
    </row>
    <row r="5328" spans="1:4" x14ac:dyDescent="0.2">
      <c r="A5328" s="5">
        <v>5267</v>
      </c>
      <c r="B5328" s="138">
        <f>'Revenues 9-14'!D5</f>
        <v>72060</v>
      </c>
      <c r="D5328" s="2" t="str">
        <f t="shared" si="82"/>
        <v>Error?</v>
      </c>
    </row>
    <row r="5329" spans="1:4" x14ac:dyDescent="0.2">
      <c r="A5329" s="10">
        <v>5268</v>
      </c>
      <c r="D5329" s="2" t="str">
        <f t="shared" si="82"/>
        <v>OK</v>
      </c>
    </row>
    <row r="5330" spans="1:4" x14ac:dyDescent="0.2">
      <c r="A5330" s="5">
        <v>5269</v>
      </c>
      <c r="B5330" s="138">
        <f>'Revenues 9-14'!D6</f>
        <v>14415</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86475</v>
      </c>
      <c r="C5334" s="2" t="s">
        <v>594</v>
      </c>
      <c r="D5334" s="2" t="str">
        <f t="shared" si="82"/>
        <v>Error?</v>
      </c>
    </row>
    <row r="5335" spans="1:4" x14ac:dyDescent="0.2">
      <c r="A5335" s="5">
        <v>5274</v>
      </c>
      <c r="B5335" s="138">
        <f>'Revenues 9-14'!D14</f>
        <v>15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v>
      </c>
      <c r="C5339" s="2" t="s">
        <v>594</v>
      </c>
      <c r="D5339" s="2" t="str">
        <f t="shared" si="82"/>
        <v>Error?</v>
      </c>
    </row>
    <row r="5340" spans="1:4" x14ac:dyDescent="0.2">
      <c r="A5340" s="5">
        <v>5279</v>
      </c>
      <c r="B5340" s="138">
        <f>'Revenues 9-14'!D65</f>
        <v>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86561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86561</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34597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34597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32299</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32299</v>
      </c>
      <c r="C5579" s="2" t="s">
        <v>594</v>
      </c>
      <c r="D5579" s="2" t="str">
        <f t="shared" si="86"/>
        <v>Error?</v>
      </c>
    </row>
    <row r="5580" spans="1:4" x14ac:dyDescent="0.2">
      <c r="A5580" s="5">
        <v>5519</v>
      </c>
      <c r="B5580" s="138">
        <f>'Revenues 9-14'!F65</f>
        <v>557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557</v>
      </c>
      <c r="C5582" s="2" t="s">
        <v>594</v>
      </c>
      <c r="D5582" s="2" t="str">
        <f t="shared" si="86"/>
        <v>Error?</v>
      </c>
    </row>
    <row r="5583" spans="1:4" x14ac:dyDescent="0.2">
      <c r="A5583" s="5">
        <v>5522</v>
      </c>
      <c r="B5583" s="138">
        <f>'Revenues 9-14'!F96</f>
        <v>365</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1880</v>
      </c>
      <c r="D5586" s="2" t="str">
        <f t="shared" si="86"/>
        <v>Error?</v>
      </c>
    </row>
    <row r="5587" spans="1:4" x14ac:dyDescent="0.2">
      <c r="A5587" s="5">
        <v>5526</v>
      </c>
      <c r="B5587" s="138">
        <f>'Revenues 9-14'!F108</f>
        <v>2245</v>
      </c>
      <c r="C5587" s="2" t="s">
        <v>594</v>
      </c>
      <c r="D5587" s="2" t="str">
        <f t="shared" si="86"/>
        <v>Error?</v>
      </c>
    </row>
    <row r="5588" spans="1:4" x14ac:dyDescent="0.2">
      <c r="A5588" s="5">
        <v>5527</v>
      </c>
      <c r="B5588" s="138">
        <f>'Revenues 9-14'!F109</f>
        <v>69698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54469</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54469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54469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54469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124167</v>
      </c>
      <c r="C5720" s="2" t="s">
        <v>594</v>
      </c>
      <c r="D5720" s="2" t="str">
        <f t="shared" si="88"/>
        <v>Error?</v>
      </c>
    </row>
    <row r="5721" spans="1:4" x14ac:dyDescent="0.2">
      <c r="A5721" s="5">
        <v>5660</v>
      </c>
      <c r="B5721" s="138">
        <f>'Revenues 9-14'!G5</f>
        <v>12753</v>
      </c>
      <c r="D5721" s="2" t="str">
        <f t="shared" si="88"/>
        <v>Error?</v>
      </c>
    </row>
    <row r="5722" spans="1:4" x14ac:dyDescent="0.2">
      <c r="A5722" s="5">
        <v>5661</v>
      </c>
      <c r="B5722" s="138">
        <f>'Revenues 9-14'!G7</f>
        <v>0</v>
      </c>
      <c r="D5722" s="2" t="str">
        <f t="shared" si="88"/>
        <v>Error?</v>
      </c>
    </row>
    <row r="5723" spans="1:4" x14ac:dyDescent="0.2">
      <c r="A5723" s="5">
        <v>5662</v>
      </c>
      <c r="B5723" s="138">
        <f>'Revenues 9-14'!G8</f>
        <v>12862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25615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1109</v>
      </c>
      <c r="C5730" s="2" t="s">
        <v>594</v>
      </c>
      <c r="D5730" s="2" t="str">
        <f t="shared" si="88"/>
        <v>Error?</v>
      </c>
    </row>
    <row r="5731" spans="1:4" x14ac:dyDescent="0.2">
      <c r="A5731" s="5">
        <v>5670</v>
      </c>
      <c r="B5731" s="138">
        <f>'Revenues 9-14'!G65</f>
        <v>969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969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27693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14417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14417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15332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27693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15332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49425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8559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149.66999999999999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166935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166935</v>
      </c>
      <c r="D6215" s="2" t="str">
        <f t="shared" si="96"/>
        <v>Error?</v>
      </c>
      <c r="E6215" s="2" t="s">
        <v>199</v>
      </c>
    </row>
    <row r="6216" spans="1:5" x14ac:dyDescent="0.2">
      <c r="A6216">
        <v>6155</v>
      </c>
      <c r="B6216" s="138">
        <f>'Assets-Liab 5-6'!J41</f>
        <v>166935</v>
      </c>
      <c r="D6216" s="2" t="str">
        <f t="shared" si="96"/>
        <v>Error?</v>
      </c>
      <c r="E6216" s="2" t="s">
        <v>199</v>
      </c>
    </row>
    <row r="6217" spans="1:5" x14ac:dyDescent="0.2">
      <c r="A6217">
        <v>6156</v>
      </c>
      <c r="B6217" s="138">
        <f>'Assets-Liab 5-6'!J4</f>
        <v>166935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104359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104359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104359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80518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80518</v>
      </c>
      <c r="D6229" s="2" t="str">
        <f t="shared" si="96"/>
        <v>Error?</v>
      </c>
      <c r="E6229" s="2" t="s">
        <v>199</v>
      </c>
    </row>
    <row r="6230" spans="1:5" x14ac:dyDescent="0.2">
      <c r="A6230">
        <v>6169</v>
      </c>
      <c r="B6230" s="138">
        <f>'Acct Summary 7-8'!J20</f>
        <v>23841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23841</v>
      </c>
      <c r="D6263" s="2" t="str">
        <f t="shared" si="96"/>
        <v>Error?</v>
      </c>
      <c r="E6263" s="2" t="s">
        <v>199</v>
      </c>
    </row>
    <row r="6264" spans="1:5" x14ac:dyDescent="0.2">
      <c r="A6264">
        <v>6203</v>
      </c>
      <c r="B6264" s="138">
        <f>'Acct Summary 7-8'!J79</f>
        <v>143094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166935</v>
      </c>
      <c r="D6266" s="2" t="str">
        <f t="shared" si="96"/>
        <v>Error?</v>
      </c>
      <c r="E6266" s="2" t="s">
        <v>199</v>
      </c>
    </row>
    <row r="6267" spans="1:5" x14ac:dyDescent="0.2">
      <c r="A6267">
        <v>6206</v>
      </c>
      <c r="B6267" s="138">
        <f>'Acct Summary 7-8'!C82</f>
        <v>-29819</v>
      </c>
      <c r="D6267" s="2" t="str">
        <f t="shared" si="96"/>
        <v>Error?</v>
      </c>
      <c r="E6267" s="2" t="s">
        <v>199</v>
      </c>
    </row>
    <row r="6268" spans="1:5" x14ac:dyDescent="0.2">
      <c r="A6268">
        <v>6207</v>
      </c>
      <c r="B6268" s="138">
        <f>'Acct Summary 7-8'!D82</f>
        <v>7895</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52434</v>
      </c>
      <c r="D6270" s="2" t="str">
        <f t="shared" si="96"/>
        <v>Error?</v>
      </c>
      <c r="E6270" s="2" t="s">
        <v>199</v>
      </c>
    </row>
    <row r="6271" spans="1:5" x14ac:dyDescent="0.2">
      <c r="A6271">
        <v>6210</v>
      </c>
      <c r="B6271" s="138">
        <f>'Acct Summary 7-8'!G82</f>
        <v>-19056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15332</v>
      </c>
      <c r="D6273" s="2" t="str">
        <f t="shared" si="97"/>
        <v>Error?</v>
      </c>
      <c r="E6273" s="2" t="s">
        <v>199</v>
      </c>
    </row>
    <row r="6274" spans="1:5" x14ac:dyDescent="0.2">
      <c r="A6274">
        <v>6213</v>
      </c>
      <c r="B6274" s="138">
        <f>'Acct Summary 7-8'!J82</f>
        <v>23841</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-0.12801370333482159</v>
      </c>
      <c r="D6276" s="2" t="str">
        <f t="shared" si="97"/>
        <v>Error?</v>
      </c>
      <c r="E6276" s="2" t="s">
        <v>199</v>
      </c>
    </row>
    <row r="6277" spans="1:5" x14ac:dyDescent="0.2">
      <c r="A6277">
        <v>6216</v>
      </c>
      <c r="B6277" s="138">
        <f>'Acct Summary 7-8'!D83</f>
        <v>4.9794389222463292E-2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0.2572904859342568</v>
      </c>
      <c r="D6279" s="2" t="str">
        <f t="shared" si="97"/>
        <v>Error?</v>
      </c>
      <c r="E6279" s="2" t="s">
        <v>199</v>
      </c>
    </row>
    <row r="6280" spans="1:5" x14ac:dyDescent="0.2">
      <c r="A6280">
        <v>6219</v>
      </c>
      <c r="B6280" s="138">
        <f>'Acct Summary 7-8'!G83</f>
        <v>-8.2017026624544853E-2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0.10198760077694702</v>
      </c>
      <c r="D6282" s="2" t="str">
        <f t="shared" si="97"/>
        <v>Error?</v>
      </c>
      <c r="E6282" s="2" t="s">
        <v>199</v>
      </c>
    </row>
    <row r="6283" spans="1:5" x14ac:dyDescent="0.2">
      <c r="A6283">
        <v>6222</v>
      </c>
      <c r="B6283" s="138">
        <f>'Acct Summary 7-8'!J83</f>
        <v>0.14281606613352502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98001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98001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694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694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5664</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5664</v>
      </c>
      <c r="D6351" s="2" t="str">
        <f t="shared" si="98"/>
        <v>Error?</v>
      </c>
      <c r="E6351" s="2" t="s">
        <v>199</v>
      </c>
    </row>
    <row r="6352" spans="1:5" x14ac:dyDescent="0.2">
      <c r="A6352">
        <v>6291</v>
      </c>
      <c r="B6352" s="138">
        <f>'Revenues 9-14'!J109</f>
        <v>104359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20857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22067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679</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679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1550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1550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2229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2229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78457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104359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302</v>
      </c>
      <c r="D7073" s="2" t="str">
        <f t="shared" si="109"/>
        <v>Error?</v>
      </c>
    </row>
    <row r="7074" spans="1:4" x14ac:dyDescent="0.2">
      <c r="A7074">
        <v>7013</v>
      </c>
      <c r="B7074" s="138">
        <f>'Expenditures 15-22'!K216</f>
        <v>302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3771</v>
      </c>
      <c r="D7093" s="2" t="str">
        <f t="shared" si="109"/>
        <v>Error?</v>
      </c>
    </row>
    <row r="7094" spans="1:4" x14ac:dyDescent="0.2">
      <c r="A7094">
        <v>7033</v>
      </c>
      <c r="B7094" s="138">
        <f>'Expenditures 15-22'!K254</f>
        <v>3771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11675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11675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1802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1802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17024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17024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41607</v>
      </c>
      <c r="D7172" s="2" t="str">
        <f t="shared" si="111"/>
        <v>Error?</v>
      </c>
    </row>
    <row r="7173" spans="1:4" x14ac:dyDescent="0.2">
      <c r="A7173">
        <v>7112</v>
      </c>
      <c r="B7173" s="138">
        <f>'Expenditures 15-22'!D325</f>
        <v>2306</v>
      </c>
      <c r="D7173" s="2" t="str">
        <f t="shared" si="111"/>
        <v>Error?</v>
      </c>
    </row>
    <row r="7174" spans="1:4" x14ac:dyDescent="0.2">
      <c r="A7174">
        <v>7113</v>
      </c>
      <c r="B7174" s="138">
        <f>'Expenditures 15-22'!E325</f>
        <v>4043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47956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41607</v>
      </c>
      <c r="D7199" s="2" t="str">
        <f t="shared" si="111"/>
        <v>Error?</v>
      </c>
    </row>
    <row r="7200" spans="1:4" x14ac:dyDescent="0.2">
      <c r="A7200">
        <v>7139</v>
      </c>
      <c r="B7200" s="138">
        <f>'Expenditures 15-22'!D330</f>
        <v>2306</v>
      </c>
      <c r="D7200" s="2" t="str">
        <f t="shared" si="111"/>
        <v>Error?</v>
      </c>
    </row>
    <row r="7201" spans="1:4" x14ac:dyDescent="0.2">
      <c r="A7201">
        <v>7140</v>
      </c>
      <c r="B7201" s="138">
        <f>'Expenditures 15-22'!E330</f>
        <v>34544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78457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41607</v>
      </c>
      <c r="D7216" s="2" t="str">
        <f t="shared" si="111"/>
        <v>Error?</v>
      </c>
    </row>
    <row r="7217" spans="1:4" x14ac:dyDescent="0.2">
      <c r="A7217">
        <v>7156</v>
      </c>
      <c r="B7217" s="138">
        <f>'Expenditures 15-22'!D342</f>
        <v>2306</v>
      </c>
      <c r="D7217" s="2" t="str">
        <f t="shared" si="111"/>
        <v>Error?</v>
      </c>
    </row>
    <row r="7218" spans="1:4" x14ac:dyDescent="0.2">
      <c r="A7218">
        <v>7157</v>
      </c>
      <c r="B7218" s="138">
        <f>'Expenditures 15-22'!E342</f>
        <v>34544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2061</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80518</v>
      </c>
      <c r="D7224" s="2" t="str">
        <f t="shared" si="111"/>
        <v>Error?</v>
      </c>
    </row>
    <row r="7225" spans="1:4" x14ac:dyDescent="0.2">
      <c r="A7225">
        <v>7164</v>
      </c>
      <c r="B7225" s="138">
        <f>'Expenditures 15-22'!K343</f>
        <v>23841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904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2229</v>
      </c>
      <c r="D7624" s="2" t="str">
        <f t="shared" si="124"/>
        <v>Error?</v>
      </c>
      <c r="E7624" s="2" t="s">
        <v>19</v>
      </c>
    </row>
    <row r="7625" spans="1:5" x14ac:dyDescent="0.2">
      <c r="A7625">
        <f t="shared" si="123"/>
        <v>7564</v>
      </c>
      <c r="B7625" s="138">
        <f>'Cap Outlay Deprec 26'!I17</f>
        <v>222.9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67217.899999999994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5767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2061</v>
      </c>
      <c r="D7787" s="2" t="str">
        <f t="shared" si="127"/>
        <v>Error?</v>
      </c>
      <c r="E7787" s="4" t="s">
        <v>1967</v>
      </c>
    </row>
    <row r="7788" spans="1:5" x14ac:dyDescent="0.2">
      <c r="A7788">
        <v>7727</v>
      </c>
      <c r="B7788" s="138">
        <f>'Expenditures 15-22'!K333</f>
        <v>2061</v>
      </c>
      <c r="D7788" s="2" t="str">
        <f t="shared" si="127"/>
        <v>Error?</v>
      </c>
      <c r="E7788" s="4" t="s">
        <v>1967</v>
      </c>
    </row>
    <row r="7789" spans="1:5" x14ac:dyDescent="0.2">
      <c r="A7789">
        <v>7728</v>
      </c>
      <c r="B7789" s="138">
        <f>'Expenditures 15-22'!H334</f>
        <v>2061</v>
      </c>
      <c r="D7789" s="2" t="str">
        <f t="shared" si="127"/>
        <v>Error?</v>
      </c>
      <c r="E7789" s="4" t="s">
        <v>1967</v>
      </c>
    </row>
    <row r="7790" spans="1:5" x14ac:dyDescent="0.2">
      <c r="A7790">
        <v>7729</v>
      </c>
      <c r="B7790" s="138">
        <f>'Expenditures 15-22'!K334</f>
        <v>2061</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2061</v>
      </c>
      <c r="D7796" s="2" t="str">
        <f t="shared" si="127"/>
        <v>Error?</v>
      </c>
      <c r="E7796" s="4" t="s">
        <v>1967</v>
      </c>
    </row>
    <row r="7797" spans="1:5" x14ac:dyDescent="0.2">
      <c r="A7797">
        <v>7736</v>
      </c>
      <c r="B7797" s="138">
        <f>'Contracts Paid in CY 29'!D141</f>
        <v>8675</v>
      </c>
      <c r="D7797" s="2" t="str">
        <f t="shared" si="127"/>
        <v>Error?</v>
      </c>
      <c r="E7797" s="4" t="s">
        <v>2020</v>
      </c>
    </row>
    <row r="7798" spans="1:5" x14ac:dyDescent="0.2">
      <c r="A7798">
        <v>7737</v>
      </c>
      <c r="B7798" s="138">
        <f>'Contracts Paid in CY 29'!F141</f>
        <v>8675</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St. Rose SD 14-15</v>
      </c>
      <c r="B7" s="2421"/>
      <c r="C7" s="2421"/>
      <c r="D7" s="2422"/>
      <c r="E7" s="2423">
        <f>COVER!A13</f>
        <v>13014141502</v>
      </c>
      <c r="F7" s="2424"/>
      <c r="G7" s="2430" t="str">
        <f>COVER!T23</f>
        <v>066-005248</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Moore &amp; Simonin, PC</v>
      </c>
      <c r="H9" s="2436"/>
      <c r="I9" s="2436"/>
      <c r="J9" s="2436"/>
      <c r="K9" s="2436"/>
      <c r="L9" s="2437"/>
    </row>
    <row r="10" spans="1:29" ht="13.5" customHeight="1" x14ac:dyDescent="0.2">
      <c r="A10" s="2410">
        <f>COVER!A38</f>
        <v>0</v>
      </c>
      <c r="B10" s="2411"/>
      <c r="C10" s="2411"/>
      <c r="D10" s="2411"/>
      <c r="E10" s="2411"/>
      <c r="F10" s="2412"/>
      <c r="G10" s="2404" t="str">
        <f>COVER!T17</f>
        <v>3636 North Belt West</v>
      </c>
      <c r="H10" s="2405"/>
      <c r="I10" s="2405"/>
      <c r="J10" s="2405"/>
      <c r="K10" s="2405"/>
      <c r="L10" s="2406"/>
    </row>
    <row r="11" spans="1:29" ht="13.5" customHeight="1" x14ac:dyDescent="0.2">
      <c r="A11" s="1185" t="s">
        <v>1599</v>
      </c>
      <c r="B11" s="1186"/>
      <c r="C11" s="1187"/>
      <c r="D11" s="1192"/>
      <c r="E11" s="1187"/>
      <c r="F11" s="1191"/>
      <c r="G11" s="2404" t="str">
        <f>COVER!T19</f>
        <v>Belleville</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mooresimonin@mrsaccountants.com</v>
      </c>
      <c r="J13" s="2417"/>
      <c r="K13" s="2417"/>
      <c r="L13" s="2418"/>
    </row>
    <row r="14" spans="1:29" ht="13.5" customHeight="1" x14ac:dyDescent="0.2">
      <c r="A14" s="2404" t="str">
        <f>COVER!A19</f>
        <v>19004 St. Rose Rd</v>
      </c>
      <c r="B14" s="2405"/>
      <c r="C14" s="2405"/>
      <c r="D14" s="2405"/>
      <c r="E14" s="2405"/>
      <c r="F14" s="2406"/>
      <c r="G14" s="1196" t="s">
        <v>1247</v>
      </c>
      <c r="H14" s="1194"/>
      <c r="I14" s="1194"/>
      <c r="J14" s="1194"/>
      <c r="K14" s="1194"/>
      <c r="L14" s="1195"/>
    </row>
    <row r="15" spans="1:29" ht="13.5" customHeight="1" x14ac:dyDescent="0.2">
      <c r="A15" s="2404" t="str">
        <f>COVER!A21</f>
        <v>St. Rose</v>
      </c>
      <c r="B15" s="2405"/>
      <c r="C15" s="2405"/>
      <c r="D15" s="2405"/>
      <c r="E15" s="2405"/>
      <c r="F15" s="2406"/>
      <c r="G15" s="2401" t="str">
        <f>COVER!T15</f>
        <v>Robert E. Moore, CPA</v>
      </c>
      <c r="H15" s="2402"/>
      <c r="I15" s="2402"/>
      <c r="J15" s="2402"/>
      <c r="K15" s="2402"/>
      <c r="L15" s="2403"/>
    </row>
    <row r="16" spans="1:29" ht="12.2" customHeight="1" x14ac:dyDescent="0.2">
      <c r="A16" s="2426">
        <f>COVER!A25</f>
        <v>62230</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618-233-5049</v>
      </c>
      <c r="H18" s="2421"/>
      <c r="I18" s="2421"/>
      <c r="J18" s="2421"/>
      <c r="K18" s="2420" t="str">
        <f>COVER!X21</f>
        <v>618-233-1061</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St. Rose SD 14-15</v>
      </c>
      <c r="B1" s="2419"/>
      <c r="C1" s="2419"/>
      <c r="D1" s="2419"/>
    </row>
    <row r="2" spans="1:11" s="1215" customFormat="1" ht="12.75" x14ac:dyDescent="0.2">
      <c r="A2" s="2443">
        <f>'Single Audit Cover'!E7</f>
        <v>13014141502</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abSelected="1" zoomScale="110" zoomScaleNormal="110" zoomScaleSheetLayoutView="100" workbookViewId="0">
      <selection activeCell="A3" sqref="A3"/>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St. Rose SD 14-15</v>
      </c>
      <c r="B1" s="2446"/>
      <c r="C1" s="2446"/>
      <c r="D1" s="2446"/>
      <c r="E1" s="2446"/>
    </row>
    <row r="2" spans="1:5" x14ac:dyDescent="0.2">
      <c r="A2" s="2447">
        <f>'Single Audit Cover'!E7</f>
        <v>13014141502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78375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8559</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-153</v>
      </c>
    </row>
    <row r="19" spans="1:4" ht="13.5" thickBot="1" x14ac:dyDescent="0.25">
      <c r="A19" s="1265" t="s">
        <v>1297</v>
      </c>
      <c r="D19" s="1266">
        <f>SUM(D10:D17)</f>
        <v>86781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86781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86781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St. Rose SD 14-15</v>
      </c>
      <c r="B1" s="2459"/>
      <c r="C1" s="2459"/>
      <c r="D1" s="2459"/>
      <c r="E1" s="2459"/>
      <c r="F1" s="2459"/>
    </row>
    <row r="2" spans="1:7" ht="13.5" customHeight="1" x14ac:dyDescent="0.2">
      <c r="A2" s="2460">
        <f>'Single Audit Cover'!E7</f>
        <v>13014141502</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3">
        <f>+C33+C34</f>
        <v>0</v>
      </c>
      <c r="F34" s="245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70"/>
      <c r="C50" s="1870"/>
      <c r="D50" s="1870"/>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St. Rose SD 14-15</v>
      </c>
      <c r="C1" s="2463"/>
      <c r="D1" s="2463"/>
      <c r="E1" s="2463"/>
      <c r="F1" s="2463"/>
      <c r="G1" s="2463"/>
      <c r="H1" s="2463"/>
      <c r="I1" s="2463"/>
      <c r="J1" s="2463"/>
      <c r="K1" s="2463"/>
      <c r="L1" s="2463"/>
      <c r="M1" s="2463"/>
    </row>
    <row r="2" spans="2:14" ht="15" x14ac:dyDescent="0.2">
      <c r="B2" s="2460">
        <f>'Single Audit Cover'!E7</f>
        <v>13014141502</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sqref="A1:D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2078</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St. Rose SD 14-15</v>
      </c>
      <c r="C1" s="2478"/>
      <c r="D1" s="2478"/>
      <c r="E1" s="2478"/>
      <c r="F1" s="2478"/>
      <c r="G1" s="2478"/>
      <c r="H1" s="2478"/>
      <c r="I1" s="2478"/>
      <c r="J1" s="1422"/>
    </row>
    <row r="2" spans="2:10" s="317" customFormat="1" ht="12.75" customHeight="1" x14ac:dyDescent="0.2">
      <c r="B2" s="2479">
        <f>'Single Audit Cover'!E7</f>
        <v>13014141502</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1952</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St. Rose SD 14-15</v>
      </c>
      <c r="C1" s="2477"/>
      <c r="D1" s="2477"/>
      <c r="E1" s="2477"/>
      <c r="F1" s="2477"/>
      <c r="G1" s="2477"/>
      <c r="H1" s="2477"/>
      <c r="I1" s="2477"/>
      <c r="J1" s="2477"/>
      <c r="K1" s="2477"/>
      <c r="L1" s="1374"/>
      <c r="M1" s="1374"/>
    </row>
    <row r="2" spans="1:13" ht="12" customHeight="1" x14ac:dyDescent="0.2">
      <c r="B2" s="2479">
        <f>'Single Audit Cover'!E7</f>
        <v>13014141502</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2013</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2095</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2101</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2096</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2097</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2098</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t="s">
        <v>2099</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2100</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St. Rose SD 14-15</v>
      </c>
      <c r="C1" s="2500"/>
      <c r="D1" s="2500"/>
      <c r="E1" s="2500"/>
      <c r="F1" s="2500"/>
      <c r="G1" s="2500"/>
      <c r="H1" s="2500"/>
      <c r="I1" s="2500"/>
      <c r="J1" s="2500"/>
      <c r="K1" s="2500"/>
      <c r="L1" s="1465"/>
    </row>
    <row r="2" spans="1:12" ht="12.75" customHeight="1" x14ac:dyDescent="0.2">
      <c r="B2" s="2501">
        <f>'Single Audit Cover'!E7</f>
        <v>13014141502</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St. Rose SD 14-15</v>
      </c>
      <c r="C1" s="2477"/>
      <c r="D1" s="2477"/>
      <c r="E1" s="1491"/>
    </row>
    <row r="2" spans="2:5" s="1282" customFormat="1" ht="12.75" customHeight="1" x14ac:dyDescent="0.2">
      <c r="B2" s="2479">
        <f>'Single Audit Cover'!E7</f>
        <v>13014141502</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29981161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1.6E-2</v>
      </c>
      <c r="E10" s="356" t="s">
        <v>1062</v>
      </c>
      <c r="F10" s="355">
        <v>2.5000000000000001E-3</v>
      </c>
      <c r="G10" s="356" t="s">
        <v>1062</v>
      </c>
      <c r="H10" s="355">
        <v>1.1999999999999999E-3</v>
      </c>
      <c r="I10" s="356" t="s">
        <v>1063</v>
      </c>
      <c r="J10" s="1754">
        <f>ROUND(D10+F10+H10,5)</f>
        <v>1.9699999999999999E-2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1282339</v>
      </c>
      <c r="E16" s="356"/>
      <c r="F16" s="1755">
        <f>SUM('Acct Summary 7-8'!C17,'Acct Summary 7-8'!D17,'Acct Summary 7-8'!F17)</f>
        <v>1236497</v>
      </c>
      <c r="G16" s="356"/>
      <c r="H16" s="1755">
        <f>SUM(D16-F16)</f>
        <v>45842</v>
      </c>
      <c r="I16" s="222"/>
      <c r="J16" s="1755">
        <f>SUM('Acct Summary 7-8'!C81,'Acct Summary 7-8'!D81,'Acct Summary 7-8'!F81,'Acct Summary 7-8'!I81)</f>
        <v>745613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2068700.1090000002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D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 Rose SD 14-15</v>
      </c>
      <c r="E7" s="391"/>
      <c r="G7" s="252"/>
      <c r="H7" s="387"/>
      <c r="I7" s="387"/>
      <c r="J7" s="387"/>
      <c r="K7" s="387"/>
      <c r="L7" s="329"/>
      <c r="M7" s="329"/>
      <c r="N7" s="329"/>
      <c r="O7" s="329"/>
      <c r="P7" s="329"/>
    </row>
    <row r="8" spans="1:18" ht="12.75" x14ac:dyDescent="0.2">
      <c r="A8" s="329"/>
      <c r="B8" s="329"/>
      <c r="C8" s="389" t="s">
        <v>1187</v>
      </c>
      <c r="D8" s="392">
        <f>COVER!A13</f>
        <v>13014141502</v>
      </c>
      <c r="E8" s="393"/>
      <c r="G8" s="329"/>
      <c r="H8" s="329"/>
      <c r="I8" s="329"/>
      <c r="J8" s="329"/>
      <c r="K8" s="329"/>
      <c r="L8" s="329"/>
      <c r="M8" s="329"/>
      <c r="N8" s="329"/>
      <c r="O8" s="329"/>
      <c r="P8" s="329"/>
    </row>
    <row r="9" spans="1:18" ht="12.75" x14ac:dyDescent="0.2">
      <c r="A9" s="329"/>
      <c r="B9" s="329"/>
      <c r="C9" s="389" t="s">
        <v>737</v>
      </c>
      <c r="D9" s="394" t="str">
        <f>COVER!A15</f>
        <v>Cinton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745613</v>
      </c>
      <c r="I12" s="404"/>
      <c r="J12" s="404"/>
      <c r="K12" s="405">
        <f>TRUNC((H12/H13*100000),5)/100000</f>
        <v>0.5814476515</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1282339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1236497</v>
      </c>
      <c r="I17" s="404"/>
      <c r="J17" s="416"/>
      <c r="K17" s="405">
        <f>TRUNC((H17/H18*100000),5)/100000</f>
        <v>0.96425126269999994</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1282339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765679</v>
      </c>
      <c r="I24" s="422"/>
      <c r="J24" s="422"/>
      <c r="K24" s="423">
        <f>TRUNC(((H24/H25*100000)/100000),2)</f>
        <v>222.92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3434.71389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502034.54095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2068700.1090000002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4" activePane="bottomLeft" state="frozen"/>
      <selection sqref="A1:D1"/>
      <selection pane="bottomLeft" sqref="A1:D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3600</v>
      </c>
      <c r="D4" s="466">
        <v>158552</v>
      </c>
      <c r="E4" s="466"/>
      <c r="F4" s="466">
        <v>203793</v>
      </c>
      <c r="G4" s="466">
        <v>232342</v>
      </c>
      <c r="H4" s="466"/>
      <c r="I4" s="466">
        <v>150332</v>
      </c>
      <c r="J4" s="467">
        <v>166935</v>
      </c>
      <c r="K4" s="466"/>
      <c r="L4" s="466"/>
      <c r="M4" s="468"/>
      <c r="N4" s="469"/>
    </row>
    <row r="5" spans="1:14" x14ac:dyDescent="0.2">
      <c r="A5" s="463" t="s">
        <v>1049</v>
      </c>
      <c r="B5" s="470">
        <v>120</v>
      </c>
      <c r="C5" s="465">
        <v>249402</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253002</v>
      </c>
      <c r="D13" s="1759">
        <f t="shared" ref="D13:L13" si="0">SUM(D4:D12)</f>
        <v>158552</v>
      </c>
      <c r="E13" s="1759">
        <f t="shared" si="0"/>
        <v>0</v>
      </c>
      <c r="F13" s="1759">
        <f t="shared" si="0"/>
        <v>203793</v>
      </c>
      <c r="G13" s="1759">
        <f t="shared" si="0"/>
        <v>232342</v>
      </c>
      <c r="H13" s="1759">
        <f t="shared" si="0"/>
        <v>0</v>
      </c>
      <c r="I13" s="1759">
        <f t="shared" si="0"/>
        <v>150332</v>
      </c>
      <c r="J13" s="1759">
        <f t="shared" si="0"/>
        <v>166935</v>
      </c>
      <c r="K13" s="1759">
        <f t="shared" si="0"/>
        <v>0</v>
      </c>
      <c r="L13" s="1759">
        <f t="shared" si="0"/>
        <v>0</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1585778</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676414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2262192</v>
      </c>
      <c r="N23" s="1710">
        <f>SUM(N21:N22)</f>
        <v>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20066</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20066</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v>110041</v>
      </c>
      <c r="H38" s="466"/>
      <c r="I38" s="466"/>
      <c r="J38" s="467"/>
      <c r="K38" s="466"/>
      <c r="L38" s="481"/>
      <c r="M38" s="497"/>
      <c r="N38" s="497"/>
    </row>
    <row r="39" spans="1:14" s="329" customFormat="1" ht="13.5" customHeight="1" x14ac:dyDescent="0.2">
      <c r="A39" s="496" t="s">
        <v>360</v>
      </c>
      <c r="B39" s="483">
        <v>730</v>
      </c>
      <c r="C39" s="466">
        <v>232936</v>
      </c>
      <c r="D39" s="466">
        <v>158552</v>
      </c>
      <c r="E39" s="466"/>
      <c r="F39" s="466">
        <v>203793</v>
      </c>
      <c r="G39" s="466">
        <v>122301</v>
      </c>
      <c r="H39" s="466"/>
      <c r="I39" s="466">
        <v>150332</v>
      </c>
      <c r="J39" s="467">
        <v>166935</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2262192</v>
      </c>
      <c r="N40" s="497"/>
    </row>
    <row r="41" spans="1:14" ht="13.5" customHeight="1" thickBot="1" x14ac:dyDescent="0.25">
      <c r="A41" s="1758" t="s">
        <v>676</v>
      </c>
      <c r="B41" s="1728"/>
      <c r="C41" s="1710">
        <f>(SUM(C34,C37,C38,C39))</f>
        <v>253002</v>
      </c>
      <c r="D41" s="1710">
        <f t="shared" ref="D41:L41" si="2">SUM(D34,D37,D38:D39)</f>
        <v>158552</v>
      </c>
      <c r="E41" s="1710">
        <f t="shared" si="2"/>
        <v>0</v>
      </c>
      <c r="F41" s="1710">
        <f t="shared" si="2"/>
        <v>203793</v>
      </c>
      <c r="G41" s="1710">
        <f t="shared" si="2"/>
        <v>232342</v>
      </c>
      <c r="H41" s="1710">
        <f t="shared" si="2"/>
        <v>0</v>
      </c>
      <c r="I41" s="1710">
        <f t="shared" si="2"/>
        <v>150332</v>
      </c>
      <c r="J41" s="1710">
        <f t="shared" si="2"/>
        <v>166935</v>
      </c>
      <c r="K41" s="1710">
        <f t="shared" si="2"/>
        <v>0</v>
      </c>
      <c r="L41" s="1710">
        <f t="shared" si="2"/>
        <v>0</v>
      </c>
      <c r="M41" s="1710">
        <f>SUM(M40)</f>
        <v>2262192</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9" activePane="bottomLeft" state="frozenSplit"/>
      <selection sqref="A1:D1"/>
      <selection pane="bottomLeft" sqref="A1:D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627289</v>
      </c>
      <c r="D4" s="1764">
        <f>'Revenues 9-14'!D109</f>
        <v>86561</v>
      </c>
      <c r="E4" s="1764">
        <f>'Revenues 9-14'!E109</f>
        <v>0</v>
      </c>
      <c r="F4" s="1764">
        <f>'Revenues 9-14'!F109</f>
        <v>69698</v>
      </c>
      <c r="G4" s="1764">
        <f>'Revenues 9-14'!G109</f>
        <v>27693</v>
      </c>
      <c r="H4" s="1764">
        <f>'Revenues 9-14'!H109</f>
        <v>0</v>
      </c>
      <c r="I4" s="1764">
        <f>'Revenues 9-14'!I109</f>
        <v>15332</v>
      </c>
      <c r="J4" s="1764">
        <f>'Revenues 9-14'!J109</f>
        <v>104359</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350615</v>
      </c>
      <c r="D6" s="1765">
        <f>'Revenues 9-14'!D173</f>
        <v>0</v>
      </c>
      <c r="E6" s="1765">
        <f>'Revenues 9-14'!E173</f>
        <v>0</v>
      </c>
      <c r="F6" s="1765">
        <f>'Revenues 9-14'!F173</f>
        <v>54469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78375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1056279</v>
      </c>
      <c r="D8" s="1710">
        <f t="shared" ref="D8:K8" si="0">SUM(D4:D7)</f>
        <v>86561</v>
      </c>
      <c r="E8" s="1710">
        <f t="shared" si="0"/>
        <v>0</v>
      </c>
      <c r="F8" s="1710">
        <f t="shared" si="0"/>
        <v>124167</v>
      </c>
      <c r="G8" s="1710">
        <f t="shared" si="0"/>
        <v>27693</v>
      </c>
      <c r="H8" s="1710">
        <f t="shared" si="0"/>
        <v>0</v>
      </c>
      <c r="I8" s="1710">
        <f t="shared" si="0"/>
        <v>15332</v>
      </c>
      <c r="J8" s="1710">
        <f t="shared" si="0"/>
        <v>104359</v>
      </c>
      <c r="K8" s="1710">
        <f t="shared" si="0"/>
        <v>0</v>
      </c>
      <c r="L8" s="347"/>
    </row>
    <row r="9" spans="1:13" ht="15.75" thickTop="1" x14ac:dyDescent="0.2">
      <c r="A9" s="514" t="s">
        <v>1752</v>
      </c>
      <c r="B9" s="515">
        <v>3998</v>
      </c>
      <c r="C9" s="481">
        <v>616006</v>
      </c>
      <c r="D9" s="516"/>
      <c r="E9" s="481"/>
      <c r="F9" s="481"/>
      <c r="G9" s="517"/>
      <c r="H9" s="481"/>
      <c r="I9" s="509" t="s">
        <v>1231</v>
      </c>
      <c r="J9" s="478"/>
      <c r="K9" s="481"/>
      <c r="L9" s="347"/>
    </row>
    <row r="10" spans="1:13" s="519" customFormat="1" ht="13.5" thickBot="1" x14ac:dyDescent="0.25">
      <c r="A10" s="1758" t="s">
        <v>1235</v>
      </c>
      <c r="B10" s="1731"/>
      <c r="C10" s="1710">
        <f>SUM(C8:C9)</f>
        <v>1672285</v>
      </c>
      <c r="D10" s="1710">
        <f t="shared" ref="D10:K10" si="1">SUM(D8:D9)</f>
        <v>86561</v>
      </c>
      <c r="E10" s="1710">
        <f t="shared" si="1"/>
        <v>0</v>
      </c>
      <c r="F10" s="1710">
        <f t="shared" si="1"/>
        <v>124167</v>
      </c>
      <c r="G10" s="1710">
        <f t="shared" si="1"/>
        <v>27693</v>
      </c>
      <c r="H10" s="1710">
        <f t="shared" si="1"/>
        <v>0</v>
      </c>
      <c r="I10" s="1710">
        <f t="shared" si="1"/>
        <v>15332</v>
      </c>
      <c r="J10" s="1710">
        <f t="shared" si="1"/>
        <v>104359</v>
      </c>
      <c r="K10" s="1710">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822486</v>
      </c>
      <c r="D12" s="520" t="s">
        <v>1231</v>
      </c>
      <c r="E12" s="468" t="s">
        <v>1231</v>
      </c>
      <c r="F12" s="468" t="s">
        <v>1231</v>
      </c>
      <c r="G12" s="1764">
        <f>'Expenditures 15-22'!K229</f>
        <v>18252</v>
      </c>
      <c r="H12" s="521"/>
      <c r="I12" s="468" t="s">
        <v>1231</v>
      </c>
      <c r="J12" s="468" t="s">
        <v>1231</v>
      </c>
      <c r="K12" s="521" t="s">
        <v>1231</v>
      </c>
      <c r="L12" s="347"/>
    </row>
    <row r="13" spans="1:13" ht="15.75" customHeight="1" x14ac:dyDescent="0.2">
      <c r="A13" s="1598" t="s">
        <v>477</v>
      </c>
      <c r="B13" s="1600">
        <v>2000</v>
      </c>
      <c r="C13" s="1765">
        <f>'Expenditures 15-22'!K74</f>
        <v>250151</v>
      </c>
      <c r="D13" s="1765">
        <f>'Expenditures 15-22'!K129</f>
        <v>78666</v>
      </c>
      <c r="E13" s="469" t="s">
        <v>1231</v>
      </c>
      <c r="F13" s="1765">
        <f>'Expenditures 15-22'!K184</f>
        <v>71733</v>
      </c>
      <c r="G13" s="1765">
        <f>'Expenditures 15-22'!K279</f>
        <v>28497</v>
      </c>
      <c r="H13" s="1765">
        <f>'Expenditures 15-22'!K303</f>
        <v>0</v>
      </c>
      <c r="I13" s="468" t="s">
        <v>1231</v>
      </c>
      <c r="J13" s="1765">
        <f>'Expenditures 15-22'!K330</f>
        <v>78457</v>
      </c>
      <c r="K13" s="1769">
        <f>'Expenditures 15-22'!K352</f>
        <v>0</v>
      </c>
      <c r="L13" s="347"/>
    </row>
    <row r="14" spans="1:13" ht="15.75" customHeight="1" x14ac:dyDescent="0.2">
      <c r="A14" s="1598" t="s">
        <v>469</v>
      </c>
      <c r="B14" s="1600">
        <v>3000</v>
      </c>
      <c r="C14" s="1765">
        <f>'Expenditures 15-22'!K75</f>
        <v>42</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13419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2061</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1086098</v>
      </c>
      <c r="D17" s="1710">
        <f t="shared" si="2"/>
        <v>78666</v>
      </c>
      <c r="E17" s="1710">
        <f t="shared" si="2"/>
        <v>0</v>
      </c>
      <c r="F17" s="1710">
        <f t="shared" si="2"/>
        <v>71733</v>
      </c>
      <c r="G17" s="1710">
        <f t="shared" si="2"/>
        <v>46749</v>
      </c>
      <c r="H17" s="1710">
        <f t="shared" si="2"/>
        <v>0</v>
      </c>
      <c r="I17" s="468"/>
      <c r="J17" s="1710">
        <f>SUM(J12:J16)</f>
        <v>80518</v>
      </c>
      <c r="K17" s="1710">
        <f>SUM(K12:K16)</f>
        <v>0</v>
      </c>
      <c r="L17" s="347"/>
    </row>
    <row r="18" spans="1:12" ht="15" customHeight="1" thickTop="1" x14ac:dyDescent="0.2">
      <c r="A18" s="1766" t="s">
        <v>1753</v>
      </c>
      <c r="B18" s="1767">
        <v>4180</v>
      </c>
      <c r="C18" s="1764">
        <f t="shared" ref="C18:H18" si="3">C9</f>
        <v>616006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1702104</v>
      </c>
      <c r="D19" s="1710">
        <f t="shared" si="4"/>
        <v>78666</v>
      </c>
      <c r="E19" s="1710">
        <f t="shared" si="4"/>
        <v>0</v>
      </c>
      <c r="F19" s="1710">
        <f t="shared" si="4"/>
        <v>71733</v>
      </c>
      <c r="G19" s="1710">
        <f t="shared" si="4"/>
        <v>46749</v>
      </c>
      <c r="H19" s="1710">
        <f t="shared" si="4"/>
        <v>0</v>
      </c>
      <c r="I19" s="468"/>
      <c r="J19" s="1710">
        <f>SUM(J17:J18)</f>
        <v>80518</v>
      </c>
      <c r="K19" s="1710">
        <f>SUM(K17:K18)</f>
        <v>0</v>
      </c>
      <c r="L19" s="347"/>
    </row>
    <row r="20" spans="1:12" ht="16.5" thickTop="1" thickBot="1" x14ac:dyDescent="0.25">
      <c r="A20" s="2143" t="s">
        <v>1754</v>
      </c>
      <c r="B20" s="2144"/>
      <c r="C20" s="1768">
        <f>C8-C17</f>
        <v>-29819</v>
      </c>
      <c r="D20" s="1768">
        <f t="shared" ref="D20:K20" si="5">D8-D17</f>
        <v>7895</v>
      </c>
      <c r="E20" s="1768">
        <f t="shared" si="5"/>
        <v>0</v>
      </c>
      <c r="F20" s="1768">
        <f t="shared" si="5"/>
        <v>52434</v>
      </c>
      <c r="G20" s="1768">
        <f t="shared" si="5"/>
        <v>-19056</v>
      </c>
      <c r="H20" s="1768">
        <f t="shared" si="5"/>
        <v>0</v>
      </c>
      <c r="I20" s="1768">
        <f t="shared" si="5"/>
        <v>15332</v>
      </c>
      <c r="J20" s="1768">
        <f t="shared" si="5"/>
        <v>23841</v>
      </c>
      <c r="K20" s="1768">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-29819</v>
      </c>
      <c r="D78" s="1724">
        <f t="shared" si="9"/>
        <v>7895</v>
      </c>
      <c r="E78" s="1724">
        <f t="shared" si="9"/>
        <v>0</v>
      </c>
      <c r="F78" s="1724">
        <f t="shared" si="9"/>
        <v>52434</v>
      </c>
      <c r="G78" s="1724">
        <f t="shared" si="9"/>
        <v>-19056</v>
      </c>
      <c r="H78" s="1724">
        <f t="shared" si="9"/>
        <v>0</v>
      </c>
      <c r="I78" s="1724">
        <f t="shared" si="9"/>
        <v>15332</v>
      </c>
      <c r="J78" s="1724">
        <f t="shared" si="9"/>
        <v>23841</v>
      </c>
      <c r="K78" s="1724">
        <f t="shared" si="9"/>
        <v>0</v>
      </c>
      <c r="L78" s="533"/>
    </row>
    <row r="79" spans="1:12" ht="13.5" thickTop="1" x14ac:dyDescent="0.2">
      <c r="A79" s="1516" t="s">
        <v>2073</v>
      </c>
      <c r="B79" s="534"/>
      <c r="C79" s="478">
        <v>262755</v>
      </c>
      <c r="D79" s="535">
        <v>150657</v>
      </c>
      <c r="E79" s="535"/>
      <c r="F79" s="535">
        <v>151359</v>
      </c>
      <c r="G79" s="535">
        <v>251398</v>
      </c>
      <c r="H79" s="535"/>
      <c r="I79" s="535">
        <v>135000</v>
      </c>
      <c r="J79" s="535">
        <v>143094</v>
      </c>
      <c r="K79" s="535"/>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232936</v>
      </c>
      <c r="D81" s="1710">
        <f>SUM(D78:D80)</f>
        <v>158552</v>
      </c>
      <c r="E81" s="1710">
        <f t="shared" ref="E81:K81" si="10">SUM(E78:E80)</f>
        <v>0</v>
      </c>
      <c r="F81" s="1710">
        <f t="shared" si="10"/>
        <v>203793</v>
      </c>
      <c r="G81" s="1710">
        <f t="shared" si="10"/>
        <v>232342</v>
      </c>
      <c r="H81" s="1710">
        <f t="shared" si="10"/>
        <v>0</v>
      </c>
      <c r="I81" s="1710">
        <f t="shared" si="10"/>
        <v>150332</v>
      </c>
      <c r="J81" s="1710">
        <f t="shared" si="10"/>
        <v>166935</v>
      </c>
      <c r="K81" s="1710">
        <f t="shared" si="10"/>
        <v>0</v>
      </c>
      <c r="L81" s="347"/>
    </row>
    <row r="82" spans="1:12" ht="0.75" customHeight="1" thickTop="1" thickBot="1" x14ac:dyDescent="0.25">
      <c r="A82" s="536" t="s">
        <v>361</v>
      </c>
      <c r="B82" s="537"/>
      <c r="C82" s="538">
        <f>(C81-C79)</f>
        <v>-29819</v>
      </c>
      <c r="D82" s="538">
        <f t="shared" ref="D82:K82" si="11">(D81-D79)</f>
        <v>7895</v>
      </c>
      <c r="E82" s="538">
        <f t="shared" si="11"/>
        <v>0</v>
      </c>
      <c r="F82" s="538">
        <f t="shared" si="11"/>
        <v>52434</v>
      </c>
      <c r="G82" s="538">
        <f t="shared" si="11"/>
        <v>-19056</v>
      </c>
      <c r="H82" s="538">
        <f t="shared" si="11"/>
        <v>0</v>
      </c>
      <c r="I82" s="538">
        <f t="shared" si="11"/>
        <v>15332</v>
      </c>
      <c r="J82" s="538">
        <f t="shared" si="11"/>
        <v>23841</v>
      </c>
      <c r="K82" s="538">
        <f t="shared" si="11"/>
        <v>0</v>
      </c>
    </row>
    <row r="83" spans="1:12" ht="14.25" hidden="1" thickTop="1" thickBot="1" x14ac:dyDescent="0.25">
      <c r="A83" s="539" t="s">
        <v>362</v>
      </c>
      <c r="B83" s="464"/>
      <c r="C83" s="540">
        <f>C82/C81</f>
        <v>-0.12801370333482159</v>
      </c>
      <c r="D83" s="540">
        <f t="shared" ref="D83:K83" si="12">D82/D81</f>
        <v>4.9794389222463292E-2</v>
      </c>
      <c r="E83" s="540" t="e">
        <f t="shared" si="12"/>
        <v>#DIV/0!</v>
      </c>
      <c r="F83" s="540">
        <f t="shared" si="12"/>
        <v>0.2572904859342568</v>
      </c>
      <c r="G83" s="540">
        <f t="shared" si="12"/>
        <v>-8.2017026624544853E-2</v>
      </c>
      <c r="H83" s="540" t="e">
        <f t="shared" si="12"/>
        <v>#DIV/0!</v>
      </c>
      <c r="I83" s="540">
        <f t="shared" si="12"/>
        <v>0.10198760077694702</v>
      </c>
      <c r="J83" s="540">
        <f t="shared" si="12"/>
        <v>0.14281606613352502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5" activePane="bottomLeft" state="frozen"/>
      <selection sqref="A1:D1"/>
      <selection pane="bottomLeft" activeCell="D14" sqref="D1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461275</v>
      </c>
      <c r="D5" s="481">
        <v>72060</v>
      </c>
      <c r="E5" s="466"/>
      <c r="F5" s="548">
        <v>34597</v>
      </c>
      <c r="G5" s="466">
        <v>12753</v>
      </c>
      <c r="H5" s="466"/>
      <c r="I5" s="466">
        <v>14417</v>
      </c>
      <c r="J5" s="467">
        <v>98001</v>
      </c>
      <c r="K5" s="466"/>
    </row>
    <row r="6" spans="1:12" ht="15" x14ac:dyDescent="0.2">
      <c r="A6" s="463" t="s">
        <v>1761</v>
      </c>
      <c r="B6" s="470">
        <v>1130</v>
      </c>
      <c r="C6" s="466"/>
      <c r="D6" s="466">
        <v>14415</v>
      </c>
      <c r="E6" s="475"/>
      <c r="F6" s="475"/>
      <c r="G6" s="468"/>
      <c r="H6" s="468"/>
      <c r="I6" s="468"/>
      <c r="J6" s="468"/>
      <c r="K6" s="468"/>
    </row>
    <row r="7" spans="1:12" x14ac:dyDescent="0.2">
      <c r="A7" s="463" t="s">
        <v>112</v>
      </c>
      <c r="B7" s="549">
        <v>1140</v>
      </c>
      <c r="C7" s="466">
        <v>5767</v>
      </c>
      <c r="D7" s="466"/>
      <c r="E7" s="468"/>
      <c r="F7" s="467"/>
      <c r="G7" s="467"/>
      <c r="H7" s="467"/>
      <c r="I7" s="468"/>
      <c r="J7" s="468"/>
      <c r="K7" s="468"/>
    </row>
    <row r="8" spans="1:12" x14ac:dyDescent="0.2">
      <c r="A8" s="463" t="s">
        <v>433</v>
      </c>
      <c r="B8" s="470">
        <v>1150</v>
      </c>
      <c r="C8" s="475"/>
      <c r="D8" s="475"/>
      <c r="E8" s="477"/>
      <c r="F8" s="477"/>
      <c r="G8" s="481">
        <v>12862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467042</v>
      </c>
      <c r="D12" s="1729">
        <f t="shared" si="0"/>
        <v>86475</v>
      </c>
      <c r="E12" s="1729">
        <f t="shared" si="0"/>
        <v>0</v>
      </c>
      <c r="F12" s="1729">
        <f t="shared" si="0"/>
        <v>34597</v>
      </c>
      <c r="G12" s="1729">
        <f t="shared" si="0"/>
        <v>25615</v>
      </c>
      <c r="H12" s="1729">
        <f t="shared" si="0"/>
        <v>0</v>
      </c>
      <c r="I12" s="1729">
        <f t="shared" si="0"/>
        <v>14417</v>
      </c>
      <c r="J12" s="1729">
        <f t="shared" si="0"/>
        <v>98001</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v>15</v>
      </c>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8203</v>
      </c>
      <c r="D16" s="466"/>
      <c r="E16" s="466"/>
      <c r="F16" s="466"/>
      <c r="G16" s="466">
        <v>1109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8203</v>
      </c>
      <c r="D18" s="1732">
        <f t="shared" ref="D18:K18" si="1">SUM(D14:D17)</f>
        <v>15</v>
      </c>
      <c r="E18" s="1732">
        <f t="shared" si="1"/>
        <v>0</v>
      </c>
      <c r="F18" s="1732">
        <f t="shared" si="1"/>
        <v>0</v>
      </c>
      <c r="G18" s="1732">
        <f t="shared" si="1"/>
        <v>1109</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24850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24850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32299</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32299</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3178</v>
      </c>
      <c r="D65" s="466">
        <v>71</v>
      </c>
      <c r="E65" s="466"/>
      <c r="F65" s="467">
        <v>557</v>
      </c>
      <c r="G65" s="466">
        <v>969</v>
      </c>
      <c r="H65" s="466"/>
      <c r="I65" s="466">
        <v>915</v>
      </c>
      <c r="J65" s="467">
        <v>694</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3178</v>
      </c>
      <c r="D67" s="1710">
        <f t="shared" ref="D67:K67" si="2">SUM(D65:D66)</f>
        <v>71</v>
      </c>
      <c r="E67" s="1710">
        <f t="shared" si="2"/>
        <v>0</v>
      </c>
      <c r="F67" s="1710">
        <f t="shared" si="2"/>
        <v>557</v>
      </c>
      <c r="G67" s="1710">
        <f t="shared" si="2"/>
        <v>969</v>
      </c>
      <c r="H67" s="1710">
        <f t="shared" si="2"/>
        <v>0</v>
      </c>
      <c r="I67" s="1710">
        <f t="shared" si="2"/>
        <v>915</v>
      </c>
      <c r="J67" s="1710">
        <f t="shared" si="2"/>
        <v>694</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49425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7871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3302</v>
      </c>
      <c r="D73" s="468"/>
      <c r="E73" s="468"/>
      <c r="F73" s="468"/>
      <c r="G73" s="468"/>
      <c r="H73" s="468"/>
      <c r="I73" s="468"/>
      <c r="J73" s="468"/>
      <c r="K73" s="468"/>
    </row>
    <row r="74" spans="1:11" ht="12.75" customHeight="1" x14ac:dyDescent="0.2">
      <c r="A74" s="463" t="s">
        <v>25</v>
      </c>
      <c r="B74" s="470">
        <v>1690</v>
      </c>
      <c r="C74" s="551">
        <v>80</v>
      </c>
      <c r="D74" s="468"/>
      <c r="E74" s="468"/>
      <c r="F74" s="468"/>
      <c r="G74" s="468"/>
      <c r="H74" s="468"/>
      <c r="I74" s="468"/>
      <c r="J74" s="468"/>
      <c r="K74" s="468"/>
    </row>
    <row r="75" spans="1:11" ht="12.75" customHeight="1" thickBot="1" x14ac:dyDescent="0.25">
      <c r="A75" s="1730" t="s">
        <v>569</v>
      </c>
      <c r="B75" s="1731"/>
      <c r="C75" s="1710">
        <f>SUM(C69:C74)</f>
        <v>60678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13168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10606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190</v>
      </c>
      <c r="D81" s="466"/>
      <c r="E81" s="468"/>
      <c r="F81" s="468"/>
      <c r="G81" s="468"/>
      <c r="H81" s="468"/>
      <c r="I81" s="468"/>
      <c r="J81" s="468"/>
      <c r="K81" s="468"/>
    </row>
    <row r="82" spans="1:11" ht="12.75" customHeight="1" thickBot="1" x14ac:dyDescent="0.25">
      <c r="A82" s="1730" t="s">
        <v>259</v>
      </c>
      <c r="B82" s="1731"/>
      <c r="C82" s="1729">
        <f>SUM(C77:C81)</f>
        <v>23964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14325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14325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16551</v>
      </c>
      <c r="D96" s="551"/>
      <c r="E96" s="479"/>
      <c r="F96" s="478">
        <v>365</v>
      </c>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3750</v>
      </c>
      <c r="D98" s="466"/>
      <c r="E98" s="512"/>
      <c r="F98" s="466"/>
      <c r="G98" s="512"/>
      <c r="H98" s="512"/>
      <c r="I98" s="510"/>
      <c r="J98" s="512"/>
      <c r="K98" s="512"/>
    </row>
    <row r="99" spans="1:12" ht="12.75" customHeight="1" x14ac:dyDescent="0.2">
      <c r="A99" s="463" t="s">
        <v>875</v>
      </c>
      <c r="B99" s="470">
        <v>1950</v>
      </c>
      <c r="C99" s="489">
        <v>422</v>
      </c>
      <c r="D99" s="466"/>
      <c r="E99" s="466"/>
      <c r="F99" s="466"/>
      <c r="G99" s="466"/>
      <c r="H99" s="466"/>
      <c r="I99" s="468"/>
      <c r="J99" s="467">
        <v>5664</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4326</v>
      </c>
      <c r="D107" s="466"/>
      <c r="E107" s="466"/>
      <c r="F107" s="466">
        <v>1880</v>
      </c>
      <c r="G107" s="466"/>
      <c r="H107" s="466"/>
      <c r="I107" s="466"/>
      <c r="J107" s="467"/>
      <c r="K107" s="466"/>
    </row>
    <row r="108" spans="1:12" ht="12.75" customHeight="1" thickBot="1" x14ac:dyDescent="0.25">
      <c r="A108" s="1730" t="s">
        <v>508</v>
      </c>
      <c r="B108" s="1734"/>
      <c r="C108" s="1729">
        <f>SUM(C95:C107)</f>
        <v>25049</v>
      </c>
      <c r="D108" s="1729">
        <f t="shared" ref="D108:K108" si="3">SUM(D95:D107)</f>
        <v>0</v>
      </c>
      <c r="E108" s="1729">
        <f t="shared" si="3"/>
        <v>0</v>
      </c>
      <c r="F108" s="1729">
        <f t="shared" si="3"/>
        <v>2245</v>
      </c>
      <c r="G108" s="1729">
        <f t="shared" si="3"/>
        <v>0</v>
      </c>
      <c r="H108" s="1729">
        <f t="shared" si="3"/>
        <v>0</v>
      </c>
      <c r="I108" s="1729">
        <f t="shared" si="3"/>
        <v>0</v>
      </c>
      <c r="J108" s="1729">
        <f t="shared" si="3"/>
        <v>5664</v>
      </c>
      <c r="K108" s="1710">
        <f t="shared" si="3"/>
        <v>0</v>
      </c>
    </row>
    <row r="109" spans="1:12" ht="14.25" thickTop="1" thickBot="1" x14ac:dyDescent="0.25">
      <c r="A109" s="1735" t="s">
        <v>266</v>
      </c>
      <c r="B109" s="1736" t="s">
        <v>591</v>
      </c>
      <c r="C109" s="1737">
        <f t="shared" ref="C109:K109" si="4">SUM(C12,C18,C40,C63,C67,C75,C82,C93,C108,)</f>
        <v>627289</v>
      </c>
      <c r="D109" s="1737">
        <f t="shared" si="4"/>
        <v>86561</v>
      </c>
      <c r="E109" s="1737">
        <f t="shared" si="4"/>
        <v>0</v>
      </c>
      <c r="F109" s="1737">
        <f t="shared" si="4"/>
        <v>69698</v>
      </c>
      <c r="G109" s="1737">
        <f t="shared" si="4"/>
        <v>27693</v>
      </c>
      <c r="H109" s="1737">
        <f t="shared" si="4"/>
        <v>0</v>
      </c>
      <c r="I109" s="1737">
        <f t="shared" si="4"/>
        <v>15332</v>
      </c>
      <c r="J109" s="1737">
        <f t="shared" si="4"/>
        <v>104359</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335542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335542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9698</v>
      </c>
      <c r="D125" s="561"/>
      <c r="E125" s="468"/>
      <c r="F125" s="466"/>
      <c r="G125" s="468"/>
      <c r="H125" s="468"/>
      <c r="I125" s="468"/>
      <c r="J125" s="468"/>
      <c r="K125" s="468"/>
    </row>
    <row r="126" spans="1:11" ht="12.75" customHeight="1" x14ac:dyDescent="0.2">
      <c r="A126" s="463" t="s">
        <v>922</v>
      </c>
      <c r="B126" s="562">
        <v>3110</v>
      </c>
      <c r="C126" s="551">
        <v>5197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14895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178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54469</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54469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15073</v>
      </c>
      <c r="D172" s="1744">
        <f t="shared" si="6"/>
        <v>0</v>
      </c>
      <c r="E172" s="1744">
        <f t="shared" si="6"/>
        <v>0</v>
      </c>
      <c r="F172" s="1744">
        <f t="shared" si="6"/>
        <v>54469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350615</v>
      </c>
      <c r="D173" s="1737">
        <f>SUM(D121,D172)</f>
        <v>0</v>
      </c>
      <c r="E173" s="1737">
        <f>SUM(E121,E172)</f>
        <v>0</v>
      </c>
      <c r="F173" s="1737">
        <f t="shared" ref="F173:K173" si="7">SUM(F121,F172)</f>
        <v>54469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15595</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15595</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21843</v>
      </c>
      <c r="D194" s="468"/>
      <c r="E194" s="561"/>
      <c r="F194" s="468"/>
      <c r="G194" s="585"/>
      <c r="H194" s="468"/>
      <c r="I194" s="468"/>
      <c r="J194" s="468"/>
      <c r="K194" s="468"/>
    </row>
    <row r="195" spans="1:11" ht="12.75" customHeight="1" x14ac:dyDescent="0.2">
      <c r="A195" s="463" t="s">
        <v>1107</v>
      </c>
      <c r="B195" s="470">
        <v>4215</v>
      </c>
      <c r="C195" s="551">
        <v>400</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22243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22454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22454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7344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7344</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4855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4855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5270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461</v>
      </c>
      <c r="D270" s="576"/>
      <c r="E270" s="468"/>
      <c r="F270" s="576"/>
      <c r="G270" s="576"/>
      <c r="H270" s="468"/>
      <c r="I270" s="468"/>
      <c r="J270" s="468"/>
      <c r="K270" s="468"/>
    </row>
    <row r="271" spans="1:11" ht="12.75" customHeight="1" thickTop="1" thickBot="1" x14ac:dyDescent="0.25">
      <c r="A271" s="463" t="s">
        <v>395</v>
      </c>
      <c r="B271" s="470">
        <v>4992</v>
      </c>
      <c r="C271" s="575">
        <v>153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78375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78375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1056279</v>
      </c>
      <c r="D275" s="1737">
        <f t="shared" si="12"/>
        <v>86561</v>
      </c>
      <c r="E275" s="1737">
        <f t="shared" si="12"/>
        <v>0</v>
      </c>
      <c r="F275" s="1737">
        <f t="shared" si="12"/>
        <v>124167</v>
      </c>
      <c r="G275" s="1737">
        <f t="shared" si="12"/>
        <v>27693</v>
      </c>
      <c r="H275" s="1737">
        <f t="shared" si="12"/>
        <v>0</v>
      </c>
      <c r="I275" s="1737">
        <f t="shared" si="12"/>
        <v>15332</v>
      </c>
      <c r="J275" s="1737">
        <f t="shared" si="12"/>
        <v>104359</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&amp;L&amp;8See notes.
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 activePane="bottomLeft" state="frozen"/>
      <selection sqref="A1:D1"/>
      <selection pane="bottomLeft" sqref="A1:D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655681</v>
      </c>
      <c r="D5" s="466">
        <v>9531</v>
      </c>
      <c r="E5" s="466">
        <v>4423</v>
      </c>
      <c r="F5" s="466">
        <v>31939</v>
      </c>
      <c r="G5" s="466"/>
      <c r="H5" s="466"/>
      <c r="I5" s="467"/>
      <c r="J5" s="467"/>
      <c r="K5" s="1693">
        <f>SUM(C5:J5)</f>
        <v>701574</v>
      </c>
      <c r="L5" s="466">
        <v>685290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20857</v>
      </c>
      <c r="D7" s="467">
        <v>306</v>
      </c>
      <c r="E7" s="467"/>
      <c r="F7" s="467">
        <v>904</v>
      </c>
      <c r="G7" s="467"/>
      <c r="H7" s="467"/>
      <c r="I7" s="467"/>
      <c r="J7" s="467"/>
      <c r="K7" s="1693">
        <f t="shared" ref="K7:K32" si="0">SUM(C7:J7)</f>
        <v>22067</v>
      </c>
      <c r="L7" s="466">
        <v>24736</v>
      </c>
    </row>
    <row r="8" spans="1:14" x14ac:dyDescent="0.2">
      <c r="A8" s="1526" t="s">
        <v>166</v>
      </c>
      <c r="B8" s="615">
        <v>1200</v>
      </c>
      <c r="C8" s="466">
        <v>59196</v>
      </c>
      <c r="D8" s="466">
        <v>512</v>
      </c>
      <c r="E8" s="466"/>
      <c r="F8" s="466"/>
      <c r="G8" s="466"/>
      <c r="H8" s="466"/>
      <c r="I8" s="467"/>
      <c r="J8" s="467"/>
      <c r="K8" s="1693">
        <f t="shared" si="0"/>
        <v>59708</v>
      </c>
      <c r="L8" s="466">
        <v>58641</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15507</v>
      </c>
      <c r="D10" s="466"/>
      <c r="E10" s="466">
        <v>85</v>
      </c>
      <c r="F10" s="466"/>
      <c r="G10" s="466"/>
      <c r="H10" s="466"/>
      <c r="I10" s="467"/>
      <c r="J10" s="467"/>
      <c r="K10" s="1693">
        <f t="shared" si="0"/>
        <v>15592</v>
      </c>
      <c r="L10" s="466">
        <v>12444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11600</v>
      </c>
      <c r="D14" s="466">
        <v>89</v>
      </c>
      <c r="E14" s="466">
        <v>5600</v>
      </c>
      <c r="F14" s="466">
        <v>1612</v>
      </c>
      <c r="G14" s="466"/>
      <c r="H14" s="466">
        <v>1793</v>
      </c>
      <c r="I14" s="467"/>
      <c r="J14" s="467"/>
      <c r="K14" s="1693">
        <f t="shared" si="0"/>
        <v>20694</v>
      </c>
      <c r="L14" s="466">
        <v>19438</v>
      </c>
    </row>
    <row r="15" spans="1:14" x14ac:dyDescent="0.2">
      <c r="A15" s="1526" t="s">
        <v>1021</v>
      </c>
      <c r="B15" s="615">
        <v>1600</v>
      </c>
      <c r="C15" s="466">
        <v>2739</v>
      </c>
      <c r="D15" s="466">
        <v>112</v>
      </c>
      <c r="E15" s="466"/>
      <c r="F15" s="466"/>
      <c r="G15" s="466"/>
      <c r="H15" s="466"/>
      <c r="I15" s="467"/>
      <c r="J15" s="467"/>
      <c r="K15" s="1693">
        <f t="shared" si="0"/>
        <v>2851</v>
      </c>
      <c r="L15" s="466">
        <v>2903</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765580</v>
      </c>
      <c r="D33" s="1692">
        <f t="shared" ref="D33:L33" si="1">SUM(D5:D32)</f>
        <v>10550</v>
      </c>
      <c r="E33" s="1692">
        <f t="shared" si="1"/>
        <v>10108</v>
      </c>
      <c r="F33" s="1692">
        <f t="shared" si="1"/>
        <v>34455</v>
      </c>
      <c r="G33" s="1692">
        <f t="shared" si="1"/>
        <v>0</v>
      </c>
      <c r="H33" s="1692">
        <f t="shared" si="1"/>
        <v>1793</v>
      </c>
      <c r="I33" s="1692">
        <f t="shared" si="1"/>
        <v>0</v>
      </c>
      <c r="J33" s="1692">
        <f t="shared" si="1"/>
        <v>0</v>
      </c>
      <c r="K33" s="1692">
        <f t="shared" si="1"/>
        <v>822486</v>
      </c>
      <c r="L33" s="1692">
        <f t="shared" si="1"/>
        <v>803452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6353</v>
      </c>
      <c r="F36" s="481"/>
      <c r="G36" s="481"/>
      <c r="H36" s="481"/>
      <c r="I36" s="467"/>
      <c r="J36" s="467"/>
      <c r="K36" s="1693">
        <f t="shared" ref="K36:K41" si="2">SUM(C36:J36)</f>
        <v>6353</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v>6935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v>5400</v>
      </c>
    </row>
    <row r="42" spans="1:14" ht="12.75" customHeight="1" thickBot="1" x14ac:dyDescent="0.25">
      <c r="A42" s="1690" t="s">
        <v>581</v>
      </c>
      <c r="B42" s="1691" t="s">
        <v>740</v>
      </c>
      <c r="C42" s="1692">
        <f>SUM(C36:C41)</f>
        <v>0</v>
      </c>
      <c r="D42" s="1692">
        <f t="shared" ref="D42:L42" si="3">SUM(D36:D41)</f>
        <v>0</v>
      </c>
      <c r="E42" s="1692">
        <f t="shared" si="3"/>
        <v>6353</v>
      </c>
      <c r="F42" s="1692">
        <f t="shared" si="3"/>
        <v>0</v>
      </c>
      <c r="G42" s="1692">
        <f t="shared" si="3"/>
        <v>0</v>
      </c>
      <c r="H42" s="1692">
        <f t="shared" si="3"/>
        <v>0</v>
      </c>
      <c r="I42" s="1692">
        <f t="shared" si="3"/>
        <v>0</v>
      </c>
      <c r="J42" s="1692">
        <f t="shared" si="3"/>
        <v>0</v>
      </c>
      <c r="K42" s="1692">
        <f t="shared" si="3"/>
        <v>6353</v>
      </c>
      <c r="L42" s="1692">
        <f t="shared" si="3"/>
        <v>12335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2550</v>
      </c>
      <c r="D44" s="481">
        <v>256</v>
      </c>
      <c r="E44" s="481">
        <v>2124</v>
      </c>
      <c r="F44" s="481"/>
      <c r="G44" s="481"/>
      <c r="H44" s="481"/>
      <c r="I44" s="467"/>
      <c r="J44" s="467"/>
      <c r="K44" s="1694">
        <f>SUM(C44:J44)</f>
        <v>4930</v>
      </c>
      <c r="L44" s="481">
        <v>4019</v>
      </c>
    </row>
    <row r="45" spans="1:14" x14ac:dyDescent="0.2">
      <c r="A45" s="1526" t="s">
        <v>869</v>
      </c>
      <c r="B45" s="615">
        <v>2220</v>
      </c>
      <c r="C45" s="466"/>
      <c r="D45" s="466"/>
      <c r="E45" s="466"/>
      <c r="F45" s="466">
        <v>2782</v>
      </c>
      <c r="G45" s="466"/>
      <c r="H45" s="466"/>
      <c r="I45" s="467">
        <v>679</v>
      </c>
      <c r="J45" s="467"/>
      <c r="K45" s="1694">
        <f>SUM(C45:J45)</f>
        <v>3461</v>
      </c>
      <c r="L45" s="466">
        <v>3925</v>
      </c>
    </row>
    <row r="46" spans="1:14" x14ac:dyDescent="0.2">
      <c r="A46" s="1526" t="s">
        <v>870</v>
      </c>
      <c r="B46" s="615">
        <v>2230</v>
      </c>
      <c r="C46" s="466"/>
      <c r="D46" s="466"/>
      <c r="E46" s="466">
        <v>1112</v>
      </c>
      <c r="F46" s="466"/>
      <c r="G46" s="466"/>
      <c r="H46" s="466"/>
      <c r="I46" s="467"/>
      <c r="J46" s="467"/>
      <c r="K46" s="1694">
        <f>SUM(C46:J46)</f>
        <v>1112</v>
      </c>
      <c r="L46" s="466">
        <v>950</v>
      </c>
    </row>
    <row r="47" spans="1:14" ht="12.75" customHeight="1" thickBot="1" x14ac:dyDescent="0.25">
      <c r="A47" s="1690" t="s">
        <v>582</v>
      </c>
      <c r="B47" s="1691" t="s">
        <v>32</v>
      </c>
      <c r="C47" s="1692">
        <f>SUM(C44:C46)</f>
        <v>2550</v>
      </c>
      <c r="D47" s="1692">
        <f t="shared" ref="D47:K47" si="4">SUM(D44:D46)</f>
        <v>256</v>
      </c>
      <c r="E47" s="1692">
        <f t="shared" si="4"/>
        <v>3236</v>
      </c>
      <c r="F47" s="1692">
        <f t="shared" si="4"/>
        <v>2782</v>
      </c>
      <c r="G47" s="1692">
        <f t="shared" si="4"/>
        <v>0</v>
      </c>
      <c r="H47" s="1692">
        <f t="shared" si="4"/>
        <v>0</v>
      </c>
      <c r="I47" s="1692">
        <f t="shared" si="4"/>
        <v>679</v>
      </c>
      <c r="J47" s="1692">
        <f t="shared" si="4"/>
        <v>0</v>
      </c>
      <c r="K47" s="1692">
        <f t="shared" si="4"/>
        <v>9503</v>
      </c>
      <c r="L47" s="1692">
        <f>SUM(L44:L46)</f>
        <v>8894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600</v>
      </c>
      <c r="D49" s="481"/>
      <c r="E49" s="481">
        <v>4747</v>
      </c>
      <c r="F49" s="481">
        <v>1529</v>
      </c>
      <c r="G49" s="481"/>
      <c r="H49" s="481">
        <v>1863</v>
      </c>
      <c r="I49" s="467"/>
      <c r="J49" s="467"/>
      <c r="K49" s="1694">
        <f>SUM(C49:J49)</f>
        <v>8739</v>
      </c>
      <c r="L49" s="481">
        <v>7545</v>
      </c>
    </row>
    <row r="50" spans="1:14" x14ac:dyDescent="0.2">
      <c r="A50" s="1526" t="s">
        <v>872</v>
      </c>
      <c r="B50" s="615">
        <v>2320</v>
      </c>
      <c r="C50" s="466">
        <v>57209</v>
      </c>
      <c r="D50" s="466">
        <v>835</v>
      </c>
      <c r="E50" s="466">
        <v>3619</v>
      </c>
      <c r="F50" s="466">
        <v>585</v>
      </c>
      <c r="G50" s="466"/>
      <c r="H50" s="466">
        <v>938</v>
      </c>
      <c r="I50" s="467">
        <v>1550</v>
      </c>
      <c r="J50" s="467"/>
      <c r="K50" s="1694">
        <f>SUM(C50:J50)</f>
        <v>64736</v>
      </c>
      <c r="L50" s="466">
        <v>66694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57809</v>
      </c>
      <c r="D53" s="1692">
        <f t="shared" ref="D53:L53" si="5">SUM(D49:D52)</f>
        <v>835</v>
      </c>
      <c r="E53" s="1692">
        <f t="shared" si="5"/>
        <v>8366</v>
      </c>
      <c r="F53" s="1692">
        <f t="shared" si="5"/>
        <v>2114</v>
      </c>
      <c r="G53" s="1692">
        <f t="shared" si="5"/>
        <v>0</v>
      </c>
      <c r="H53" s="1692">
        <f t="shared" si="5"/>
        <v>2801</v>
      </c>
      <c r="I53" s="1692">
        <f t="shared" si="5"/>
        <v>1550</v>
      </c>
      <c r="J53" s="1692">
        <f t="shared" si="5"/>
        <v>0</v>
      </c>
      <c r="K53" s="1692">
        <f t="shared" si="5"/>
        <v>73475</v>
      </c>
      <c r="L53" s="1692">
        <f t="shared" si="5"/>
        <v>74239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63570</v>
      </c>
      <c r="D55" s="481">
        <v>510</v>
      </c>
      <c r="E55" s="481">
        <v>4156</v>
      </c>
      <c r="F55" s="481">
        <v>34</v>
      </c>
      <c r="G55" s="481"/>
      <c r="H55" s="481">
        <v>235</v>
      </c>
      <c r="I55" s="467"/>
      <c r="J55" s="467"/>
      <c r="K55" s="1694">
        <f>SUM(C55:J55)</f>
        <v>68505</v>
      </c>
      <c r="L55" s="481">
        <v>66596</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63570</v>
      </c>
      <c r="D57" s="1696">
        <f t="shared" ref="D57:K57" si="6">SUM(D55:D56)</f>
        <v>510</v>
      </c>
      <c r="E57" s="1696">
        <f t="shared" si="6"/>
        <v>4156</v>
      </c>
      <c r="F57" s="1696">
        <f t="shared" si="6"/>
        <v>34</v>
      </c>
      <c r="G57" s="1696">
        <f t="shared" si="6"/>
        <v>0</v>
      </c>
      <c r="H57" s="1696">
        <f t="shared" si="6"/>
        <v>235</v>
      </c>
      <c r="I57" s="1696">
        <f t="shared" si="6"/>
        <v>0</v>
      </c>
      <c r="J57" s="1696">
        <f t="shared" si="6"/>
        <v>0</v>
      </c>
      <c r="K57" s="1696">
        <f t="shared" si="6"/>
        <v>68505</v>
      </c>
      <c r="L57" s="1692">
        <f>SUM(L55:L56)</f>
        <v>66596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9915</v>
      </c>
      <c r="D60" s="466"/>
      <c r="E60" s="466">
        <v>9036</v>
      </c>
      <c r="F60" s="466"/>
      <c r="G60" s="466"/>
      <c r="H60" s="466"/>
      <c r="I60" s="467"/>
      <c r="J60" s="467"/>
      <c r="K60" s="1694">
        <f t="shared" si="7"/>
        <v>18951</v>
      </c>
      <c r="L60" s="466">
        <v>21250</v>
      </c>
      <c r="M60" s="610"/>
      <c r="N60" s="610"/>
    </row>
    <row r="61" spans="1:14" s="343" customFormat="1" x14ac:dyDescent="0.2">
      <c r="A61" s="1526" t="s">
        <v>206</v>
      </c>
      <c r="B61" s="615">
        <v>2540</v>
      </c>
      <c r="C61" s="466">
        <v>2471</v>
      </c>
      <c r="D61" s="466"/>
      <c r="E61" s="466"/>
      <c r="F61" s="466"/>
      <c r="G61" s="466"/>
      <c r="H61" s="466"/>
      <c r="I61" s="467"/>
      <c r="J61" s="467"/>
      <c r="K61" s="1694">
        <f t="shared" si="7"/>
        <v>2471</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35503</v>
      </c>
      <c r="D63" s="466"/>
      <c r="E63" s="466">
        <v>2026</v>
      </c>
      <c r="F63" s="466">
        <v>33364</v>
      </c>
      <c r="G63" s="466"/>
      <c r="H63" s="466"/>
      <c r="I63" s="467"/>
      <c r="J63" s="467"/>
      <c r="K63" s="1694">
        <f t="shared" si="7"/>
        <v>70893</v>
      </c>
      <c r="L63" s="466">
        <v>71625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47889</v>
      </c>
      <c r="D65" s="1692">
        <f t="shared" ref="D65:L65" si="8">SUM(D59:D64)</f>
        <v>0</v>
      </c>
      <c r="E65" s="1692">
        <f t="shared" si="8"/>
        <v>11062</v>
      </c>
      <c r="F65" s="1692">
        <f t="shared" si="8"/>
        <v>33364</v>
      </c>
      <c r="G65" s="1692">
        <f t="shared" si="8"/>
        <v>0</v>
      </c>
      <c r="H65" s="1692">
        <f t="shared" si="8"/>
        <v>0</v>
      </c>
      <c r="I65" s="1692">
        <f t="shared" si="8"/>
        <v>0</v>
      </c>
      <c r="J65" s="1692">
        <f t="shared" si="8"/>
        <v>0</v>
      </c>
      <c r="K65" s="1692">
        <f t="shared" si="8"/>
        <v>92315</v>
      </c>
      <c r="L65" s="1692">
        <f t="shared" si="8"/>
        <v>92875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171818</v>
      </c>
      <c r="D74" s="1699">
        <f t="shared" ref="D74:K74" si="10">SUM(D42,D47,D53,D57,D65,D72,D73)</f>
        <v>1601</v>
      </c>
      <c r="E74" s="1699">
        <f t="shared" si="10"/>
        <v>33173</v>
      </c>
      <c r="F74" s="1699">
        <f t="shared" si="10"/>
        <v>38294</v>
      </c>
      <c r="G74" s="1699">
        <f t="shared" si="10"/>
        <v>0</v>
      </c>
      <c r="H74" s="1699">
        <f t="shared" si="10"/>
        <v>3036</v>
      </c>
      <c r="I74" s="1699">
        <f t="shared" si="10"/>
        <v>2229</v>
      </c>
      <c r="J74" s="1699">
        <f t="shared" si="10"/>
        <v>0</v>
      </c>
      <c r="K74" s="1699">
        <f t="shared" si="10"/>
        <v>250151</v>
      </c>
      <c r="L74" s="1699">
        <f>SUM(L42,L47,L53,L57,L65,L72,L73)</f>
        <v>254939</v>
      </c>
    </row>
    <row r="75" spans="1:14" s="259" customFormat="1" ht="15.75" customHeight="1" thickTop="1" thickBot="1" x14ac:dyDescent="0.25">
      <c r="A75" s="1632" t="s">
        <v>49</v>
      </c>
      <c r="B75" s="1633" t="s">
        <v>596</v>
      </c>
      <c r="C75" s="573"/>
      <c r="D75" s="573"/>
      <c r="E75" s="573"/>
      <c r="F75" s="573">
        <v>42</v>
      </c>
      <c r="G75" s="573"/>
      <c r="H75" s="573"/>
      <c r="I75" s="531"/>
      <c r="J75" s="531"/>
      <c r="K75" s="1692">
        <f>SUM(C75:J75)</f>
        <v>42</v>
      </c>
      <c r="L75" s="576">
        <v>40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12369</v>
      </c>
      <c r="I79" s="477"/>
      <c r="J79" s="477"/>
      <c r="K79" s="1693">
        <f t="shared" si="11"/>
        <v>12369</v>
      </c>
      <c r="L79" s="466">
        <v>13425</v>
      </c>
    </row>
    <row r="80" spans="1:14" x14ac:dyDescent="0.2">
      <c r="A80" s="1526" t="s">
        <v>323</v>
      </c>
      <c r="B80" s="615">
        <v>4130</v>
      </c>
      <c r="C80" s="617"/>
      <c r="D80" s="617"/>
      <c r="E80" s="466">
        <v>1050</v>
      </c>
      <c r="F80" s="617"/>
      <c r="G80" s="617"/>
      <c r="H80" s="466"/>
      <c r="I80" s="477"/>
      <c r="J80" s="477"/>
      <c r="K80" s="1693">
        <f t="shared" si="11"/>
        <v>1050</v>
      </c>
      <c r="L80" s="466">
        <v>1050</v>
      </c>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1050</v>
      </c>
      <c r="F84" s="617"/>
      <c r="G84" s="617"/>
      <c r="H84" s="1692">
        <f>SUM(H78:H83)</f>
        <v>12369</v>
      </c>
      <c r="I84" s="477"/>
      <c r="J84" s="477"/>
      <c r="K84" s="1692">
        <f>SUM(K78:K83)</f>
        <v>13419</v>
      </c>
      <c r="L84" s="1692">
        <f>SUM(L78:L83)</f>
        <v>14475</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1050</v>
      </c>
      <c r="F102" s="617"/>
      <c r="G102" s="617"/>
      <c r="H102" s="1699">
        <f>SUM(H84,H92,H100,H101)</f>
        <v>12369</v>
      </c>
      <c r="I102" s="477"/>
      <c r="J102" s="477"/>
      <c r="K102" s="1699">
        <f>SUM(K84,K92,K100,K101)</f>
        <v>13419</v>
      </c>
      <c r="L102" s="1699">
        <f>SUM(L84,L92,L100,L101)</f>
        <v>14475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937398</v>
      </c>
      <c r="D114" s="1692">
        <f t="shared" ref="D114:K114" si="13">SUM(D33,D74,D75,D102,D112,D113)</f>
        <v>12151</v>
      </c>
      <c r="E114" s="1692">
        <f t="shared" si="13"/>
        <v>44331</v>
      </c>
      <c r="F114" s="1692">
        <f t="shared" si="13"/>
        <v>72791</v>
      </c>
      <c r="G114" s="1692">
        <f t="shared" si="13"/>
        <v>0</v>
      </c>
      <c r="H114" s="1692">
        <f>SUM(H33,H74,H75,H102,H112,H113)</f>
        <v>17198</v>
      </c>
      <c r="I114" s="1692">
        <f t="shared" si="13"/>
        <v>2229</v>
      </c>
      <c r="J114" s="1692">
        <f t="shared" si="13"/>
        <v>0</v>
      </c>
      <c r="K114" s="1692">
        <f t="shared" si="13"/>
        <v>1086098</v>
      </c>
      <c r="L114" s="1692">
        <f>SUM(L33,L74,L75,L102,L112,L113)</f>
        <v>1072906</v>
      </c>
    </row>
    <row r="115" spans="1:14" ht="13.5" thickTop="1" x14ac:dyDescent="0.2">
      <c r="A115" s="2198" t="s">
        <v>1053</v>
      </c>
      <c r="B115" s="2199"/>
      <c r="C115" s="619"/>
      <c r="D115" s="619"/>
      <c r="E115" s="619"/>
      <c r="F115" s="619"/>
      <c r="G115" s="619"/>
      <c r="H115" s="619"/>
      <c r="I115" s="619"/>
      <c r="J115" s="619"/>
      <c r="K115" s="1706">
        <f>'Revenues 9-14'!C275-'Expenditures 15-22'!K114</f>
        <v>-29819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32714</v>
      </c>
      <c r="D124" s="466">
        <v>6243</v>
      </c>
      <c r="E124" s="466">
        <v>15321</v>
      </c>
      <c r="F124" s="466">
        <v>24388</v>
      </c>
      <c r="G124" s="466"/>
      <c r="H124" s="466"/>
      <c r="I124" s="467"/>
      <c r="J124" s="467"/>
      <c r="K124" s="1692">
        <f>SUM(C124:J124)</f>
        <v>78666</v>
      </c>
      <c r="L124" s="466">
        <v>99966</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32714</v>
      </c>
      <c r="D127" s="1692">
        <f t="shared" ref="D127:L127" si="14">SUM(D122:D126)</f>
        <v>6243</v>
      </c>
      <c r="E127" s="1692">
        <f t="shared" si="14"/>
        <v>15321</v>
      </c>
      <c r="F127" s="1692">
        <f t="shared" si="14"/>
        <v>24388</v>
      </c>
      <c r="G127" s="1692">
        <f t="shared" si="14"/>
        <v>0</v>
      </c>
      <c r="H127" s="1692">
        <f t="shared" si="14"/>
        <v>0</v>
      </c>
      <c r="I127" s="1692">
        <f t="shared" si="14"/>
        <v>0</v>
      </c>
      <c r="J127" s="1692">
        <f t="shared" si="14"/>
        <v>0</v>
      </c>
      <c r="K127" s="1692">
        <f t="shared" si="14"/>
        <v>78666</v>
      </c>
      <c r="L127" s="1692">
        <f t="shared" si="14"/>
        <v>99966</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32714</v>
      </c>
      <c r="D129" s="1699">
        <f t="shared" ref="D129:L129" si="15">SUM(D120,D127,D128)</f>
        <v>6243</v>
      </c>
      <c r="E129" s="1699">
        <f t="shared" si="15"/>
        <v>15321</v>
      </c>
      <c r="F129" s="1699">
        <f t="shared" si="15"/>
        <v>24388</v>
      </c>
      <c r="G129" s="1699">
        <f t="shared" si="15"/>
        <v>0</v>
      </c>
      <c r="H129" s="1699">
        <f t="shared" si="15"/>
        <v>0</v>
      </c>
      <c r="I129" s="1699">
        <f t="shared" si="15"/>
        <v>0</v>
      </c>
      <c r="J129" s="1699">
        <f t="shared" si="15"/>
        <v>0</v>
      </c>
      <c r="K129" s="1699">
        <f t="shared" si="15"/>
        <v>78666</v>
      </c>
      <c r="L129" s="1699">
        <f t="shared" si="15"/>
        <v>99966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32714</v>
      </c>
      <c r="D151" s="1692">
        <f t="shared" ref="D151:K151" si="16">SUM(D129,D130,D139,D149,D150)</f>
        <v>6243</v>
      </c>
      <c r="E151" s="1692">
        <f t="shared" si="16"/>
        <v>15321</v>
      </c>
      <c r="F151" s="1692">
        <f t="shared" si="16"/>
        <v>24388</v>
      </c>
      <c r="G151" s="1692">
        <f t="shared" si="16"/>
        <v>0</v>
      </c>
      <c r="H151" s="1692">
        <f t="shared" si="16"/>
        <v>0</v>
      </c>
      <c r="I151" s="1692">
        <f t="shared" si="16"/>
        <v>0</v>
      </c>
      <c r="J151" s="1692">
        <f t="shared" si="16"/>
        <v>0</v>
      </c>
      <c r="K151" s="1692">
        <f t="shared" si="16"/>
        <v>78666</v>
      </c>
      <c r="L151" s="1692">
        <f>SUM(L129,L130,L139,L149,L150)</f>
        <v>99966</v>
      </c>
    </row>
    <row r="152" spans="1:14" ht="12.75" customHeight="1" thickTop="1" x14ac:dyDescent="0.2">
      <c r="A152" s="2191" t="s">
        <v>1240</v>
      </c>
      <c r="B152" s="2192"/>
      <c r="C152" s="619"/>
      <c r="D152" s="619"/>
      <c r="E152" s="619"/>
      <c r="F152" s="619"/>
      <c r="G152" s="619"/>
      <c r="H152" s="619"/>
      <c r="I152" s="619"/>
      <c r="J152" s="617"/>
      <c r="K152" s="1706">
        <f>'Revenues 9-14'!D275-'Expenditures 15-22'!K151</f>
        <v>7895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8" t="s">
        <v>1053</v>
      </c>
      <c r="B175" s="2199"/>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46814</v>
      </c>
      <c r="D182" s="466">
        <v>164</v>
      </c>
      <c r="E182" s="466">
        <v>2579</v>
      </c>
      <c r="F182" s="466">
        <v>22176</v>
      </c>
      <c r="G182" s="466"/>
      <c r="H182" s="466"/>
      <c r="I182" s="467"/>
      <c r="J182" s="467"/>
      <c r="K182" s="1693">
        <f>SUM(C182:J182)</f>
        <v>71733</v>
      </c>
      <c r="L182" s="466">
        <v>64628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46814</v>
      </c>
      <c r="D184" s="1699">
        <f t="shared" ref="D184:J184" si="17">SUM(D180,D182,D183)</f>
        <v>164</v>
      </c>
      <c r="E184" s="1699">
        <f t="shared" si="17"/>
        <v>2579</v>
      </c>
      <c r="F184" s="1699">
        <f t="shared" si="17"/>
        <v>22176</v>
      </c>
      <c r="G184" s="1699">
        <f t="shared" si="17"/>
        <v>0</v>
      </c>
      <c r="H184" s="1699">
        <f t="shared" si="17"/>
        <v>0</v>
      </c>
      <c r="I184" s="1699">
        <f t="shared" si="17"/>
        <v>0</v>
      </c>
      <c r="J184" s="1699">
        <f t="shared" si="17"/>
        <v>0</v>
      </c>
      <c r="K184" s="1699">
        <f>SUM(K180,K182,K183)</f>
        <v>71733</v>
      </c>
      <c r="L184" s="1699">
        <f>SUM(L180, L182:L183)</f>
        <v>64628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46814</v>
      </c>
      <c r="D210" s="1692">
        <f>SUM(D184,D185)</f>
        <v>164</v>
      </c>
      <c r="E210" s="1692">
        <f>SUM(E184,E185,E196)</f>
        <v>2579</v>
      </c>
      <c r="F210" s="1692">
        <f>SUM(F184,F185)</f>
        <v>22176</v>
      </c>
      <c r="G210" s="1692">
        <f>SUM(G184,G185)</f>
        <v>0</v>
      </c>
      <c r="H210" s="1692">
        <f>SUM(H184,H185,H196,H208,H209)</f>
        <v>0</v>
      </c>
      <c r="I210" s="1692">
        <f>SUM(I184,I185)</f>
        <v>0</v>
      </c>
      <c r="J210" s="1692">
        <f>SUM(J184,J185)</f>
        <v>0</v>
      </c>
      <c r="K210" s="1693">
        <f>SUM(K184,K185,K196,K208,K209)</f>
        <v>71733</v>
      </c>
      <c r="L210" s="1692">
        <f>SUM(L184,L185,L196,L208,L209)</f>
        <v>64628</v>
      </c>
    </row>
    <row r="211" spans="1:14" ht="13.5" thickTop="1" x14ac:dyDescent="0.2">
      <c r="A211" s="2198" t="s">
        <v>1053</v>
      </c>
      <c r="B211" s="2199"/>
      <c r="C211" s="619"/>
      <c r="D211" s="619"/>
      <c r="E211" s="619"/>
      <c r="F211" s="619"/>
      <c r="G211" s="619"/>
      <c r="H211" s="619"/>
      <c r="I211" s="617"/>
      <c r="J211" s="617"/>
      <c r="K211" s="1706">
        <f>'Revenues 9-14'!F275-'Expenditures 15-22'!K210</f>
        <v>52434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10170</v>
      </c>
      <c r="E215" s="617"/>
      <c r="F215" s="617"/>
      <c r="G215" s="617"/>
      <c r="H215" s="617"/>
      <c r="I215" s="617"/>
      <c r="J215" s="617"/>
      <c r="K215" s="1693">
        <f>D215</f>
        <v>10170</v>
      </c>
      <c r="L215" s="466">
        <v>13002</v>
      </c>
    </row>
    <row r="216" spans="1:14" x14ac:dyDescent="0.2">
      <c r="A216" s="1526" t="s">
        <v>165</v>
      </c>
      <c r="B216" s="615" t="s">
        <v>1024</v>
      </c>
      <c r="C216" s="617"/>
      <c r="D216" s="467">
        <v>302</v>
      </c>
      <c r="E216" s="617"/>
      <c r="F216" s="617"/>
      <c r="G216" s="617"/>
      <c r="H216" s="617"/>
      <c r="I216" s="617"/>
      <c r="J216" s="617"/>
      <c r="K216" s="1693">
        <f t="shared" ref="K216:K228" si="19">D216</f>
        <v>302</v>
      </c>
      <c r="L216" s="466">
        <v>336</v>
      </c>
    </row>
    <row r="217" spans="1:14" x14ac:dyDescent="0.2">
      <c r="A217" s="1526" t="s">
        <v>166</v>
      </c>
      <c r="B217" s="615">
        <v>1200</v>
      </c>
      <c r="C217" s="617"/>
      <c r="D217" s="466">
        <v>4517</v>
      </c>
      <c r="E217" s="617"/>
      <c r="F217" s="617"/>
      <c r="G217" s="617"/>
      <c r="H217" s="617"/>
      <c r="I217" s="617"/>
      <c r="J217" s="617"/>
      <c r="K217" s="1693">
        <f t="shared" si="19"/>
        <v>4517</v>
      </c>
      <c r="L217" s="466">
        <v>3355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2639</v>
      </c>
      <c r="E219" s="617"/>
      <c r="F219" s="617"/>
      <c r="G219" s="617"/>
      <c r="H219" s="617"/>
      <c r="I219" s="617"/>
      <c r="J219" s="617"/>
      <c r="K219" s="1693">
        <f t="shared" si="19"/>
        <v>2639</v>
      </c>
      <c r="L219" s="466">
        <v>1018</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584</v>
      </c>
      <c r="E223" s="617"/>
      <c r="F223" s="617"/>
      <c r="G223" s="617"/>
      <c r="H223" s="617"/>
      <c r="I223" s="617"/>
      <c r="J223" s="617"/>
      <c r="K223" s="1693">
        <f t="shared" si="19"/>
        <v>584</v>
      </c>
      <c r="L223" s="466">
        <v>648</v>
      </c>
    </row>
    <row r="224" spans="1:14" x14ac:dyDescent="0.2">
      <c r="A224" s="1526" t="s">
        <v>1021</v>
      </c>
      <c r="B224" s="615">
        <v>1600</v>
      </c>
      <c r="C224" s="617"/>
      <c r="D224" s="466">
        <v>40</v>
      </c>
      <c r="E224" s="617"/>
      <c r="F224" s="617"/>
      <c r="G224" s="617"/>
      <c r="H224" s="617"/>
      <c r="I224" s="617"/>
      <c r="J224" s="617"/>
      <c r="K224" s="1693">
        <f t="shared" si="19"/>
        <v>40</v>
      </c>
      <c r="L224" s="466">
        <v>42</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18252</v>
      </c>
      <c r="E229" s="617"/>
      <c r="F229" s="617"/>
      <c r="G229" s="617"/>
      <c r="H229" s="617"/>
      <c r="I229" s="617"/>
      <c r="J229" s="617"/>
      <c r="K229" s="1692">
        <f>SUM(K215:K228)</f>
        <v>18252</v>
      </c>
      <c r="L229" s="1692">
        <f>SUM(L215:L228)</f>
        <v>18401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37</v>
      </c>
      <c r="E240" s="617"/>
      <c r="F240" s="617"/>
      <c r="G240" s="617"/>
      <c r="H240" s="617"/>
      <c r="I240" s="617"/>
      <c r="J240" s="617"/>
      <c r="K240" s="1694">
        <f>D240</f>
        <v>37</v>
      </c>
      <c r="L240" s="481">
        <v>32</v>
      </c>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37</v>
      </c>
      <c r="E243" s="617"/>
      <c r="F243" s="617"/>
      <c r="G243" s="617"/>
      <c r="H243" s="617"/>
      <c r="I243" s="617"/>
      <c r="J243" s="617"/>
      <c r="K243" s="1692">
        <f>SUM(K240:K242)</f>
        <v>37</v>
      </c>
      <c r="L243" s="1692">
        <f>SUM(L240:L242)</f>
        <v>32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829</v>
      </c>
      <c r="E246" s="617"/>
      <c r="F246" s="617"/>
      <c r="G246" s="617"/>
      <c r="H246" s="617"/>
      <c r="I246" s="617"/>
      <c r="J246" s="617"/>
      <c r="K246" s="1694">
        <f t="shared" ref="K246:K256" si="21">D246</f>
        <v>829</v>
      </c>
      <c r="L246" s="466">
        <v>875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3771</v>
      </c>
      <c r="E254" s="617"/>
      <c r="F254" s="617"/>
      <c r="G254" s="617"/>
      <c r="H254" s="617"/>
      <c r="I254" s="617"/>
      <c r="J254" s="617"/>
      <c r="K254" s="1694">
        <f t="shared" si="21"/>
        <v>3771</v>
      </c>
      <c r="L254" s="466">
        <v>3462</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4600</v>
      </c>
      <c r="E257" s="617"/>
      <c r="F257" s="617"/>
      <c r="G257" s="617"/>
      <c r="H257" s="617"/>
      <c r="I257" s="617"/>
      <c r="J257" s="617"/>
      <c r="K257" s="1692">
        <f>SUM(K245:K256)</f>
        <v>4600</v>
      </c>
      <c r="L257" s="1692">
        <f>SUM(L245:L256)</f>
        <v>4337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5884</v>
      </c>
      <c r="E259" s="617"/>
      <c r="F259" s="617"/>
      <c r="G259" s="617"/>
      <c r="H259" s="617"/>
      <c r="I259" s="617"/>
      <c r="J259" s="617"/>
      <c r="K259" s="1694">
        <f>D259</f>
        <v>5884</v>
      </c>
      <c r="L259" s="481">
        <v>5958</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5884</v>
      </c>
      <c r="E261" s="617"/>
      <c r="F261" s="617"/>
      <c r="G261" s="617"/>
      <c r="H261" s="617"/>
      <c r="I261" s="617"/>
      <c r="J261" s="617"/>
      <c r="K261" s="1692">
        <f>SUM(K259:K260)</f>
        <v>5884</v>
      </c>
      <c r="L261" s="1692">
        <f>SUM(L259:L260)</f>
        <v>5958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1860</v>
      </c>
      <c r="E264" s="617"/>
      <c r="F264" s="617"/>
      <c r="G264" s="617"/>
      <c r="H264" s="617"/>
      <c r="I264" s="617"/>
      <c r="J264" s="617"/>
      <c r="K264" s="1694">
        <f t="shared" ref="K264:K269" si="22">D264</f>
        <v>1860</v>
      </c>
      <c r="L264" s="466">
        <v>2069</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6873</v>
      </c>
      <c r="E266" s="617"/>
      <c r="F266" s="617"/>
      <c r="G266" s="617"/>
      <c r="H266" s="617"/>
      <c r="I266" s="617"/>
      <c r="J266" s="617"/>
      <c r="K266" s="1694">
        <f t="shared" si="22"/>
        <v>6873</v>
      </c>
      <c r="L266" s="466">
        <v>7786</v>
      </c>
    </row>
    <row r="267" spans="1:14" x14ac:dyDescent="0.2">
      <c r="A267" s="1526" t="s">
        <v>1010</v>
      </c>
      <c r="B267" s="615">
        <v>2550</v>
      </c>
      <c r="C267" s="617"/>
      <c r="D267" s="466">
        <v>2886</v>
      </c>
      <c r="E267" s="617"/>
      <c r="F267" s="617"/>
      <c r="G267" s="617"/>
      <c r="H267" s="617"/>
      <c r="I267" s="617"/>
      <c r="J267" s="617"/>
      <c r="K267" s="1694">
        <f t="shared" si="22"/>
        <v>2886</v>
      </c>
      <c r="L267" s="466">
        <v>4193</v>
      </c>
    </row>
    <row r="268" spans="1:14" x14ac:dyDescent="0.2">
      <c r="A268" s="1526" t="s">
        <v>102</v>
      </c>
      <c r="B268" s="615">
        <v>2560</v>
      </c>
      <c r="C268" s="617"/>
      <c r="D268" s="466">
        <v>6357</v>
      </c>
      <c r="E268" s="617"/>
      <c r="F268" s="617"/>
      <c r="G268" s="617"/>
      <c r="H268" s="617"/>
      <c r="I268" s="617"/>
      <c r="J268" s="617"/>
      <c r="K268" s="1694">
        <f t="shared" si="22"/>
        <v>6357</v>
      </c>
      <c r="L268" s="466">
        <v>7204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17976</v>
      </c>
      <c r="E270" s="617"/>
      <c r="F270" s="617"/>
      <c r="G270" s="617"/>
      <c r="H270" s="617"/>
      <c r="I270" s="617"/>
      <c r="J270" s="617"/>
      <c r="K270" s="1692">
        <f>SUM(K263:K269)</f>
        <v>17976</v>
      </c>
      <c r="L270" s="1692">
        <f>SUM(L263:L269)</f>
        <v>21252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28497</v>
      </c>
      <c r="E279" s="617"/>
      <c r="F279" s="617"/>
      <c r="G279" s="617"/>
      <c r="H279" s="617"/>
      <c r="I279" s="617"/>
      <c r="J279" s="617"/>
      <c r="K279" s="1699">
        <f>SUM(K238,K243,K257,K261,K270,K277,K278)</f>
        <v>28497</v>
      </c>
      <c r="L279" s="1699">
        <f>SUM(L238,L243,L257,L261,L270,L277,L278)</f>
        <v>31579</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46749</v>
      </c>
      <c r="E295" s="617"/>
      <c r="F295" s="617"/>
      <c r="G295" s="617"/>
      <c r="H295" s="1692">
        <f>H293</f>
        <v>0</v>
      </c>
      <c r="I295" s="617"/>
      <c r="J295" s="617"/>
      <c r="K295" s="1692">
        <f>SUM(K229,K279,K280,K285,K293,K294)</f>
        <v>46749</v>
      </c>
      <c r="L295" s="1692">
        <f>SUM(L229,L279,L280,L285,L293,L294)</f>
        <v>49980</v>
      </c>
    </row>
    <row r="296" spans="1:14" ht="13.5" thickTop="1" x14ac:dyDescent="0.2">
      <c r="A296" s="2198" t="s">
        <v>1053</v>
      </c>
      <c r="B296" s="2199"/>
      <c r="C296" s="617"/>
      <c r="D296" s="619"/>
      <c r="E296" s="617"/>
      <c r="F296" s="617"/>
      <c r="G296" s="617"/>
      <c r="H296" s="688"/>
      <c r="I296" s="617"/>
      <c r="J296" s="617"/>
      <c r="K296" s="1706">
        <f>'Revenues 9-14'!G275-'Expenditures 15-22'!K295</f>
        <v>-19056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11675</v>
      </c>
      <c r="F320" s="467"/>
      <c r="G320" s="467"/>
      <c r="H320" s="467"/>
      <c r="I320" s="467"/>
      <c r="J320" s="467"/>
      <c r="K320" s="1693">
        <f t="shared" ref="K320:K327" si="24">SUM(C320:J320)</f>
        <v>11675</v>
      </c>
      <c r="L320" s="467">
        <v>11500</v>
      </c>
      <c r="M320" s="666"/>
      <c r="N320" s="666"/>
    </row>
    <row r="321" spans="1:14" s="675" customFormat="1" x14ac:dyDescent="0.2">
      <c r="A321" s="1541" t="s">
        <v>318</v>
      </c>
      <c r="B321" s="698" t="s">
        <v>301</v>
      </c>
      <c r="C321" s="467"/>
      <c r="D321" s="467"/>
      <c r="E321" s="467">
        <v>1802</v>
      </c>
      <c r="F321" s="467"/>
      <c r="G321" s="467"/>
      <c r="H321" s="467"/>
      <c r="I321" s="467"/>
      <c r="J321" s="467"/>
      <c r="K321" s="1693">
        <f t="shared" si="24"/>
        <v>1802</v>
      </c>
      <c r="L321" s="467">
        <v>2000</v>
      </c>
      <c r="M321" s="666"/>
      <c r="N321" s="666"/>
    </row>
    <row r="322" spans="1:14" s="675" customFormat="1" x14ac:dyDescent="0.2">
      <c r="A322" s="1541" t="s">
        <v>256</v>
      </c>
      <c r="B322" s="698" t="s">
        <v>302</v>
      </c>
      <c r="C322" s="467"/>
      <c r="D322" s="467"/>
      <c r="E322" s="467">
        <v>17024</v>
      </c>
      <c r="F322" s="467"/>
      <c r="G322" s="467"/>
      <c r="H322" s="467"/>
      <c r="I322" s="467"/>
      <c r="J322" s="467"/>
      <c r="K322" s="1693">
        <f t="shared" si="24"/>
        <v>17024</v>
      </c>
      <c r="L322" s="467">
        <v>18500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41607</v>
      </c>
      <c r="D325" s="467">
        <v>2306</v>
      </c>
      <c r="E325" s="467">
        <v>4043</v>
      </c>
      <c r="F325" s="467"/>
      <c r="G325" s="467"/>
      <c r="H325" s="467"/>
      <c r="I325" s="467"/>
      <c r="J325" s="467"/>
      <c r="K325" s="1693">
        <f t="shared" si="24"/>
        <v>47956</v>
      </c>
      <c r="L325" s="467">
        <v>53847</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450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41607</v>
      </c>
      <c r="D330" s="1692">
        <f t="shared" ref="D330:J330" si="25">SUM(D319:D329)</f>
        <v>2306</v>
      </c>
      <c r="E330" s="1692">
        <f t="shared" si="25"/>
        <v>34544</v>
      </c>
      <c r="F330" s="1692">
        <f t="shared" si="25"/>
        <v>0</v>
      </c>
      <c r="G330" s="1692">
        <f t="shared" si="25"/>
        <v>0</v>
      </c>
      <c r="H330" s="1692">
        <f t="shared" si="25"/>
        <v>0</v>
      </c>
      <c r="I330" s="1692">
        <f t="shared" si="25"/>
        <v>0</v>
      </c>
      <c r="J330" s="1692">
        <f t="shared" si="25"/>
        <v>0</v>
      </c>
      <c r="K330" s="1692">
        <f>SUM(K319:K329)</f>
        <v>78457</v>
      </c>
      <c r="L330" s="1692">
        <f>SUM(L319:L329)</f>
        <v>86297</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v>2061</v>
      </c>
      <c r="I333" s="1856"/>
      <c r="J333" s="1856"/>
      <c r="K333" s="1693">
        <f>H333</f>
        <v>2061</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2061</v>
      </c>
      <c r="I334" s="1856"/>
      <c r="J334" s="1856"/>
      <c r="K334" s="1692">
        <f>SUM(K332:K333)</f>
        <v>2061</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41607</v>
      </c>
      <c r="D342" s="1692">
        <f>SUM(D330)</f>
        <v>2306</v>
      </c>
      <c r="E342" s="1692">
        <f>SUM(E330)</f>
        <v>34544</v>
      </c>
      <c r="F342" s="1692">
        <f>SUM(F330)</f>
        <v>0</v>
      </c>
      <c r="G342" s="1692">
        <f>SUM(G330)</f>
        <v>0</v>
      </c>
      <c r="H342" s="1692">
        <f>SUM(H330,H334,H340)</f>
        <v>2061</v>
      </c>
      <c r="I342" s="1692">
        <f>SUM(I330)</f>
        <v>0</v>
      </c>
      <c r="J342" s="1692">
        <f>SUM(J330)</f>
        <v>0</v>
      </c>
      <c r="K342" s="1692">
        <f>SUM(K330,K334,K340)</f>
        <v>80518</v>
      </c>
      <c r="L342" s="1699">
        <f>SUM(L330,L340,L341)</f>
        <v>86297</v>
      </c>
    </row>
    <row r="343" spans="1:14" ht="12.75" customHeight="1" thickTop="1" x14ac:dyDescent="0.2">
      <c r="A343" s="2184" t="s">
        <v>1053</v>
      </c>
      <c r="B343" s="2185"/>
      <c r="C343" s="617"/>
      <c r="D343" s="617"/>
      <c r="E343" s="617"/>
      <c r="F343" s="617"/>
      <c r="G343" s="617"/>
      <c r="H343" s="617"/>
      <c r="I343" s="617"/>
      <c r="J343" s="617"/>
      <c r="K343" s="1706">
        <f>'Revenues 9-14'!J275-'Expenditures 15-22'!K342</f>
        <v>23841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1053</v>
      </c>
      <c r="B368" s="2199"/>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&amp;L&amp;8See notes.
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schemas.microsoft.com/sharepoint/v3"/>
    <ds:schemaRef ds:uri="http://purl.org/dc/elements/1.1/"/>
    <ds:schemaRef ds:uri="http://schemas.microsoft.com/office/infopath/2007/PartnerControls"/>
    <ds:schemaRef ds:uri="http://purl.org/dc/dcmitype/"/>
    <ds:schemaRef ds:uri="http://purl.org/dc/terms/"/>
    <ds:schemaRef ds:uri="http://schemas.openxmlformats.org/package/2006/metadata/core-properties"/>
    <ds:schemaRef ds:uri="4d435f69-8686-490b-bd6d-b153bf22ab50"/>
    <ds:schemaRef ds:uri="http://www.w3.org/XML/1998/namespace"/>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2018-08-27T18:24:38Z</cp:lastPrinted>
  <dcterms:created xsi:type="dcterms:W3CDTF">2003-10-29T19:06:34Z</dcterms:created>
  <dcterms:modified xsi:type="dcterms:W3CDTF">2018-10-02T16:10:36Z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