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07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9" i="127" l="1"/>
  <c r="I12" i="11" l="1"/>
  <c r="D12" i="11"/>
  <c r="D325" i="29" l="1"/>
  <c r="C325" i="29"/>
  <c r="E348" i="29"/>
  <c r="E327" i="29"/>
  <c r="E321" i="29"/>
  <c r="E320" i="29"/>
  <c r="C5" i="3"/>
  <c r="L223" i="29"/>
  <c r="D223" i="29"/>
  <c r="D246" i="29"/>
  <c r="L219" i="29"/>
  <c r="D219" i="29"/>
  <c r="D217" i="29"/>
  <c r="D215" i="29"/>
  <c r="E182" i="29"/>
  <c r="F124" i="29"/>
  <c r="E124" i="29"/>
  <c r="C124" i="29"/>
  <c r="G14" i="5"/>
  <c r="D14" i="5"/>
  <c r="C107" i="5"/>
  <c r="E79" i="29"/>
  <c r="F63" i="29"/>
  <c r="C63" i="29"/>
  <c r="D55" i="29"/>
  <c r="C55" i="29"/>
  <c r="F49" i="29"/>
  <c r="E49" i="29"/>
  <c r="C49" i="29"/>
  <c r="F45" i="29"/>
  <c r="L14" i="29"/>
  <c r="F14" i="29"/>
  <c r="E14" i="29"/>
  <c r="C14" i="29"/>
  <c r="D14" i="29"/>
  <c r="L8" i="29"/>
  <c r="L7" i="29"/>
  <c r="L10" i="29"/>
  <c r="F10" i="29"/>
  <c r="C10" i="29"/>
  <c r="D8" i="29"/>
  <c r="C8" i="29"/>
  <c r="D7" i="29"/>
  <c r="C7" i="29"/>
  <c r="G5" i="29"/>
  <c r="F5" i="29"/>
  <c r="E5" i="29"/>
  <c r="D5" i="29"/>
  <c r="C5" i="29"/>
  <c r="C106" i="5"/>
  <c r="C84" i="5"/>
  <c r="C14" i="5"/>
  <c r="C5" i="5"/>
  <c r="I4" i="3"/>
  <c r="G4"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D26" i="108"/>
  <c r="E26" i="108"/>
  <c r="F26" i="108"/>
  <c r="G26" i="108"/>
  <c r="E27" i="108"/>
  <c r="F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9" i="7"/>
  <c r="B1767" i="106" s="1"/>
  <c r="D1767" i="106" s="1"/>
  <c r="F136" i="34"/>
  <c r="F131" i="34"/>
  <c r="F130" i="34"/>
  <c r="F128" i="34"/>
  <c r="F127" i="34"/>
  <c r="B5847" i="106"/>
  <c r="D5847" i="106" s="1"/>
  <c r="B5752" i="106"/>
  <c r="D5752" i="106" s="1"/>
  <c r="B5599" i="106"/>
  <c r="D5599" i="106" s="1"/>
  <c r="K274" i="5"/>
  <c r="H173" i="5"/>
  <c r="B5906" i="106" s="1"/>
  <c r="D5906" i="106" s="1"/>
  <c r="C172" i="5"/>
  <c r="B5214" i="106" s="1"/>
  <c r="D5214" i="106" s="1"/>
  <c r="H109" i="5"/>
  <c r="B6025" i="106" s="1"/>
  <c r="D6025" i="106" s="1"/>
  <c r="F106" i="34"/>
  <c r="H4" i="4"/>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F172" i="5"/>
  <c r="B5644" i="106" s="1"/>
  <c r="D5644" i="106" s="1"/>
  <c r="L367" i="29"/>
  <c r="B7235" i="106"/>
  <c r="D7235" i="106" s="1"/>
  <c r="H6" i="4"/>
  <c r="B2656" i="106" s="1"/>
  <c r="D2656" i="106" s="1"/>
  <c r="B6124" i="106"/>
  <c r="D6124" i="106" s="1"/>
  <c r="J39" i="3"/>
  <c r="B2888" i="106"/>
  <c r="D2888" i="106" s="1"/>
  <c r="I39" i="3"/>
  <c r="B2912" i="106" s="1"/>
  <c r="D2912" i="106" s="1"/>
  <c r="B180" i="106"/>
  <c r="D180" i="106" s="1"/>
  <c r="G39" i="3"/>
  <c r="B189" i="106" s="1"/>
  <c r="D189" i="106" s="1"/>
  <c r="B157" i="106"/>
  <c r="D157" i="106" s="1"/>
  <c r="F39" i="3"/>
  <c r="B170" i="106" s="1"/>
  <c r="D170" i="106" s="1"/>
  <c r="B109" i="106"/>
  <c r="D109" i="106" s="1"/>
  <c r="D39" i="3"/>
  <c r="B123" i="106" s="1"/>
  <c r="D123" i="106" s="1"/>
  <c r="K24" i="12"/>
  <c r="D6103" i="106"/>
  <c r="B3649" i="106"/>
  <c r="D3649" i="106" s="1"/>
  <c r="G367" i="29"/>
  <c r="B3621" i="106"/>
  <c r="D3621" i="106" s="1"/>
  <c r="C367" i="29"/>
  <c r="B3552" i="106"/>
  <c r="D3552" i="106" s="1"/>
  <c r="K39" i="3"/>
  <c r="C129" i="29"/>
  <c r="B131" i="106"/>
  <c r="D131" i="106" s="1"/>
  <c r="E39" i="3"/>
  <c r="B140" i="106" s="1"/>
  <c r="D140" i="106" s="1"/>
  <c r="B77" i="106"/>
  <c r="D77" i="106" s="1"/>
  <c r="C39" i="3"/>
  <c r="D31" i="36"/>
  <c r="H29" i="118"/>
  <c r="K28" i="118" s="1"/>
  <c r="O27" i="118" s="1"/>
  <c r="O29" i="118" s="1"/>
  <c r="D11" i="37"/>
  <c r="F19" i="7"/>
  <c r="B1807" i="106" s="1"/>
  <c r="D1807" i="106" s="1"/>
  <c r="B281" i="106"/>
  <c r="D281" i="106" s="1"/>
  <c r="H33" i="118"/>
  <c r="K350" i="29"/>
  <c r="B3670" i="106" s="1"/>
  <c r="D3670" i="106" s="1"/>
  <c r="B1410" i="106"/>
  <c r="D1410" i="106" s="1"/>
  <c r="K184" i="29"/>
  <c r="F13" i="4" s="1"/>
  <c r="B2596" i="106" s="1"/>
  <c r="D2596" i="106" s="1"/>
  <c r="B1329" i="106"/>
  <c r="D1329" i="106" s="1"/>
  <c r="F61" i="34"/>
  <c r="F28" i="108"/>
  <c r="F41" i="108" s="1"/>
  <c r="G43" i="108" s="1"/>
  <c r="G4" i="4"/>
  <c r="B2603" i="106" s="1"/>
  <c r="D2603" i="106" s="1"/>
  <c r="F111" i="34"/>
  <c r="D7" i="7"/>
  <c r="B1763" i="106" s="1"/>
  <c r="D1763" i="106" s="1"/>
  <c r="D109" i="5"/>
  <c r="B5356" i="106" s="1"/>
  <c r="D5356" i="106" s="1"/>
  <c r="D13" i="7"/>
  <c r="B3726" i="106" s="1"/>
  <c r="D3726" i="106" s="1"/>
  <c r="D4" i="4"/>
  <c r="B2564" i="106" s="1"/>
  <c r="D2564" i="106" s="1"/>
  <c r="D5" i="7"/>
  <c r="B1761" i="106" s="1"/>
  <c r="D1761" i="106" s="1"/>
  <c r="C173" i="5"/>
  <c r="B5223" i="106" s="1"/>
  <c r="D5223" i="106" s="1"/>
  <c r="B5096" i="106"/>
  <c r="D5096" i="106" s="1"/>
  <c r="C109" i="5"/>
  <c r="B5121" i="106" s="1"/>
  <c r="D512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6" i="36" l="1"/>
  <c r="B92" i="106"/>
  <c r="D92" i="106" s="1"/>
  <c r="B7733" i="106"/>
  <c r="D7733" i="106" s="1"/>
  <c r="K26" i="12"/>
  <c r="B7743" i="106" s="1"/>
  <c r="D7743" i="106" s="1"/>
  <c r="B6215" i="106"/>
  <c r="D6215" i="106" s="1"/>
  <c r="J41" i="3"/>
  <c r="K41" i="3"/>
  <c r="B3567" i="106"/>
  <c r="D3567" i="106" s="1"/>
  <c r="H367" i="29"/>
  <c r="B3660" i="106" s="1"/>
  <c r="D3660" i="106" s="1"/>
  <c r="L16" i="11"/>
  <c r="B2061" i="106" s="1"/>
  <c r="D2061" i="106" s="1"/>
  <c r="K352" i="29"/>
  <c r="K367" i="29" s="1"/>
  <c r="K342" i="29"/>
  <c r="F13" i="34" s="1"/>
  <c r="F275" i="5"/>
  <c r="C114" i="29"/>
  <c r="B757" i="106" s="1"/>
  <c r="D757"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D51" i="36" l="1"/>
  <c r="B6216" i="106"/>
  <c r="D6216" i="106" s="1"/>
  <c r="B3568" i="106"/>
  <c r="D3568" i="106" s="1"/>
  <c r="D52" i="36"/>
  <c r="K13" i="4"/>
  <c r="B3572" i="106" s="1"/>
  <c r="D3572" i="106" s="1"/>
  <c r="B3672" i="106"/>
  <c r="D3672" i="106" s="1"/>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F10" i="4"/>
  <c r="B4125" i="106" s="1"/>
  <c r="D4125" i="106" s="1"/>
  <c r="D8"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<sst xmlns="http://schemas.openxmlformats.org/spreadsheetml/2006/main" count="5050" uniqueCount="2119">
  <si>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</si>
  <si>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</si>
  <si>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</si>
  <si>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</si>
  <si>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</si>
  <si>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</si>
  <si>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</si>
  <si>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</si>
  <si>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</si>
  <si>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</si>
  <si>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</si>
  <si>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</si>
  <si>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</si>
  <si>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</si>
  <si>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</si>
  <si>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</si>
  <si>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</si>
  <si>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</si>
  <si>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</si>
  <si>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</si>
  <si>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</si>
  <si>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</si>
  <si>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</si>
  <si>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</si>
  <si>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</si>
  <si>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</si>
  <si>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</si>
  <si>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</si>
  <si>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</si>
  <si>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</si>
  <si>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</si>
  <si>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</si>
  <si>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</si>
  <si>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</si>
  <si>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</si>
  <si>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</si>
  <si>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</si>
  <si>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</si>
  <si>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</si>
  <si>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</si>
  <si>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</si>
  <si>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</si>
  <si>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</si>
  <si>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</si>
  <si>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</si>
  <si>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</si>
  <si>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</si>
  <si>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</si>
  <si>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</si>
  <si>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</si>
  <si>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</si>
  <si>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</si>
  <si>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</si>
  <si>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</si>
  <si>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</si>
  <si>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</si>
  <si>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</si>
  <si>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</si>
  <si>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</si>
  <si>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</si>
  <si>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</si>
  <si>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</si>
  <si>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</si>
  <si>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</si>
  <si>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</si>
  <si>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</si>
  <si>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</si>
  <si>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</si>
  <si>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</si>
  <si>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</si>
  <si>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</si>
  <si>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</si>
  <si>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</si>
  <si>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</si>
  <si>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</si>
  <si>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</si>
  <si>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</si>
  <si>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</si>
  <si>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</si>
  <si>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</si>
  <si>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</si>
  <si>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</si>
  <si>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</si>
  <si>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</si>
  <si>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</si>
  <si>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</si>
  <si>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</si>
  <si>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</si>
  <si>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</si>
  <si>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</si>
  <si>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</si>
  <si>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</si>
  <si>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</si>
  <si>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</si>
  <si>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</si>
  <si>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</si>
  <si>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</si>
  <si>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</si>
  <si>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</si>
  <si>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</si>
  <si>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</si>
  <si>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</si>
  <si>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</si>
  <si>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</si>
  <si>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</si>
  <si>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</si>
  <si>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</si>
  <si>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</si>
  <si>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</si>
  <si>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</si>
  <si>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</si>
  <si>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</si>
  <si>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</si>
  <si>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</si>
  <si>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</si>
  <si>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</si>
  <si>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</si>
  <si>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</si>
  <si>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</si>
  <si>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</si>
  <si>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</si>
  <si>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</si>
  <si>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</si>
  <si>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</si>
  <si>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</si>
  <si>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</si>
  <si>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</si>
  <si>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</si>
  <si>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</si>
  <si>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</si>
  <si>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</si>
  <si>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</si>
  <si>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</si>
  <si>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</si>
  <si>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</si>
  <si>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</si>
  <si>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</si>
  <si>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</si>
  <si>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</si>
  <si>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</si>
  <si>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</si>
  <si>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</si>
  <si>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</si>
  <si>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</si>
  <si>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</si>
  <si>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</si>
  <si>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</si>
  <si>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</si>
  <si>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</si>
  <si>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</si>
  <si>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</si>
  <si>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</si>
  <si>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</si>
  <si>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</si>
  <si>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</si>
  <si>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</si>
  <si>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</si>
  <si>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</si>
  <si>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</si>
  <si>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</si>
  <si>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</si>
  <si>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</si>
  <si>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</si>
  <si>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</si>
  <si>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</si>
  <si>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</si>
  <si>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</si>
  <si>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</si>
  <si>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</si>
  <si>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</si>
  <si>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</si>
  <si>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</si>
  <si>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</si>
  <si>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</si>
  <si>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</si>
  <si>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</si>
  <si>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</si>
  <si>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</si>
  <si>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</si>
  <si>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</si>
  <si>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</si>
  <si>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</si>
  <si>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</si>
  <si>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</si>
  <si>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</si>
  <si>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</si>
  <si>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</si>
  <si>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</si>
  <si>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</si>
  <si>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</si>
  <si>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</si>
  <si>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</si>
  <si>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</si>
  <si>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</si>
  <si>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</si>
  <si>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</si>
  <si>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</si>
  <si>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</si>
  <si>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</si>
  <si>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</si>
  <si>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</si>
  <si>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</si>
  <si>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</si>
  <si>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</si>
  <si>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</si>
  <si>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</si>
  <si>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</si>
  <si>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</si>
  <si>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</si>
  <si>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</si>
  <si>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</si>
  <si>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</si>
  <si>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</si>
  <si>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</si>
  <si>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</si>
  <si>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</si>
  <si>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</si>
  <si>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</si>
  <si>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</si>
  <si>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</si>
  <si>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</si>
  <si>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</si>
  <si>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</si>
  <si>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</si>
  <si>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</si>
  <si>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</si>
  <si>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</si>
  <si>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</si>
  <si>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</si>
  <si>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</si>
  <si>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</si>
  <si>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</si>
  <si>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</si>
  <si>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</si>
  <si>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</si>
  <si>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</si>
  <si>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</si>
  <si>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</si>
  <si>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</si>
  <si>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</si>
  <si>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</si>
  <si>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</si>
  <si>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</si>
  <si>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</si>
  <si>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</si>
  <si>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</si>
  <si>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</si>
  <si>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</si>
  <si>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</si>
  <si>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</si>
  <si>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</si>
  <si>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</si>
  <si>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</si>
  <si>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</si>
  <si>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</si>
  <si>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</si>
  <si>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</si>
  <si>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</si>
  <si>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</si>
  <si>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</si>
  <si>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</si>
  <si>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</si>
  <si>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</si>
  <si>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</si>
  <si>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</si>
  <si>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</si>
  <si>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</si>
  <si>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</si>
  <si>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</si>
  <si>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</si>
  <si>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</si>
  <si>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</si>
  <si>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</si>
  <si>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</si>
  <si>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</si>
  <si>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</si>
  <si>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</si>
  <si>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</si>
  <si>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</si>
  <si>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</si>
  <si>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</si>
  <si>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</si>
  <si>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</si>
  <si>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</si>
  <si>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</si>
  <si>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</si>
  <si>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</si>
  <si>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</si>
  <si>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</si>
  <si>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</si>
  <si>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</si>
  <si>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</si>
  <si>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</si>
  <si>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</si>
  <si>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</si>
  <si>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</si>
  <si>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</si>
  <si>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</si>
  <si>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</si>
  <si>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</si>
  <si>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</si>
  <si>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</si>
  <si>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</si>
  <si>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</si>
  <si>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</si>
  <si>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</si>
  <si>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</si>
  <si>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</si>
  <si>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</si>
  <si>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</si>
  <si>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</si>
  <si>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</si>
  <si>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</si>
  <si>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</si>
  <si>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</si>
  <si>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</si>
  <si>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</si>
  <si>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</si>
  <si>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</si>
  <si>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</si>
  <si>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</si>
  <si>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</si>
  <si>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</si>
  <si>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</si>
  <si>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</si>
  <si>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</si>
  <si>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</si>
  <si>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</si>
  <si>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</si>
  <si>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</si>
  <si>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</si>
  <si>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</si>
  <si>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</si>
  <si>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</si>
  <si>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</si>
  <si>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</si>
  <si>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</si>
  <si>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</si>
  <si>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</si>
  <si>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</si>
  <si>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</si>
  <si>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</si>
  <si>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</si>
  <si>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</si>
  <si>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</si>
  <si>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</si>
  <si>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</si>
  <si>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</si>
  <si>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</si>
  <si>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</si>
  <si>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</si>
  <si>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</si>
  <si>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</si>
  <si>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</si>
  <si>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</si>
  <si>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</si>
  <si>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</si>
  <si>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</si>
  <si>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</si>
  <si>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</si>
  <si>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</si>
  <si>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</si>
  <si>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</si>
  <si>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</si>
  <si>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</si>
  <si>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</si>
  <si>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</si>
  <si>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</si>
  <si>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</si>
  <si>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</si>
  <si>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</si>
  <si>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</si>
  <si>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</si>
  <si>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</si>
  <si>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</si>
  <si>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</si>
  <si>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</si>
  <si>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</si>
  <si>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</si>
  <si>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</si>
  <si>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</si>
  <si>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</si>
  <si>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</si>
  <si>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</si>
  <si>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</si>
  <si>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</si>
  <si>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</si>
  <si>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</si>
  <si>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</si>
  <si>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</si>
  <si>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</si>
  <si>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</si>
  <si>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</si>
  <si>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</si>
  <si>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</si>
  <si>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</si>
  <si>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</si>
  <si>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</si>
  <si>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</si>
  <si>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</si>
  <si>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</si>
  <si>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</si>
  <si>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</si>
  <si>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</si>
  <si>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</si>
  <si>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</si>
  <si>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</si>
  <si>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</si>
  <si>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</si>
  <si>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</si>
  <si>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</si>
  <si>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</si>
  <si>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</si>
  <si>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</si>
  <si>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</si>
  <si>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</si>
  <si>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</si>
  <si>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</si>
  <si>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</si>
  <si>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</si>
  <si>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</si>
  <si>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</si>
  <si>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</si>
  <si>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</si>
  <si>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</si>
  <si>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</si>
  <si>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</si>
  <si>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</si>
  <si>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</si>
  <si>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</si>
  <si>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</si>
  <si>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</si>
  <si>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</si>
  <si>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</si>
  <si>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</si>
  <si>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</si>
  <si>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</si>
  <si>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</si>
  <si>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</si>
  <si>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</si>
  <si>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</si>
  <si>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</si>
  <si>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</si>
  <si>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</si>
  <si>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</si>
  <si>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</si>
  <si>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</si>
  <si>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</si>
  <si>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</si>
  <si>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</si>
  <si>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</si>
  <si>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</si>
  <si>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</si>
  <si>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</si>
  <si>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</si>
  <si>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</si>
  <si>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</si>
  <si>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</si>
  <si>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</si>
  <si>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</si>
  <si>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</si>
  <si>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</si>
  <si>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</si>
  <si>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</si>
  <si>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</si>
  <si>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</si>
  <si>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</si>
  <si>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</si>
  <si>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</si>
  <si>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</si>
  <si>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</si>
  <si>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</si>
  <si>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</si>
  <si>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</si>
  <si>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</si>
  <si>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</si>
  <si>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</si>
  <si>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</si>
  <si>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</si>
  <si>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</si>
  <si>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</si>
  <si>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</si>
  <si>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</si>
  <si>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</si>
  <si>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</si>
  <si>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</si>
  <si>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</si>
  <si>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</si>
  <si>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</si>
  <si>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</si>
  <si>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</si>
  <si>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</si>
  <si>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</si>
  <si>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</si>
  <si>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</si>
  <si>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</si>
  <si>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</si>
  <si>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</si>
  <si>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</si>
  <si>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</si>
  <si>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</si>
  <si>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</si>
  <si>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</si>
  <si>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</si>
  <si>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</si>
  <si>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</si>
  <si>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</si>
  <si>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</si>
  <si>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</si>
  <si>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</si>
  <si>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</si>
  <si>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</si>
  <si>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</si>
  <si>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</si>
  <si>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</si>
  <si>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</si>
  <si>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</si>
  <si>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</si>
  <si>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</si>
  <si>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</si>
  <si>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</si>
  <si>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</si>
  <si>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</si>
  <si>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</si>
  <si>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</si>
  <si>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</si>
  <si>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</si>
  <si>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</si>
  <si>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</si>
  <si>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</si>
  <si>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</si>
  <si>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</si>
  <si>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</si>
  <si>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</si>
  <si>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</si>
  <si>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</si>
  <si>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</si>
  <si>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</si>
  <si>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</si>
  <si>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</si>
  <si>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</si>
  <si>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</si>
  <si>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</si>
  <si>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</si>
  <si>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</si>
  <si>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</si>
  <si>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</si>
  <si>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</si>
  <si>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</si>
  <si>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</si>
  <si>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</si>
  <si>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</si>
  <si>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</si>
  <si>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</si>
  <si>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</si>
  <si>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</si>
  <si>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</si>
  <si>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</si>
  <si>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</si>
  <si>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</si>
  <si>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</si>
  <si>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</si>
  <si>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</si>
  <si>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</si>
  <si>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</si>
  <si>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</si>
  <si>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</si>
  <si>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</si>
  <si>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</si>
  <si>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</si>
  <si>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</si>
  <si>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</si>
  <si>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</si>
  <si>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</si>
  <si>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</si>
  <si>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</si>
  <si>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</si>
  <si>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</si>
  <si>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</si>
  <si>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</si>
  <si>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</si>
  <si>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</si>
  <si>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</si>
  <si>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</si>
  <si>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</si>
  <si>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</si>
  <si>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</si>
  <si>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</si>
  <si>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</si>
  <si>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</si>
  <si>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</si>
  <si>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</si>
  <si>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</si>
  <si>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</si>
  <si>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</si>
  <si>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</si>
  <si>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</si>
  <si>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</si>
  <si>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</si>
  <si>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</si>
  <si>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</si>
  <si>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</si>
  <si>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</si>
  <si>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</si>
  <si>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</si>
  <si>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</si>
  <si>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</si>
  <si>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</si>
  <si>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</si>
  <si>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</si>
  <si>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</si>
  <si>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</si>
  <si>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</si>
  <si>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</si>
  <si>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</si>
  <si>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</si>
  <si>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</si>
  <si>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</si>
  <si>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</si>
  <si>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</si>
  <si>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</si>
  <si>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</si>
  <si>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</si>
  <si>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</si>
  <si>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</si>
  <si>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</si>
  <si>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</si>
  <si>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</si>
  <si>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</si>
  <si>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</si>
  <si>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</si>
  <si>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</si>
  <si>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</si>
  <si>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</si>
  <si>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</si>
  <si>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</si>
  <si>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</si>
  <si>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</si>
  <si>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</si>
  <si>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</si>
  <si>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</si>
  <si>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</si>
  <si>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</si>
  <si>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</si>
  <si>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</si>
  <si>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</si>
  <si>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</si>
  <si>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</si>
  <si>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</si>
  <si>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</si>
  <si>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</si>
  <si>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</si>
  <si>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</si>
  <si>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</si>
  <si>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</si>
  <si>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</si>
  <si>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</si>
  <si>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</si>
  <si>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</si>
  <si>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</si>
  <si>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</si>
  <si>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</si>
  <si>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</si>
  <si>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</si>
  <si>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</si>
  <si>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</si>
  <si>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</si>
  <si>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</si>
  <si>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</si>
  <si>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</si>
  <si>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</si>
  <si>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</si>
  <si>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</si>
  <si>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</si>
  <si>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</si>
  <si>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</si>
  <si>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</si>
  <si>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</si>
  <si>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</si>
  <si>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</si>
  <si>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</si>
  <si>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</si>
  <si>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</si>
  <si>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</si>
  <si>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</si>
  <si>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</si>
  <si>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</si>
  <si>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</si>
  <si>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</si>
  <si>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</si>
  <si>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</si>
  <si>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</si>
  <si>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</si>
  <si>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</si>
  <si>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</si>
  <si>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</si>
  <si>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</si>
  <si>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</si>
  <si>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</si>
  <si>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</si>
  <si>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</si>
  <si>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</si>
  <si>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</si>
  <si>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</si>
  <si>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</si>
  <si>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</si>
  <si>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</si>
  <si>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</si>
  <si>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</si>
  <si>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</si>
  <si>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</si>
  <si>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</si>
  <si>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</si>
  <si>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</si>
  <si>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</si>
  <si>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</si>
  <si>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</si>
  <si>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</si>
  <si>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</si>
  <si>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</si>
  <si>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</si>
  <si>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</si>
  <si>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</si>
  <si>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</si>
  <si>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</si>
  <si>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</si>
  <si>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</si>
  <si>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</si>
  <si>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</si>
  <si>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</si>
  <si>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</si>
  <si>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</si>
  <si>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</si>
  <si>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</si>
  <si>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</si>
  <si>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</si>
  <si>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</si>
  <si>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</si>
  <si>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</si>
  <si>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</si>
  <si>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</si>
  <si>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</si>
  <si>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</si>
  <si>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</si>
  <si>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</si>
  <si>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</si>
  <si>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</si>
  <si>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</si>
  <si>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</si>
  <si>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</si>
  <si>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</si>
  <si>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</si>
  <si>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</si>
  <si>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</si>
  <si>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</si>
  <si>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</si>
  <si>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</si>
  <si>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</si>
  <si>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</si>
  <si>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</si>
  <si>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</si>
  <si>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</si>
  <si>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</si>
  <si>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</si>
  <si>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</si>
  <si>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</si>
  <si>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</si>
  <si>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</si>
  <si>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</si>
  <si>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</si>
  <si>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</si>
  <si>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</si>
  <si>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</si>
  <si>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</si>
  <si>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</si>
  <si>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</si>
  <si>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</si>
  <si>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</si>
  <si>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</si>
  <si>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</si>
  <si>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</si>
  <si>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</si>
  <si>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</si>
  <si>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</si>
  <si>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</si>
  <si>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</si>
  <si>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</si>
  <si>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</si>
  <si>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</si>
  <si>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</si>
  <si>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</si>
  <si>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</si>
  <si>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</si>
  <si>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</si>
  <si>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</si>
  <si>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</si>
  <si>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</si>
  <si>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</si>
  <si>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</si>
  <si>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</si>
  <si>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</si>
  <si>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</si>
  <si>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</si>
  <si>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</si>
  <si>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</si>
  <si>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</si>
  <si>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</si>
  <si>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</si>
  <si>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</si>
  <si>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</si>
  <si>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</si>
  <si>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</si>
  <si>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</si>
  <si>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</si>
  <si>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</si>
  <si>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</si>
  <si>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</si>
  <si>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</si>
  <si>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</si>
  <si>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</si>
  <si>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</si>
  <si>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</si>
  <si>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</si>
  <si>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</si>
  <si>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</si>
  <si>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</si>
  <si>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</si>
  <si>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</si>
  <si>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</si>
  <si>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</si>
  <si>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</si>
  <si>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</si>
  <si>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</si>
  <si>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</si>
  <si>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</si>
  <si>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</si>
  <si>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</si>
  <si>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</si>
  <si>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</si>
  <si>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</si>
  <si>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</si>
  <si>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</si>
  <si>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</si>
  <si>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</si>
  <si>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</si>
  <si>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</si>
  <si>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</si>
  <si>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</si>
  <si>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</si>
  <si>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</si>
  <si>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</si>
  <si>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</si>
  <si>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</si>
  <si>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</si>
  <si>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</si>
  <si>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</si>
  <si>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</si>
  <si>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</si>
  <si>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</si>
  <si>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</si>
  <si>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</si>
  <si>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</si>
  <si>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</si>
  <si>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</si>
  <si>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</si>
  <si>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</si>
  <si>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</si>
  <si>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</si>
  <si>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</si>
  <si>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</si>
  <si>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</si>
  <si>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</si>
  <si>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</si>
  <si>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</si>
  <si>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</si>
  <si>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</si>
  <si>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</si>
  <si>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</si>
  <si>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</si>
  <si>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</si>
  <si>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</si>
  <si>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</si>
  <si>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</si>
  <si>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</si>
  <si>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</si>
  <si>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</si>
  <si>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</si>
  <si>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</si>
  <si>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</si>
  <si>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</si>
  <si>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</si>
  <si>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</si>
  <si>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</si>
  <si>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</si>
  <si>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</si>
  <si>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</si>
  <si>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</si>
  <si>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</si>
  <si>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</si>
  <si>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</si>
  <si>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</si>
  <si>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</si>
  <si>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</si>
  <si>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</si>
  <si>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</si>
  <si>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</si>
  <si>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</si>
  <si>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</si>
  <si>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</si>
  <si>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</si>
  <si>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</si>
  <si>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</si>
  <si>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</si>
  <si>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</si>
  <si>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</si>
  <si>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</si>
  <si>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</si>
  <si>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</si>
  <si>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</si>
  <si>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</si>
  <si>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</si>
  <si>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</si>
  <si>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</si>
  <si>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</si>
  <si>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</si>
  <si>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</si>
  <si>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</si>
  <si>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</si>
  <si>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</si>
  <si>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</si>
  <si>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</si>
  <si>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</si>
  <si>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</si>
  <si>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</si>
  <si>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</si>
  <si>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</si>
  <si>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</si>
  <si>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</si>
  <si>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</si>
  <si>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</si>
  <si>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</si>
  <si>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</si>
  <si>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</si>
  <si>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</si>
  <si>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</si>
  <si>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</si>
  <si>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</si>
  <si>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</si>
  <si>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</si>
  <si>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</si>
  <si>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</si>
  <si>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</si>
  <si>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</si>
  <si>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</si>
  <si>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</si>
  <si>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</si>
  <si>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</si>
  <si>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</si>
  <si>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</si>
  <si>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</si>
  <si>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</si>
  <si>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</si>
  <si>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</si>
  <si>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</si>
  <si>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</si>
  <si>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</si>
  <si>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</si>
  <si>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</si>
  <si>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</si>
  <si>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</si>
  <si>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</si>
  <si>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</si>
  <si>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</si>
  <si>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</si>
  <si>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</si>
  <si>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</si>
  <si>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</si>
  <si>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</si>
  <si>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</si>
  <si>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</si>
  <si>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</si>
  <si>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</si>
  <si>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</si>
  <si>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</si>
  <si>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</si>
  <si>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</si>
  <si>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</si>
  <si>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</si>
  <si>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</si>
  <si>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</si>
  <si>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</si>
  <si>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</si>
  <si>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</si>
  <si>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</si>
  <si>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</si>
  <si>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</si>
  <si>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</si>
  <si>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</si>
  <si>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</si>
  <si>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</si>
  <si>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</si>
  <si>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</si>
  <si>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</si>
  <si>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</si>
  <si>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</si>
  <si>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</si>
  <si>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</si>
  <si>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</si>
  <si>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</si>
  <si>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</si>
  <si>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</si>
  <si>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</si>
  <si>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</si>
  <si>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</si>
  <si>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</si>
  <si>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</si>
  <si>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</si>
  <si>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</si>
  <si>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</si>
  <si>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</si>
  <si>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</si>
  <si>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</si>
  <si>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</si>
  <si>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</si>
  <si>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</si>
  <si>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</si>
  <si>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</si>
  <si>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</si>
  <si>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</si>
  <si>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</si>
  <si>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</si>
  <si>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</si>
  <si>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</si>
  <si>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</si>
  <si>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</si>
  <si>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</si>
  <si>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</si>
  <si>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</si>
  <si>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</si>
  <si>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</si>
  <si>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</si>
  <si>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</si>
  <si>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</si>
  <si>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</si>
  <si>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</si>
  <si>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</si>
  <si>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</si>
  <si>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</si>
  <si>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</si>
  <si>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</si>
  <si>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</si>
  <si>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</si>
  <si>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</si>
  <si>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</si>
  <si>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</si>
  <si>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</si>
  <si>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</si>
  <si>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</si>
  <si>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</si>
  <si>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</si>
  <si>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</si>
  <si>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</si>
  <si>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</si>
  <si>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</si>
  <si>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</si>
  <si>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</si>
  <si>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</si>
  <si>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</si>
  <si>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</si>
  <si>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</si>
  <si>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</si>
  <si>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</si>
  <si>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</si>
  <si>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</si>
  <si>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</si>
  <si>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</si>
  <si>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</si>
  <si>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</si>
  <si>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</si>
  <si>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</si>
  <si>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</si>
  <si>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</si>
  <si>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</si>
  <si>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</si>
  <si>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</si>
  <si>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</si>
  <si>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</si>
  <si>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</si>
  <si>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</si>
  <si>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</si>
  <si>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</si>
  <si>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</si>
  <si>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</si>
  <si>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</si>
  <si>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</si>
  <si>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</si>
  <si>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</si>
  <si>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</si>
  <si>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</si>
  <si>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</si>
  <si>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</si>
  <si>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</si>
  <si>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</si>
  <si>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</si>
  <si>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</si>
  <si>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</si>
  <si>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</si>
  <si>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</si>
  <si>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</si>
  <si>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</si>
  <si>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</si>
  <si>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</si>
  <si>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</si>
  <si>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</si>
  <si>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</si>
  <si>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</si>
  <si>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</si>
  <si>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</si>
  <si>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</si>
  <si>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</si>
  <si>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</si>
  <si>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</si>
  <si>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</si>
  <si>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</si>
  <si>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</si>
  <si>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</si>
  <si>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</si>
  <si>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</si>
  <si>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</si>
  <si>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</si>
  <si>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</si>
  <si>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</si>
  <si>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</si>
  <si>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</si>
  <si>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</si>
  <si>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</si>
  <si>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</si>
  <si>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</si>
  <si>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</si>
  <si>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</si>
  <si>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</si>
  <si>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</si>
  <si>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</si>
  <si>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</si>
  <si>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</si>
  <si>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</si>
  <si>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</si>
  <si>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</si>
  <si>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</si>
  <si>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</si>
  <si>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</si>
  <si>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</si>
  <si>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</si>
  <si>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</si>
  <si>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</si>
  <si>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</si>
  <si>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</si>
  <si>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</si>
  <si>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</si>
  <si>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</si>
  <si>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</si>
  <si>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</si>
  <si>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</si>
  <si>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</si>
  <si>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</si>
  <si>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</si>
  <si>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</si>
  <si>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</si>
  <si>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</si>
  <si>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</si>
  <si>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</si>
  <si>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</si>
  <si>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</si>
  <si>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</si>
  <si>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</si>
  <si>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</si>
  <si>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</si>
  <si>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</si>
  <si>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</si>
  <si>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</si>
  <si>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</si>
  <si>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</si>
  <si>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</si>
  <si>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</si>
  <si>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</si>
  <si>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</si>
  <si>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</si>
  <si>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</si>
  <si>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</si>
  <si>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</si>
  <si>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</si>
  <si>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</si>
  <si>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</si>
  <si>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</si>
  <si>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</si>
  <si>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</si>
  <si>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</si>
  <si>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</si>
  <si>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</si>
  <si>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</si>
  <si>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</si>
  <si>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</si>
  <si>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</si>
  <si>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</si>
  <si>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</si>
  <si>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</si>
  <si>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</si>
  <si>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</si>
  <si>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</si>
  <si>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</si>
  <si>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</si>
  <si>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</si>
  <si>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</si>
  <si>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</si>
  <si>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</si>
  <si>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</si>
  <si>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</si>
  <si>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</si>
  <si>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</si>
  <si>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</si>
  <si>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</si>
  <si>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</si>
  <si>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</si>
  <si>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</si>
  <si>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</si>
  <si>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</si>
  <si>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</si>
  <si>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</si>
  <si>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</si>
  <si>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</si>
  <si>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</si>
  <si>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</si>
  <si>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</si>
  <si>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</si>
  <si>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</si>
  <si>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</si>
  <si>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</si>
  <si>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</si>
  <si>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</si>
  <si>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</si>
  <si>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</si>
  <si>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</si>
  <si>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</si>
  <si>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</si>
  <si>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</si>
  <si>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</si>
  <si>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</si>
  <si>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</si>
  <si>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</si>
  <si>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</si>
  <si>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</si>
  <si>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</si>
  <si>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</si>
  <si>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</si>
  <si>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</si>
  <si>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</si>
  <si>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</si>
  <si>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</si>
  <si>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</si>
  <si>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</si>
  <si>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</si>
  <si>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</si>
  <si>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</si>
  <si>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</si>
  <si>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</si>
  <si>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</si>
  <si>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</si>
  <si>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</si>
  <si>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</si>
  <si>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</si>
  <si>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</si>
  <si>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</si>
  <si>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</si>
  <si>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</si>
  <si>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</si>
  <si>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</si>
  <si>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</si>
  <si>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</si>
  <si>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</si>
  <si>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</si>
  <si>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</si>
  <si>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</si>
  <si>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</si>
  <si>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</si>
  <si>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</si>
  <si>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</si>
  <si>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</si>
  <si>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</si>
  <si>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</si>
  <si>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</si>
  <si>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</si>
  <si>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</si>
  <si>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</si>
  <si>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</si>
  <si>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</si>
  <si>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</si>
  <si>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</si>
  <si>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</si>
  <si>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</si>
  <si>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</si>
  <si>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</si>
  <si>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</si>
  <si>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</si>
  <si>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</si>
  <si>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</si>
  <si>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</si>
  <si>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</si>
  <si>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</si>
  <si>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</si>
  <si>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</si>
  <si>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</si>
  <si>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</si>
  <si>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</si>
  <si>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</si>
  <si>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</si>
  <si>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</si>
  <si>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</si>
  <si>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</si>
  <si>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</si>
  <si>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</si>
  <si>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</si>
  <si>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</si>
  <si>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</si>
  <si>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</si>
  <si>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</si>
  <si>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</si>
  <si>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</si>
  <si>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</si>
  <si>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</si>
  <si>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</si>
  <si>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</si>
  <si>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</si>
  <si>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</si>
  <si>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</si>
  <si>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</si>
  <si>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</si>
  <si>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</si>
  <si>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</si>
  <si>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</si>
  <si>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</si>
  <si>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</si>
  <si>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</si>
  <si>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</si>
  <si>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</si>
  <si>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</si>
  <si>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</si>
  <si>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</si>
  <si>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</si>
  <si>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</si>
  <si>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</si>
  <si>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</si>
  <si>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</si>
  <si>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</si>
  <si>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</si>
  <si>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</si>
  <si>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</si>
  <si>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</si>
  <si>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</si>
  <si>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</si>
  <si>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</si>
  <si>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</si>
  <si>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</si>
  <si>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</si>
  <si>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</si>
  <si>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</si>
  <si>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</si>
  <si>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</si>
  <si>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</si>
  <si>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</si>
  <si>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</si>
  <si>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</si>
  <si>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</si>
  <si>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</si>
  <si>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</si>
  <si>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</si>
  <si>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</si>
  <si>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</si>
  <si>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</si>
  <si>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</si>
  <si>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</si>
  <si>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</si>
  <si>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</si>
  <si>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</si>
  <si>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</si>
  <si>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</si>
  <si>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</si>
  <si>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</si>
  <si>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</si>
  <si>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</si>
  <si>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</si>
  <si>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</si>
  <si>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</si>
  <si>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</si>
  <si>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</si>
  <si>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</si>
  <si>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</si>
  <si>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</si>
  <si>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</si>
  <si>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</si>
  <si>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</si>
  <si>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</si>
  <si>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</si>
  <si>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</si>
  <si>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</si>
  <si>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</si>
  <si>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</si>
  <si>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</si>
  <si>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</si>
  <si>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</si>
  <si>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</si>
  <si>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</si>
  <si>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</si>
  <si>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</si>
  <si>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</si>
  <si>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</si>
  <si>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</si>
  <si>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</si>
  <si>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</si>
  <si>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</si>
  <si>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</si>
  <si>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</si>
  <si>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</si>
  <si>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</si>
  <si>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</si>
  <si>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</si>
  <si>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</si>
  <si>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</si>
  <si>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</si>
  <si>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</si>
  <si>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</si>
  <si>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</si>
  <si>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</si>
  <si>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</si>
  <si>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</si>
  <si>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</si>
  <si>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</si>
  <si>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</si>
  <si>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</si>
  <si>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</si>
  <si>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</si>
  <si>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</si>
  <si>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</si>
  <si>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</si>
  <si>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</si>
  <si>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</si>
  <si>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</si>
  <si>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</si>
  <si>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</si>
  <si>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</si>
  <si>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</si>
  <si>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</si>
  <si>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</si>
  <si>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</si>
  <si>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</si>
  <si>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</si>
  <si>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</si>
  <si>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</si>
  <si>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</si>
  <si>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</si>
  <si>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</si>
  <si>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</si>
  <si>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</si>
  <si>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</si>
  <si>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</si>
  <si>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</si>
  <si>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</si>
  <si>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</si>
  <si>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</si>
  <si>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</si>
  <si>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</si>
  <si>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</si>
  <si>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</si>
  <si>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</si>
  <si>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</si>
  <si>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</si>
  <si>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</si>
  <si>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</si>
  <si>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</si>
  <si>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</si>
  <si>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</si>
  <si>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</si>
  <si>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</si>
  <si>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</si>
  <si>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</si>
  <si>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</si>
  <si>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</si>
  <si>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</si>
  <si>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</si>
  <si>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</si>
  <si>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</si>
  <si>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</si>
  <si>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</si>
  <si>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</si>
  <si>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</si>
  <si>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</si>
  <si>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</si>
  <si>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</si>
  <si>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</si>
  <si>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</si>
  <si>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</si>
  <si>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</si>
  <si>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</si>
  <si>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</si>
  <si>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</si>
  <si>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</si>
  <si>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</si>
  <si>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</si>
  <si>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</si>
  <si>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</si>
  <si>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</si>
  <si>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</si>
  <si>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</si>
  <si>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</si>
  <si>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</si>
  <si>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</si>
  <si>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</si>
  <si>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</si>
  <si>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</si>
  <si>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</si>
  <si>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</si>
  <si>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</si>
  <si>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</si>
  <si>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</si>
  <si>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</si>
  <si>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</si>
  <si>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</si>
  <si>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</si>
  <si>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</si>
  <si>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</si>
  <si>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</si>
  <si>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</si>
  <si>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</si>
  <si>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</si>
  <si>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</si>
  <si>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</si>
  <si>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</si>
  <si>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</si>
  <si>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</si>
  <si>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</si>
  <si>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</si>
  <si>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</si>
  <si>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</si>
  <si>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</si>
  <si>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</si>
  <si>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</si>
  <si>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</si>
  <si>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</si>
  <si>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</si>
  <si>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</si>
  <si>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</si>
  <si>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</si>
  <si>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</si>
  <si>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</si>
  <si>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</si>
  <si>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</si>
  <si>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</si>
  <si>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</si>
  <si>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</si>
  <si>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</si>
  <si>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</si>
  <si>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</si>
  <si>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</si>
  <si>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</si>
  <si>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</si>
  <si>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</si>
  <si>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</si>
  <si>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</si>
  <si>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</si>
  <si>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</si>
  <si>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</si>
  <si>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</si>
  <si>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</si>
  <si>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</si>
  <si>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</si>
  <si>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</si>
  <si>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</si>
  <si>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</si>
  <si>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</si>
  <si>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</si>
  <si>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</si>
  <si>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</si>
  <si>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</si>
  <si>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</si>
  <si>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</si>
  <si>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</si>
  <si>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</si>
  <si>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</si>
  <si>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</si>
  <si>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</si>
  <si>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</si>
  <si>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</si>
  <si>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</si>
  <si>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</si>
  <si>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</si>
  <si>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</si>
  <si>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</si>
  <si>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</si>
  <si>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</si>
  <si>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</si>
  <si>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</si>
  <si>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</si>
  <si>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</si>
  <si>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</si>
  <si>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</si>
  <si>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</si>
  <si>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</si>
  <si>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</si>
  <si>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</si>
  <si>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</si>
  <si>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</si>
  <si>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</si>
  <si>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</si>
  <si>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</si>
  <si>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</si>
  <si>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</si>
  <si>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</si>
  <si>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</si>
  <si>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</si>
  <si>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</si>
  <si>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</si>
  <si>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</si>
  <si>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</si>
  <si>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</si>
  <si>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</si>
  <si>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</si>
  <si>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</si>
  <si>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</si>
  <si>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</si>
  <si>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</si>
  <si>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</si>
  <si>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</si>
  <si>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</si>
  <si>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</si>
  <si>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</si>
  <si>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</si>
  <si>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</si>
  <si>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</si>
  <si>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</si>
  <si>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</si>
  <si>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</si>
  <si>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</si>
  <si>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</si>
  <si>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</si>
  <si>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</si>
  <si>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</si>
  <si>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</si>
  <si>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</si>
  <si>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</si>
  <si>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</si>
  <si>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</si>
  <si>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</si>
  <si>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</si>
  <si>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</si>
  <si>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</si>
  <si>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</si>
  <si>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</si>
  <si>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</si>
  <si>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</si>
  <si>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</si>
  <si>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</si>
  <si>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</si>
  <si>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</si>
  <si>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</si>
  <si>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</si>
  <si>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</si>
  <si>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</si>
  <si>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</si>
  <si>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</si>
  <si>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</si>
  <si>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</si>
  <si>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</si>
  <si>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</si>
  <si>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</si>
  <si>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</si>
  <si>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</si>
  <si>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</si>
  <si>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</si>
  <si>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</si>
  <si>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</si>
  <si>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</si>
  <si>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</si>
  <si>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</si>
  <si>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</si>
  <si>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</si>
  <si>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</si>
  <si>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</si>
  <si>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</si>
  <si>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</si>
  <si>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</si>
  <si>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</si>
  <si>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</si>
  <si>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</si>
  <si>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</si>
  <si>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</si>
  <si>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</si>
  <si>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</si>
  <si>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</si>
  <si>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</si>
  <si>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</si>
  <si>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</si>
  <si>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</si>
  <si>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</si>
  <si>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</si>
  <si>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</si>
  <si>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</si>
  <si>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</si>
  <si>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</si>
  <si>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</si>
  <si>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</si>
  <si>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</si>
  <si>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</si>
  <si>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</si>
  <si>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</si>
  <si>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</si>
  <si>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</si>
  <si>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</si>
  <si>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</si>
  <si>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</si>
  <si>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</si>
  <si>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</si>
  <si>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</si>
  <si>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</si>
  <si>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</si>
  <si>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</si>
  <si>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</si>
  <si>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</si>
  <si>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</si>
  <si>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</si>
  <si>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</si>
  <si>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</si>
  <si>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</si>
  <si>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</si>
  <si>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</si>
  <si>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</si>
  <si>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</si>
  <si>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</si>
  <si>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</si>
  <si>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</si>
  <si>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</si>
  <si>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</si>
  <si>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</si>
  <si>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</si>
  <si>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</si>
  <si>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</si>
  <si>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</si>
  <si>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</si>
  <si>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</si>
  <si>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</si>
  <si>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</si>
  <si>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</si>
  <si>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</si>
  <si>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</si>
  <si>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</si>
  <si>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</si>
  <si>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</si>
  <si>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</si>
  <si>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</si>
  <si>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</si>
  <si>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</si>
  <si>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</si>
  <si>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</si>
  <si>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</si>
  <si>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</si>
  <si>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</si>
  <si>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</si>
  <si>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</si>
  <si>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</si>
  <si>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</si>
  <si>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</si>
  <si>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</si>
  <si>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</si>
  <si>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</si>
  <si>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</si>
  <si>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</si>
  <si>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</si>
  <si>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</si>
  <si>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</si>
  <si>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</si>
  <si>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</si>
  <si>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</si>
  <si>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</si>
  <si>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</si>
  <si>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</si>
  <si>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</si>
  <si>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</si>
  <si>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</si>
  <si>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</si>
  <si>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</si>
  <si>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</si>
  <si>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</si>
  <si>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</si>
  <si>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</si>
  <si>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</si>
  <si>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</si>
  <si>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</si>
  <si>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</si>
  <si>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</si>
  <si>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</si>
  <si>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</si>
  <si>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</si>
  <si>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</si>
  <si>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</si>
  <si>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</si>
  <si>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</si>
  <si>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</si>
  <si>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</si>
  <si>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</si>
  <si>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</si>
  <si>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</si>
  <si>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</si>
  <si>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</si>
  <si>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</si>
  <si>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</si>
  <si>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</si>
  <si>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</si>
  <si>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</si>
  <si>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</si>
  <si>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</si>
  <si>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</si>
  <si>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</si>
  <si>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</si>
  <si>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</si>
  <si>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</si>
  <si>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</si>
  <si>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</si>
  <si>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</si>
  <si>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</si>
  <si>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</si>
  <si>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</si>
  <si>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</si>
  <si>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</si>
  <si>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</si>
  <si>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</si>
  <si>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</si>
  <si>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</si>
  <si>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</si>
  <si>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</si>
  <si>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</si>
  <si>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</si>
  <si>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</si>
  <si>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</si>
  <si>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</si>
  <si>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</si>
  <si>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</si>
  <si>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</si>
  <si>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</si>
  <si>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</si>
  <si>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</si>
  <si>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</si>
  <si>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</si>
  <si>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</si>
  <si>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</si>
  <si>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</si>
  <si>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</si>
  <si>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</si>
  <si>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</si>
  <si>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</si>
  <si>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</si>
  <si>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</si>
  <si>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</si>
  <si>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</si>
  <si>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</si>
  <si>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</si>
  <si>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</si>
  <si>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</si>
  <si>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</si>
  <si>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</si>
  <si>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</si>
  <si>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</si>
  <si>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</si>
  <si>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</si>
  <si>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</si>
  <si>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</si>
  <si>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</si>
  <si>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</si>
  <si>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</si>
  <si>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</si>
  <si>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</si>
  <si>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</si>
  <si>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</si>
  <si>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</si>
  <si>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</si>
  <si>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</si>
  <si>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</si>
  <si>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</si>
  <si>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</si>
  <si>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</si>
  <si>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</si>
  <si>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</si>
  <si>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</si>
  <si>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</si>
  <si>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</si>
  <si>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</si>
  <si>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</si>
  <si>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</si>
  <si>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</si>
  <si>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</si>
  <si>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</si>
  <si>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</si>
  <si>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</si>
  <si>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</si>
  <si>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</si>
  <si>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</si>
  <si>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</si>
  <si>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</si>
  <si>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</si>
  <si>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</si>
  <si>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</si>
  <si>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</si>
  <si>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</si>
  <si>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</si>
  <si>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</si>
  <si>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</si>
  <si>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</si>
  <si>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</si>
  <si>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</si>
  <si>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</si>
  <si>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</si>
  <si>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</si>
  <si>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</si>
  <si>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</si>
  <si>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</si>
  <si>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</si>
  <si>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</si>
  <si>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</si>
  <si>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</si>
  <si>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</si>
  <si>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</si>
  <si>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</si>
  <si>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</si>
  <si>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</si>
  <si>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</si>
  <si>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</si>
  <si>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</si>
  <si>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</si>
  <si>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</si>
  <si>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</si>
  <si>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</si>
  <si>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</si>
  <si>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</si>
  <si>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</si>
  <si>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</si>
  <si>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</si>
  <si>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</si>
  <si>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</si>
  <si>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</si>
  <si>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</si>
  <si>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</si>
  <si>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</si>
  <si>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</si>
  <si>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</si>
  <si>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</si>
  <si>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</si>
  <si>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</si>
  <si>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</si>
  <si>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</si>
  <si>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</si>
  <si>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</si>
  <si>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</si>
  <si>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</si>
  <si>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</si>
  <si>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</si>
  <si>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</si>
  <si>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</si>
  <si>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</si>
  <si>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</si>
  <si>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</si>
  <si>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</si>
  <si>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</si>
  <si>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</si>
  <si>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</si>
  <si>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</si>
  <si>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</si>
  <si>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</si>
  <si>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</si>
  <si>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</si>
  <si>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</si>
  <si>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</si>
  <si>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</si>
  <si>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</si>
  <si>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</si>
  <si>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</si>
  <si>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</si>
  <si>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</si>
  <si>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</si>
  <si>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</si>
  <si>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</si>
  <si>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</si>
  <si>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</si>
  <si>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</si>
  <si>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</si>
  <si>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</si>
  <si>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</si>
  <si>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</si>
  <si>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</si>
  <si>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</si>
  <si>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</si>
  <si>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</si>
  <si>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</si>
  <si>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</si>
  <si>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</si>
  <si>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</si>
  <si>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</si>
  <si>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</si>
  <si>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</si>
  <si>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</si>
  <si>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</si>
  <si>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</si>
  <si>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</si>
  <si>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</si>
  <si>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</si>
  <si>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</si>
  <si>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</si>
  <si>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</si>
  <si>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</si>
  <si>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</si>
  <si>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</si>
  <si>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</si>
  <si>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</si>
  <si>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</si>
  <si>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</si>
  <si>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</si>
  <si>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</si>
  <si>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</si>
  <si>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</si>
  <si>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</si>
  <si>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</si>
  <si>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</si>
  <si>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</si>
  <si>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</si>
  <si>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</si>
  <si>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</si>
  <si>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</si>
  <si>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</si>
  <si>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</si>
  <si>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</si>
  <si>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</si>
  <si>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</si>
  <si>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</si>
  <si>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</si>
  <si>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</si>
  <si>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</si>
  <si>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</si>
  <si>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</si>
  <si>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</si>
  <si>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</si>
  <si>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</si>
  <si>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</si>
  <si>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</si>
  <si>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</si>
  <si>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</si>
  <si>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</si>
  <si>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</si>
  <si>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</si>
  <si>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</si>
  <si>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</si>
  <si>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</si>
  <si>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</si>
  <si>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</si>
  <si>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</si>
  <si>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</si>
  <si>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</si>
  <si>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</si>
  <si>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</si>
  <si>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</si>
  <si>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</si>
  <si>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</si>
  <si>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</si>
  <si>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</si>
  <si>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</si>
  <si>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</si>
  <si>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</si>
  <si>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</si>
  <si>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</si>
  <si>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</si>
  <si>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</si>
  <si>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</si>
  <si>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</si>
  <si>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</si>
  <si>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</si>
  <si>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</si>
  <si>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</si>
  <si>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</si>
  <si>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</si>
  <si>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Clinton</t>
  </si>
  <si>
    <t>206 N. Broadway</t>
  </si>
  <si>
    <t>Albers, IL</t>
  </si>
  <si>
    <t>mtoeben@alberscougars.com</t>
  </si>
  <si>
    <t>Mike Toeben</t>
  </si>
  <si>
    <t>618-248-5146</t>
  </si>
  <si>
    <t>618-248-5659</t>
  </si>
  <si>
    <t>2008 Refunding Bond</t>
  </si>
  <si>
    <t>2016 Working Cash Bond</t>
  </si>
  <si>
    <t>x</t>
  </si>
  <si>
    <t>Kaskaskia Special Education District</t>
  </si>
  <si>
    <t>Breese Central High School</t>
  </si>
  <si>
    <t>Damiansville Grade School</t>
  </si>
  <si>
    <t>Page 11, Line 107</t>
  </si>
  <si>
    <t>General:</t>
  </si>
  <si>
    <t>Refunds and Reimbursements</t>
  </si>
  <si>
    <t>Insurance Refunds</t>
  </si>
  <si>
    <t>Transportation:</t>
  </si>
  <si>
    <t>Damiansville Portion of Spec. Ed Trans</t>
  </si>
  <si>
    <t>ED-Elementary-Repairs &amp; maintenance</t>
  </si>
  <si>
    <t>DNT Copy</t>
  </si>
  <si>
    <t>ED-Board of Education- Audit</t>
  </si>
  <si>
    <t>Glass &amp; Shuffett, Ltd.</t>
  </si>
  <si>
    <t>O&amp;M-Operations &amp; Maintenance of Plant Services-Rentals</t>
  </si>
  <si>
    <t>St. Bernard's Parish</t>
  </si>
  <si>
    <t>Zurliene Bus Service</t>
  </si>
  <si>
    <t>TR-Pupil Transportation-Pupil Transportation</t>
  </si>
  <si>
    <t>10-1000-300</t>
  </si>
  <si>
    <t>10-2300-300</t>
  </si>
  <si>
    <t>20-2540-300</t>
  </si>
  <si>
    <t>40-2550-300</t>
  </si>
  <si>
    <t>Frederick J Becker, CPA</t>
  </si>
  <si>
    <t>066-004976</t>
  </si>
  <si>
    <t>618-532-5684</t>
  </si>
  <si>
    <t>Albers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</si>
</sst>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81" fontId="56" fillId="0" borderId="0" xfId="19" applyNumberFormat="1" applyFont="1"/>
    <xf numFmtId="182" fontId="56" fillId="0" borderId="0" xfId="1" applyNumberFormat="1" applyFont="1"/>
    <xf numFmtId="181" fontId="56" fillId="0" borderId="166" xfId="19" applyNumberFormat="1" applyFont="1" applyBorder="1"/>
    <xf numFmtId="181" fontId="56" fillId="0" borderId="167" xfId="19" applyNumberFormat="1" applyFont="1" applyBorder="1"/>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6</xdr:row>
          <xdr:rowOff>38100</xdr:rowOff>
        </xdr:from>
        <xdr:to>
          <xdr:col>1</xdr:col>
          <xdr:colOff>2257425</xdr:colOff>
          <xdr:row>10</xdr:row>
          <xdr:rowOff>104775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2077</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2077</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13014063002</v>
      </c>
      <c r="B13" s="2009"/>
      <c r="C13" s="2009"/>
      <c r="D13" s="2009"/>
      <c r="E13" s="2009"/>
      <c r="F13" s="2009"/>
      <c r="G13" s="2009"/>
      <c r="H13" s="2010"/>
      <c r="I13" s="31"/>
      <c r="J13" s="30"/>
      <c r="K13" s="28"/>
      <c r="L13" s="30"/>
      <c r="M13" s="30"/>
      <c r="N13" s="30"/>
      <c r="O13" s="30"/>
      <c r="P13" s="30"/>
      <c r="Q13" s="30"/>
      <c r="R13" s="30"/>
      <c r="S13" s="30"/>
      <c r="T13" s="2013" t="s">
        <v>2078</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2084</v>
      </c>
      <c r="B15" s="2011"/>
      <c r="C15" s="2011"/>
      <c r="D15" s="2011"/>
      <c r="E15" s="2011"/>
      <c r="F15" s="2011"/>
      <c r="G15" s="2011"/>
      <c r="H15" s="2012"/>
      <c r="T15" s="1974" t="s">
        <v>2115</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2118</v>
      </c>
      <c r="B17" s="2036"/>
      <c r="C17" s="2036"/>
      <c r="D17" s="2036"/>
      <c r="E17" s="2036"/>
      <c r="F17" s="2036"/>
      <c r="G17" s="2036"/>
      <c r="H17" s="2037"/>
      <c r="T17" s="2023" t="s">
        <v>2079</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2085</v>
      </c>
      <c r="B19" s="2007"/>
      <c r="C19" s="2007"/>
      <c r="D19" s="2007"/>
      <c r="E19" s="2007"/>
      <c r="F19" s="2007"/>
      <c r="G19" s="2007"/>
      <c r="H19" s="2005"/>
      <c r="I19" s="30"/>
      <c r="J19" s="99"/>
      <c r="K19" s="40"/>
      <c r="L19" s="38"/>
      <c r="M19" s="112" t="s">
        <v>333</v>
      </c>
      <c r="P19" s="27"/>
      <c r="Q19" s="27"/>
      <c r="R19" s="27"/>
      <c r="S19" s="31"/>
      <c r="T19" s="2006" t="s">
        <v>2080</v>
      </c>
      <c r="U19" s="2004"/>
      <c r="V19" s="2004"/>
      <c r="W19" s="2005"/>
      <c r="X19" s="2021" t="s">
        <v>2081</v>
      </c>
      <c r="Y19" s="2022"/>
      <c r="Z19" s="2019">
        <v>62801</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2086</v>
      </c>
      <c r="B21" s="2004"/>
      <c r="C21" s="2004"/>
      <c r="D21" s="2004"/>
      <c r="E21" s="2004"/>
      <c r="F21" s="2004"/>
      <c r="G21" s="2004"/>
      <c r="H21" s="2005"/>
      <c r="I21" s="2029" t="s">
        <v>699</v>
      </c>
      <c r="J21" s="1992"/>
      <c r="K21" s="1992"/>
      <c r="L21" s="1992"/>
      <c r="M21" s="1992"/>
      <c r="N21" s="1992"/>
      <c r="O21" s="1992"/>
      <c r="P21" s="1992"/>
      <c r="Q21" s="1992"/>
      <c r="R21" s="1992"/>
      <c r="S21" s="1993"/>
      <c r="T21" s="1971" t="s">
        <v>2082</v>
      </c>
      <c r="U21" s="1972"/>
      <c r="V21" s="1972"/>
      <c r="W21" s="1972"/>
      <c r="X21" s="1985" t="s">
        <v>2117</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2087</v>
      </c>
      <c r="B23" s="2027"/>
      <c r="C23" s="2027"/>
      <c r="D23" s="2027"/>
      <c r="E23" s="2027"/>
      <c r="F23" s="2027"/>
      <c r="G23" s="2027"/>
      <c r="H23" s="2028"/>
      <c r="T23" s="1966" t="s">
        <v>2116</v>
      </c>
      <c r="U23" s="1967"/>
      <c r="V23" s="1967"/>
      <c r="W23" s="1967"/>
      <c r="X23" s="1982">
        <v>43434</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62215</v>
      </c>
      <c r="B25" s="2004"/>
      <c r="C25" s="2004"/>
      <c r="D25" s="2004"/>
      <c r="E25" s="2004"/>
      <c r="F25" s="2004"/>
      <c r="G25" s="2004"/>
      <c r="H25" s="2005"/>
      <c r="I25" s="113"/>
      <c r="J25" s="2070"/>
      <c r="K25" s="2070"/>
      <c r="L25" s="2070"/>
      <c r="M25" s="2070"/>
      <c r="N25" s="2070"/>
      <c r="O25" s="2070"/>
      <c r="P25" s="2070"/>
      <c r="Q25" s="2070"/>
      <c r="R25" s="2070"/>
      <c r="S25" s="2071"/>
      <c r="T25" s="1963" t="s">
        <v>2083</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2088</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t="s">
        <v>2087</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t="s">
        <v>2089</v>
      </c>
      <c r="B42" s="2053"/>
      <c r="C42" s="2054"/>
      <c r="D42" s="2067" t="s">
        <v>2090</v>
      </c>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5" sqref="B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392358</v>
      </c>
      <c r="C4" s="1546"/>
      <c r="D4" s="1774">
        <f>B4-C4</f>
        <v>392358</v>
      </c>
      <c r="E4" s="1546">
        <v>405441</v>
      </c>
      <c r="F4" s="1774">
        <f>E4-C4</f>
        <v>405441</v>
      </c>
    </row>
    <row r="5" spans="1:6" ht="13.7" customHeight="1" x14ac:dyDescent="0.2">
      <c r="A5" s="716" t="s">
        <v>925</v>
      </c>
      <c r="B5" s="1772">
        <f>'Revenues 9-14'!D5</f>
        <v>61306</v>
      </c>
      <c r="C5" s="585"/>
      <c r="D5" s="1775">
        <f t="shared" ref="D5:D18" si="0">B5-C5</f>
        <v>61306</v>
      </c>
      <c r="E5" s="585">
        <v>63350</v>
      </c>
      <c r="F5" s="1775">
        <f>E5-C5</f>
        <v>63350</v>
      </c>
    </row>
    <row r="6" spans="1:6" ht="13.7" customHeight="1" x14ac:dyDescent="0.2">
      <c r="A6" s="716" t="s">
        <v>431</v>
      </c>
      <c r="B6" s="1772">
        <f>'Revenues 9-14'!E5</f>
        <v>62892</v>
      </c>
      <c r="C6" s="585"/>
      <c r="D6" s="1775">
        <f t="shared" si="0"/>
        <v>62892</v>
      </c>
      <c r="E6" s="585">
        <v>63036</v>
      </c>
      <c r="F6" s="1775">
        <f t="shared" ref="F6:F18" si="1">E6-C6</f>
        <v>63036</v>
      </c>
    </row>
    <row r="7" spans="1:6" ht="13.7" customHeight="1" x14ac:dyDescent="0.2">
      <c r="A7" s="716" t="s">
        <v>157</v>
      </c>
      <c r="B7" s="1772">
        <f>'Revenues 9-14'!F5</f>
        <v>29427</v>
      </c>
      <c r="C7" s="585"/>
      <c r="D7" s="1775">
        <f t="shared" si="0"/>
        <v>29427</v>
      </c>
      <c r="E7" s="585">
        <v>30408</v>
      </c>
      <c r="F7" s="1775">
        <f t="shared" si="1"/>
        <v>30408</v>
      </c>
    </row>
    <row r="8" spans="1:6" ht="13.7" customHeight="1" x14ac:dyDescent="0.2">
      <c r="A8" s="716" t="s">
        <v>1241</v>
      </c>
      <c r="B8" s="1772">
        <f>'Revenues 9-14'!G5</f>
        <v>14471</v>
      </c>
      <c r="C8" s="585"/>
      <c r="D8" s="1775">
        <f t="shared" si="0"/>
        <v>14471</v>
      </c>
      <c r="E8" s="585">
        <v>14500</v>
      </c>
      <c r="F8" s="1775">
        <f t="shared" si="1"/>
        <v>14500</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12261</v>
      </c>
      <c r="C10" s="585"/>
      <c r="D10" s="1775">
        <f t="shared" si="0"/>
        <v>12261</v>
      </c>
      <c r="E10" s="585">
        <v>12670</v>
      </c>
      <c r="F10" s="1775">
        <f t="shared" si="1"/>
        <v>12670</v>
      </c>
    </row>
    <row r="11" spans="1:6" x14ac:dyDescent="0.2">
      <c r="A11" s="716" t="s">
        <v>429</v>
      </c>
      <c r="B11" s="1772">
        <f>'Revenues 9-14'!J5</f>
        <v>49901</v>
      </c>
      <c r="C11" s="585"/>
      <c r="D11" s="1775">
        <f t="shared" si="0"/>
        <v>49901</v>
      </c>
      <c r="E11" s="585">
        <v>50001</v>
      </c>
      <c r="F11" s="1775">
        <f t="shared" si="1"/>
        <v>50001</v>
      </c>
    </row>
    <row r="12" spans="1:6" ht="13.7" customHeight="1" x14ac:dyDescent="0.2">
      <c r="A12" s="716" t="s">
        <v>159</v>
      </c>
      <c r="B12" s="1772">
        <f>'Revenues 9-14'!K5</f>
        <v>12261</v>
      </c>
      <c r="C12" s="585"/>
      <c r="D12" s="1775">
        <f t="shared" si="0"/>
        <v>12261</v>
      </c>
      <c r="E12" s="585">
        <v>12670</v>
      </c>
      <c r="F12" s="1775">
        <f t="shared" si="1"/>
        <v>12670</v>
      </c>
    </row>
    <row r="13" spans="1:6" ht="13.7" customHeight="1" x14ac:dyDescent="0.2">
      <c r="A13" s="716" t="s">
        <v>993</v>
      </c>
      <c r="B13" s="1772">
        <f>SUM('Revenues 9-14'!C6:D6)</f>
        <v>12262</v>
      </c>
      <c r="C13" s="585"/>
      <c r="D13" s="1775">
        <f t="shared" si="0"/>
        <v>12262</v>
      </c>
      <c r="E13" s="585">
        <v>12670</v>
      </c>
      <c r="F13" s="1775">
        <f t="shared" si="1"/>
        <v>12670</v>
      </c>
    </row>
    <row r="14" spans="1:6" ht="13.7" customHeight="1" x14ac:dyDescent="0.2">
      <c r="A14" s="716" t="s">
        <v>430</v>
      </c>
      <c r="B14" s="1772">
        <f>SUM('Revenues 9-14'!C7:D7,'Revenues 9-14'!F7:H7)</f>
        <v>4904</v>
      </c>
      <c r="C14" s="585"/>
      <c r="D14" s="1775">
        <f t="shared" si="0"/>
        <v>4904</v>
      </c>
      <c r="E14" s="585">
        <v>5068</v>
      </c>
      <c r="F14" s="1775">
        <f t="shared" si="1"/>
        <v>5068</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25947</v>
      </c>
      <c r="C16" s="585"/>
      <c r="D16" s="1775">
        <f t="shared" si="0"/>
        <v>25947</v>
      </c>
      <c r="E16" s="585">
        <v>25999</v>
      </c>
      <c r="F16" s="1775">
        <f t="shared" si="1"/>
        <v>25999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677990</v>
      </c>
      <c r="C19" s="1773">
        <f>SUM(C4:C18)</f>
        <v>0</v>
      </c>
      <c r="D19" s="1773">
        <f>SUM(D4:D18)</f>
        <v>677990</v>
      </c>
      <c r="E19" s="1773">
        <f>SUM(E4:E18)</f>
        <v>695813</v>
      </c>
      <c r="F19" s="1773">
        <f>SUM(F4:F18)</f>
        <v>695813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0" colorId="8" zoomScale="110" zoomScaleNormal="110" workbookViewId="0">
      <selection activeCell="B5" sqref="B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1905</v>
      </c>
      <c r="B2" s="2221"/>
      <c r="C2" s="1909" t="s">
        <v>2038</v>
      </c>
      <c r="D2" s="724" t="s">
        <v>2045</v>
      </c>
      <c r="E2" s="724" t="s">
        <v>2046</v>
      </c>
      <c r="F2" s="1909" t="s">
        <v>2039</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7">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9" t="s">
        <v>652</v>
      </c>
      <c r="B15" s="2210"/>
      <c r="C15" s="1777">
        <f>SUM(C6:C14)</f>
        <v>0</v>
      </c>
      <c r="D15" s="1777">
        <f>SUM(D6:D14)</f>
        <v>0</v>
      </c>
      <c r="E15" s="1777">
        <f>SUM(E6:E14)</f>
        <v>0</v>
      </c>
      <c r="F15" s="1777">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406</v>
      </c>
      <c r="B19" s="2233"/>
      <c r="C19" s="727"/>
      <c r="D19" s="585"/>
      <c r="E19" s="727"/>
      <c r="F19" s="1777">
        <f>SUM(C19+D19)-E19</f>
        <v>0</v>
      </c>
    </row>
    <row r="20" spans="1:11" ht="12.75" customHeight="1" thickTop="1" thickBot="1" x14ac:dyDescent="0.25">
      <c r="A20" s="2232" t="s">
        <v>468</v>
      </c>
      <c r="B20" s="2233"/>
      <c r="C20" s="727"/>
      <c r="D20" s="585"/>
      <c r="E20" s="727"/>
      <c r="F20" s="1777">
        <f>SUM(C20+D20)-E20</f>
        <v>0</v>
      </c>
    </row>
    <row r="21" spans="1:11" ht="14.25" thickTop="1" thickBot="1" x14ac:dyDescent="0.25">
      <c r="A21" s="2209" t="s">
        <v>653</v>
      </c>
      <c r="B21" s="2210"/>
      <c r="C21" s="1777">
        <f>SUM(C17:C20)</f>
        <v>0</v>
      </c>
      <c r="D21" s="1777">
        <f>SUM(D17:D20)</f>
        <v>0</v>
      </c>
      <c r="E21" s="1777">
        <f>SUM(E17:E20)</f>
        <v>0</v>
      </c>
      <c r="F21" s="1777">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7">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7">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7">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39629</v>
      </c>
      <c r="C31" s="735">
        <v>475000</v>
      </c>
      <c r="D31" s="736">
        <v>3</v>
      </c>
      <c r="E31" s="735">
        <v>44000</v>
      </c>
      <c r="F31" s="735"/>
      <c r="G31" s="735"/>
      <c r="H31" s="735">
        <v>44000</v>
      </c>
      <c r="I31" s="1778">
        <f>((E31+F31)-H31)+G31</f>
        <v>0</v>
      </c>
      <c r="J31" s="735"/>
      <c r="K31" s="737"/>
    </row>
    <row r="32" spans="1:11" ht="12" customHeight="1" x14ac:dyDescent="0.2">
      <c r="A32" s="733" t="s">
        <v>2092</v>
      </c>
      <c r="B32" s="734">
        <v>42460</v>
      </c>
      <c r="C32" s="735">
        <v>180000</v>
      </c>
      <c r="D32" s="736">
        <v>1</v>
      </c>
      <c r="E32" s="735">
        <v>120600</v>
      </c>
      <c r="F32" s="735"/>
      <c r="G32" s="735"/>
      <c r="H32" s="735">
        <v>59400</v>
      </c>
      <c r="I32" s="1778">
        <f>((E32+F32)-H32)+G32</f>
        <v>61200</v>
      </c>
      <c r="J32" s="735">
        <v>61200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655000</v>
      </c>
      <c r="D49" s="746"/>
      <c r="E49" s="1778">
        <f t="shared" ref="E49:J49" si="2">SUM(E31:E48)</f>
        <v>164600</v>
      </c>
      <c r="F49" s="1778">
        <f t="shared" si="2"/>
        <v>0</v>
      </c>
      <c r="G49" s="1778">
        <f t="shared" si="2"/>
        <v>0</v>
      </c>
      <c r="H49" s="1778">
        <f t="shared" si="2"/>
        <v>103400</v>
      </c>
      <c r="I49" s="1778">
        <f t="shared" si="2"/>
        <v>61200</v>
      </c>
      <c r="J49" s="1778">
        <f t="shared" si="2"/>
        <v>61200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5" sqref="B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2"/>
      <c r="I1" s="761"/>
      <c r="J1" s="433"/>
    </row>
    <row r="2" spans="1:11" ht="26.25" x14ac:dyDescent="0.2">
      <c r="A2" s="2239" t="s">
        <v>1776</v>
      </c>
      <c r="B2" s="2240"/>
      <c r="C2" s="2240"/>
      <c r="D2" s="2240"/>
      <c r="E2" s="2241"/>
      <c r="F2" s="762" t="s">
        <v>960</v>
      </c>
      <c r="G2" s="763" t="s">
        <v>1773</v>
      </c>
      <c r="H2" s="763" t="s">
        <v>430</v>
      </c>
      <c r="I2" s="763" t="s">
        <v>1220</v>
      </c>
      <c r="J2" s="763" t="s">
        <v>1919</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c r="I5" s="773"/>
      <c r="J5" s="774"/>
      <c r="K5" s="774"/>
    </row>
    <row r="6" spans="1:11" x14ac:dyDescent="0.2">
      <c r="A6" s="775" t="s">
        <v>744</v>
      </c>
      <c r="B6" s="776"/>
      <c r="C6" s="776"/>
      <c r="D6" s="776"/>
      <c r="E6" s="777"/>
      <c r="F6" s="778" t="s">
        <v>904</v>
      </c>
      <c r="G6" s="765"/>
      <c r="H6" s="765">
        <v>4904</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1920</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9"/>
      <c r="G12" s="1780">
        <f>SUM(G5:G11)</f>
        <v>0</v>
      </c>
      <c r="H12" s="1780">
        <f>SUM(H5:H11)</f>
        <v>4904</v>
      </c>
      <c r="I12" s="1780">
        <f>SUM(I5:I11)</f>
        <v>0</v>
      </c>
      <c r="J12" s="1780">
        <f>SUM(J5:J11)</f>
        <v>0</v>
      </c>
      <c r="K12" s="1780">
        <f>SUM(K5:K11)</f>
        <v>0</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v>4904</v>
      </c>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1916</v>
      </c>
      <c r="B19" s="2271"/>
      <c r="C19" s="2271"/>
      <c r="D19" s="2271"/>
      <c r="E19" s="2272"/>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81"/>
      <c r="G21" s="793"/>
      <c r="H21" s="797"/>
      <c r="I21" s="797"/>
      <c r="J21" s="1782">
        <f>SUM(J18:J20)</f>
        <v>0</v>
      </c>
      <c r="K21" s="794"/>
    </row>
    <row r="22" spans="1:11" ht="13.5" thickTop="1" x14ac:dyDescent="0.2">
      <c r="A22" s="2236" t="s">
        <v>1922</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83"/>
      <c r="G23" s="1780">
        <f>SUM(G14:G16,G21,G22)</f>
        <v>0</v>
      </c>
      <c r="H23" s="1780">
        <f>SUM(H14:H16,H21,H22)</f>
        <v>4904</v>
      </c>
      <c r="I23" s="1780">
        <f>SUM(I14:I16,I21,I22)</f>
        <v>0</v>
      </c>
      <c r="J23" s="1780">
        <f>SUM(J14:J16,J21,J22)</f>
        <v>0</v>
      </c>
      <c r="K23" s="1780">
        <f>SUM(K14:K16,K21,K22)</f>
        <v>0</v>
      </c>
    </row>
    <row r="24" spans="1:11" ht="14.25" thickTop="1" thickBot="1" x14ac:dyDescent="0.25">
      <c r="A24" s="2257" t="s">
        <v>2026</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B5" sqref="B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2642972</v>
      </c>
      <c r="D8" s="845"/>
      <c r="E8" s="845"/>
      <c r="F8" s="1782">
        <f>(C8+D8)-E8</f>
        <v>2642972</v>
      </c>
      <c r="G8" s="844">
        <v>50</v>
      </c>
      <c r="H8" s="766">
        <v>675663</v>
      </c>
      <c r="I8" s="766">
        <v>52859</v>
      </c>
      <c r="J8" s="766"/>
      <c r="K8" s="1791">
        <f>(H8+I8)-J8</f>
        <v>728522</v>
      </c>
      <c r="L8" s="1791">
        <f>F8-K8</f>
        <v>1914450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433109</v>
      </c>
      <c r="D12" s="845">
        <f>12611+2003</f>
        <v>14614</v>
      </c>
      <c r="E12" s="845"/>
      <c r="F12" s="1782">
        <f>(C12+D12)-E12</f>
        <v>447723</v>
      </c>
      <c r="G12" s="844">
        <v>10</v>
      </c>
      <c r="H12" s="766">
        <v>363988</v>
      </c>
      <c r="I12" s="766">
        <f>9484+1334</f>
        <v>10818</v>
      </c>
      <c r="J12" s="766"/>
      <c r="K12" s="1791">
        <f>(H12+I12)-J12</f>
        <v>374806</v>
      </c>
      <c r="L12" s="1791">
        <f>F12-K12</f>
        <v>72917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3076081</v>
      </c>
      <c r="D16" s="1782">
        <f>SUM(D3,D5:D6,D8:D10,D12:D15)</f>
        <v>14614</v>
      </c>
      <c r="E16" s="1782">
        <f>SUM(E3,E5:E6,E8:E10,E12:E15)</f>
        <v>0</v>
      </c>
      <c r="F16" s="1782">
        <f>SUM(F3,F5:F6,F8:F10,F12:F15)</f>
        <v>3090695</v>
      </c>
      <c r="G16" s="844"/>
      <c r="H16" s="1782">
        <f>SUM(H3,H6,H8:H10,H12:H14,)</f>
        <v>1039651</v>
      </c>
      <c r="I16" s="1782">
        <f>SUM(I3,I6,I8:I10,I12:I14,)</f>
        <v>63677</v>
      </c>
      <c r="J16" s="1782">
        <f>SUM(J3,J6,J8:J10,J12:J14,)</f>
        <v>0</v>
      </c>
      <c r="K16" s="1782">
        <f>(H16+I16)-J16</f>
        <v>1103328</v>
      </c>
      <c r="L16" s="1782">
        <f>F16-K16</f>
        <v>1987367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63677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B5" sqref="B5"/>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1047501</v>
      </c>
      <c r="G8" s="866"/>
    </row>
    <row r="9" spans="1:7" x14ac:dyDescent="0.2">
      <c r="A9" s="870" t="s">
        <v>480</v>
      </c>
      <c r="B9" s="871" t="s">
        <v>1989</v>
      </c>
      <c r="C9" s="872"/>
      <c r="D9" s="870" t="s">
        <v>522</v>
      </c>
      <c r="E9" s="869"/>
      <c r="F9" s="1935">
        <f>'Expenditures 15-22'!K151</f>
        <v>125021</v>
      </c>
      <c r="G9" s="873"/>
    </row>
    <row r="10" spans="1:7" x14ac:dyDescent="0.2">
      <c r="A10" s="870" t="s">
        <v>520</v>
      </c>
      <c r="B10" s="871" t="s">
        <v>1990</v>
      </c>
      <c r="C10" s="872"/>
      <c r="D10" s="870" t="s">
        <v>522</v>
      </c>
      <c r="E10" s="869"/>
      <c r="F10" s="1935">
        <f>'Expenditures 15-22'!K174</f>
        <v>107832</v>
      </c>
      <c r="G10" s="873"/>
    </row>
    <row r="11" spans="1:7" x14ac:dyDescent="0.2">
      <c r="A11" s="870" t="s">
        <v>481</v>
      </c>
      <c r="B11" s="871" t="s">
        <v>1991</v>
      </c>
      <c r="C11" s="872"/>
      <c r="D11" s="870" t="s">
        <v>522</v>
      </c>
      <c r="E11" s="869"/>
      <c r="F11" s="1935">
        <f>'Expenditures 15-22'!K210</f>
        <v>80352</v>
      </c>
      <c r="G11" s="873"/>
    </row>
    <row r="12" spans="1:7" x14ac:dyDescent="0.2">
      <c r="A12" s="870" t="s">
        <v>482</v>
      </c>
      <c r="B12" s="871" t="s">
        <v>1992</v>
      </c>
      <c r="C12" s="872"/>
      <c r="D12" s="870" t="s">
        <v>522</v>
      </c>
      <c r="E12" s="869"/>
      <c r="F12" s="1935">
        <f>'Expenditures 15-22'!K295</f>
        <v>43421</v>
      </c>
      <c r="G12" s="873"/>
    </row>
    <row r="13" spans="1:7" x14ac:dyDescent="0.2">
      <c r="A13" s="870" t="s">
        <v>108</v>
      </c>
      <c r="B13" s="871" t="s">
        <v>1993</v>
      </c>
      <c r="C13" s="872"/>
      <c r="D13" s="870" t="s">
        <v>522</v>
      </c>
      <c r="E13" s="869"/>
      <c r="F13" s="1935">
        <f>'Expenditures 15-22'!K342</f>
        <v>42023</v>
      </c>
      <c r="G13" s="874"/>
    </row>
    <row r="14" spans="1:7" ht="12" customHeight="1" thickBot="1" x14ac:dyDescent="0.25">
      <c r="A14" s="1792"/>
      <c r="B14" s="1793"/>
      <c r="C14" s="1794"/>
      <c r="D14" s="1795" t="s">
        <v>522</v>
      </c>
      <c r="E14" s="1796" t="s">
        <v>1015</v>
      </c>
      <c r="F14" s="1797">
        <f>SUM(F8:F13)</f>
        <v>1446150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29559</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17748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41456</v>
      </c>
      <c r="G53" s="866"/>
    </row>
    <row r="54" spans="1:7" x14ac:dyDescent="0.2">
      <c r="A54" s="870" t="s">
        <v>479</v>
      </c>
      <c r="B54" s="870" t="s">
        <v>1552</v>
      </c>
      <c r="C54" s="890" t="s">
        <v>1039</v>
      </c>
      <c r="D54" s="886" t="s">
        <v>1157</v>
      </c>
      <c r="E54" s="869"/>
      <c r="F54" s="1939">
        <f>'Expenditures 15-22'!G114</f>
        <v>14614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103400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130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206907</v>
      </c>
      <c r="G76" s="866"/>
    </row>
    <row r="77" spans="1:8" s="894" customFormat="1" ht="12" customHeight="1" thickTop="1" thickBot="1" x14ac:dyDescent="0.25">
      <c r="A77" s="1801"/>
      <c r="B77" s="1798"/>
      <c r="C77" s="1794"/>
      <c r="D77" s="1799" t="s">
        <v>2012</v>
      </c>
      <c r="E77" s="1796"/>
      <c r="F77" s="1802">
        <f>(F14-F76)</f>
        <v>1239243</v>
      </c>
      <c r="G77" s="870"/>
    </row>
    <row r="78" spans="1:8" s="894" customFormat="1" ht="12" customHeight="1" thickTop="1" x14ac:dyDescent="0.2">
      <c r="A78" s="1803"/>
      <c r="B78" s="1798"/>
      <c r="C78" s="1794"/>
      <c r="D78" s="1799" t="s">
        <v>2059</v>
      </c>
      <c r="E78" s="1796"/>
      <c r="F78" s="899">
        <v>188.96</v>
      </c>
      <c r="G78" s="900"/>
      <c r="H78" s="870"/>
    </row>
    <row r="79" spans="1:8" s="894" customFormat="1" ht="12" customHeight="1" thickBot="1" x14ac:dyDescent="0.25">
      <c r="A79" s="1804"/>
      <c r="B79" s="1798"/>
      <c r="C79" s="1794"/>
      <c r="D79" s="1799" t="s">
        <v>2013</v>
      </c>
      <c r="E79" s="1796" t="s">
        <v>1015</v>
      </c>
      <c r="F79" s="1805">
        <f>IF(F78&gt;0,F77/F78," Complete Line 78")</f>
        <v>6558.2292548687547</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43602</v>
      </c>
      <c r="G94" s="913"/>
    </row>
    <row r="95" spans="1:7" x14ac:dyDescent="0.2">
      <c r="A95" s="909" t="s">
        <v>142</v>
      </c>
      <c r="B95" s="909" t="s">
        <v>177</v>
      </c>
      <c r="C95" s="911">
        <v>1700</v>
      </c>
      <c r="D95" s="919" t="str">
        <f>'Revenues 9-14'!A82</f>
        <v>Total District/School Activity Income</v>
      </c>
      <c r="E95" s="907"/>
      <c r="F95" s="1811">
        <f>SUM('Revenues 9-14'!C82,'Revenues 9-14'!D82)</f>
        <v>17669</v>
      </c>
      <c r="G95" s="913"/>
    </row>
    <row r="96" spans="1:7" x14ac:dyDescent="0.2">
      <c r="A96" s="909" t="s">
        <v>479</v>
      </c>
      <c r="B96" s="909" t="s">
        <v>178</v>
      </c>
      <c r="C96" s="911">
        <f>'Revenues 9-14'!B84</f>
        <v>1811</v>
      </c>
      <c r="D96" s="912" t="str">
        <f>'Revenues 9-14'!A84</f>
        <v>Rentals - Regular Textbooks</v>
      </c>
      <c r="E96" s="907"/>
      <c r="F96" s="1811">
        <f>'Revenues 9-14'!C84</f>
        <v>18740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14140</v>
      </c>
      <c r="G104" s="913"/>
    </row>
    <row r="105" spans="1:7" x14ac:dyDescent="0.2">
      <c r="A105" s="909" t="s">
        <v>524</v>
      </c>
      <c r="B105" s="909" t="s">
        <v>842</v>
      </c>
      <c r="C105" s="914">
        <v>3100</v>
      </c>
      <c r="D105" s="920" t="str">
        <f>'Revenues 9-14'!A131</f>
        <v>Total Special Education</v>
      </c>
      <c r="E105" s="907"/>
      <c r="F105" s="1811">
        <f>SUM('Revenues 9-14'!C131:D131,'Revenues 9-14'!F131)</f>
        <v>17771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264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36210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26392</v>
      </c>
      <c r="G128" s="931"/>
    </row>
    <row r="129" spans="1:7" x14ac:dyDescent="0.2">
      <c r="A129" s="928" t="s">
        <v>685</v>
      </c>
      <c r="B129" s="928" t="s">
        <v>803</v>
      </c>
      <c r="C129" s="933">
        <v>4200</v>
      </c>
      <c r="D129" s="930" t="str">
        <f>'Revenues 9-14'!A201</f>
        <v>Total Food Service</v>
      </c>
      <c r="E129" s="907"/>
      <c r="F129" s="1811">
        <f>SUM('Revenues 9-14'!C201,'Revenues 9-14'!G201)</f>
        <v>24545</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5679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2351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1028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208391</v>
      </c>
    </row>
    <row r="179" spans="1:7" ht="12" customHeight="1" x14ac:dyDescent="0.2">
      <c r="A179" s="1792"/>
      <c r="B179" s="1806"/>
      <c r="C179" s="1807"/>
      <c r="D179" s="1808" t="s">
        <v>2015</v>
      </c>
      <c r="E179" s="1809"/>
      <c r="F179" s="1811">
        <f>'PCTC-OEPP 27-28'!F77-F178</f>
        <v>1030852</v>
      </c>
    </row>
    <row r="180" spans="1:7" ht="12" customHeight="1" x14ac:dyDescent="0.2">
      <c r="A180" s="1792"/>
      <c r="B180" s="1806"/>
      <c r="C180" s="1807"/>
      <c r="D180" s="1808" t="s">
        <v>1924</v>
      </c>
      <c r="E180" s="1809"/>
      <c r="F180" s="1811">
        <f>'Cap Outlay Deprec 26'!I18</f>
        <v>63677</v>
      </c>
    </row>
    <row r="181" spans="1:7" ht="12" customHeight="1" x14ac:dyDescent="0.2">
      <c r="A181" s="1792"/>
      <c r="B181" s="1806"/>
      <c r="C181" s="1807"/>
      <c r="D181" s="1808" t="s">
        <v>2016</v>
      </c>
      <c r="E181" s="1809"/>
      <c r="F181" s="1811">
        <f>F179+F180</f>
        <v>1094529</v>
      </c>
    </row>
    <row r="182" spans="1:7" ht="12" customHeight="1" x14ac:dyDescent="0.2">
      <c r="A182" s="1792"/>
      <c r="B182" s="1812"/>
      <c r="C182" s="1807"/>
      <c r="D182" s="1808" t="str">
        <f>D78</f>
        <v>9 Month ADA from District Average Daily Attendance/Prior General State Aid Inquiry 2017-2018</v>
      </c>
      <c r="E182" s="1809"/>
      <c r="F182" s="1813">
        <f>'PCTC-OEPP 27-28'!F78</f>
        <v>188.96</v>
      </c>
      <c r="G182" s="931"/>
    </row>
    <row r="183" spans="1:7" ht="12" customHeight="1" thickBot="1" x14ac:dyDescent="0.25">
      <c r="A183" s="1792"/>
      <c r="B183" s="1812"/>
      <c r="C183" s="1807"/>
      <c r="D183" s="1808" t="s">
        <v>2017</v>
      </c>
      <c r="E183" s="1809" t="s">
        <v>1626</v>
      </c>
      <c r="F183" s="1814">
        <f>F181/F182</f>
        <v>5792.3846316680774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25" sqref="A12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2103</v>
      </c>
      <c r="B17" s="1962" t="s">
        <v>2111</v>
      </c>
      <c r="C17" s="1961" t="s">
        <v>2104</v>
      </c>
      <c r="D17" s="1867">
        <v>8842</v>
      </c>
      <c r="E17" s="1562">
        <f t="shared" ref="E17:E141" si="1">IF(D17&lt;=25000,D17,IF(D17&gt;25000,25000,0))</f>
        <v>8842</v>
      </c>
      <c r="F17" s="1815">
        <f t="shared" si="0"/>
        <v>8842</v>
      </c>
      <c r="G17" s="1816">
        <f>IF(F17=0,0,D17-F17)</f>
        <v>0</v>
      </c>
      <c r="H17" s="1669"/>
    </row>
    <row r="18" spans="1:8" x14ac:dyDescent="0.25">
      <c r="A18" s="1960" t="s">
        <v>2105</v>
      </c>
      <c r="B18" s="1962" t="s">
        <v>2112</v>
      </c>
      <c r="C18" s="1961" t="s">
        <v>2106</v>
      </c>
      <c r="D18" s="1867">
        <v>4300</v>
      </c>
      <c r="E18" s="1562">
        <f t="shared" ref="E18:E140" si="2">IF(D18&lt;=25000,D18,IF(D18&gt;25000,25000,0))</f>
        <v>4300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4300</v>
      </c>
      <c r="G18" s="1816">
        <f t="shared" ref="G18:G140" si="4">IF(F18=0,0,D18-F18)</f>
        <v>0</v>
      </c>
    </row>
    <row r="19" spans="1:8" ht="30" x14ac:dyDescent="0.25">
      <c r="A19" s="1960" t="s">
        <v>2107</v>
      </c>
      <c r="B19" s="1962" t="s">
        <v>2113</v>
      </c>
      <c r="C19" s="1961" t="s">
        <v>2108</v>
      </c>
      <c r="D19" s="1867">
        <v>4500</v>
      </c>
      <c r="E19" s="1562">
        <f t="shared" si="2"/>
        <v>4500</v>
      </c>
      <c r="F19" s="1815">
        <f t="shared" si="3"/>
        <v>4500</v>
      </c>
      <c r="G19" s="1816">
        <f t="shared" si="4"/>
        <v>0</v>
      </c>
    </row>
    <row r="20" spans="1:8" x14ac:dyDescent="0.25">
      <c r="A20" s="1960" t="s">
        <v>2110</v>
      </c>
      <c r="B20" s="1962" t="s">
        <v>2114</v>
      </c>
      <c r="C20" s="1961" t="s">
        <v>2109</v>
      </c>
      <c r="D20" s="1867">
        <v>60000</v>
      </c>
      <c r="E20" s="1562">
        <f t="shared" si="2"/>
        <v>25000</v>
      </c>
      <c r="F20" s="1815">
        <f t="shared" si="3"/>
        <v>25000</v>
      </c>
      <c r="G20" s="1816">
        <f t="shared" si="4"/>
        <v>35000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960"/>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77642</v>
      </c>
      <c r="E141" s="1563">
        <f t="shared" si="1"/>
        <v>25000</v>
      </c>
      <c r="F141" s="1817">
        <f>SUM(F17:F140)</f>
        <v>42642</v>
      </c>
      <c r="G141" s="1818">
        <f>SUM(G17:G140)</f>
        <v>35000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5" sqref="A5:G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9" t="s">
        <v>1945</v>
      </c>
      <c r="B11" s="2310"/>
      <c r="C11" s="2310"/>
      <c r="D11" s="2311"/>
      <c r="E11" s="978">
        <v>7123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754594</v>
      </c>
      <c r="F19" s="1822"/>
      <c r="G19" s="1824">
        <f>'Expenditures 15-22'!K33-SUM('Expenditures 15-22'!G33,'Expenditures 15-22'!I33)+'Expenditures 15-22'!D229</f>
        <v>754594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20206</v>
      </c>
      <c r="F22" s="1825"/>
      <c r="G22" s="1828">
        <f>'Expenditures 15-22'!K47-SUM('Expenditures 15-22'!G47,'Expenditures 15-22'!I47)+'Expenditures 15-22'!D243</f>
        <v>20206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126761</v>
      </c>
      <c r="F23" s="1825"/>
      <c r="G23" s="1827">
        <f>'Expenditures 15-22'!K53-SUM('Expenditures 15-22'!G53,'Expenditures 15-22'!I53)+'Expenditures 15-22'!D257+'Expenditures 15-22'!K330-SUM('Expenditures 15-22'!G330,'Expenditures 15-22'!I330)</f>
        <v>126761</v>
      </c>
      <c r="H23" s="988"/>
      <c r="I23" s="162"/>
    </row>
    <row r="24" spans="1:9" s="669" customFormat="1" ht="12" customHeight="1" x14ac:dyDescent="0.2">
      <c r="A24" s="995" t="s">
        <v>587</v>
      </c>
      <c r="B24" s="996"/>
      <c r="C24" s="994">
        <v>2400</v>
      </c>
      <c r="D24" s="1825"/>
      <c r="E24" s="1827">
        <f>'Expenditures 15-22'!K57-SUM('Expenditures 15-22'!G57,'Expenditures 15-22'!I57)+'Expenditures 15-22'!D261</f>
        <v>49425</v>
      </c>
      <c r="F24" s="1825"/>
      <c r="G24" s="1828">
        <f>'Expenditures 15-22'!K57-SUM('Expenditures 15-22'!G57,'Expenditures 15-22'!I57)+'Expenditures 15-22'!D261</f>
        <v>49425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47085</v>
      </c>
      <c r="E27" s="1827">
        <f>E8</f>
        <v>0</v>
      </c>
      <c r="F27" s="1827">
        <f>'Expenditures 15-22'!K60-SUM('Expenditures 15-22'!G60,'Expenditures 15-22'!I60)+'Expenditures 15-22'!D264-E8</f>
        <v>47085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133309</v>
      </c>
      <c r="F28" s="1829">
        <f>'Expenditures 15-22'!K61-SUM('Expenditures 15-22'!G61,'Expenditures 15-22'!I61)+'Expenditures 15-22'!K124-SUM('Expenditures 15-22'!G124,'Expenditures 15-22'!I124)+'Expenditures 15-22'!D266-E9</f>
        <v>133309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80352</v>
      </c>
      <c r="F29" s="1825"/>
      <c r="G29" s="1828">
        <f>'Expenditures 15-22'!K62-SUM('Expenditures 15-22'!G62,'Expenditures 15-22'!I62)+'Expenditures 15-22'!K125-SUM('Expenditures 15-22'!G125,'Expenditures 15-22'!I125)+'Expenditures 15-22'!K182-SUM('Expenditures 15-22'!G182,'Expenditures 15-22'!I182)+'Expenditures 15-22'!D267</f>
        <v>80352</v>
      </c>
      <c r="H29" s="986"/>
    </row>
    <row r="30" spans="1:9" ht="12" customHeight="1" x14ac:dyDescent="0.2">
      <c r="A30" s="995" t="s">
        <v>102</v>
      </c>
      <c r="B30" s="998"/>
      <c r="C30" s="994">
        <v>2560</v>
      </c>
      <c r="D30" s="1825"/>
      <c r="E30" s="1827">
        <f>'Expenditures 15-22'!K63-SUM('Expenditures 15-22'!G63,'Expenditures 15-22'!I63)+'Expenditures 15-22'!D268-E10</f>
        <v>70516</v>
      </c>
      <c r="F30" s="1825"/>
      <c r="G30" s="1827">
        <f>'Expenditures 15-22'!K63-SUM('Expenditures 15-22'!G63,'Expenditures 15-22'!I63)+'Expenditures 15-22'!D268-E10</f>
        <v>70516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-35000</v>
      </c>
      <c r="F40" s="1825"/>
      <c r="G40" s="1829">
        <f>-'Contracts Paid in CY 29'!G141</f>
        <v>-35000</v>
      </c>
    </row>
    <row r="41" spans="1:7" ht="12" customHeight="1" x14ac:dyDescent="0.2">
      <c r="A41" s="999" t="s">
        <v>158</v>
      </c>
      <c r="B41" s="1000"/>
      <c r="C41" s="1001"/>
      <c r="D41" s="1829">
        <f>SUM(D19:D39)</f>
        <v>47085</v>
      </c>
      <c r="E41" s="1829">
        <f>SUM(E19:E40)</f>
        <v>1200163</v>
      </c>
      <c r="F41" s="1829">
        <f>SUM(F19:F39)</f>
        <v>180394</v>
      </c>
      <c r="G41" s="1829">
        <f>SUM(G19:G40)</f>
        <v>1066854</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47085</v>
      </c>
      <c r="F43" s="1830" t="s">
        <v>495</v>
      </c>
      <c r="G43" s="1831">
        <f>F41</f>
        <v>180394</v>
      </c>
    </row>
    <row r="44" spans="1:7" ht="12" customHeight="1" x14ac:dyDescent="0.2">
      <c r="A44" s="988"/>
      <c r="B44" s="162"/>
      <c r="C44" s="1002"/>
      <c r="D44" s="1830" t="s">
        <v>494</v>
      </c>
      <c r="E44" s="1831">
        <f>E41</f>
        <v>1200163</v>
      </c>
      <c r="F44" s="1830" t="s">
        <v>494</v>
      </c>
      <c r="G44" s="1831">
        <f>G41</f>
        <v>1066854</v>
      </c>
    </row>
    <row r="45" spans="1:7" ht="12" customHeight="1" x14ac:dyDescent="0.2">
      <c r="A45" s="988"/>
      <c r="B45" s="162"/>
      <c r="C45" s="162"/>
      <c r="D45" s="1832" t="s">
        <v>1063</v>
      </c>
      <c r="E45" s="1833">
        <f>(E43/E44)</f>
        <v>3.9232170963444134E-2</v>
      </c>
      <c r="F45" s="1832" t="s">
        <v>1063</v>
      </c>
      <c r="G45" s="1833">
        <f>(G43/G44)</f>
        <v>0.16908967862519145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5" t="s">
        <v>1446</v>
      </c>
      <c r="B1" s="2315"/>
      <c r="C1" s="2315"/>
      <c r="D1" s="2315"/>
      <c r="E1" s="2315"/>
      <c r="F1" s="2315"/>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6" t="s">
        <v>1627</v>
      </c>
      <c r="B5" s="2317"/>
      <c r="C5" s="2318"/>
      <c r="D5" s="2318"/>
      <c r="E5" s="2318"/>
      <c r="F5" s="2318"/>
    </row>
    <row r="6" spans="1:10" ht="12" customHeight="1" x14ac:dyDescent="0.25">
      <c r="A6" s="1875"/>
      <c r="B6" s="1876"/>
      <c r="C6" s="2319" t="str">
        <f>COVER!A17</f>
        <v>Albers SD 63</v>
      </c>
      <c r="D6" s="2319"/>
      <c r="E6" s="2319"/>
      <c r="F6" s="1877"/>
    </row>
    <row r="7" spans="1:10" ht="11.25" customHeight="1" thickBot="1" x14ac:dyDescent="0.3">
      <c r="A7" s="1875"/>
      <c r="B7" s="1876"/>
      <c r="C7" s="2320">
        <f>COVER!A13</f>
        <v>13014063002</v>
      </c>
      <c r="D7" s="2320"/>
      <c r="E7" s="2320"/>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2093</v>
      </c>
      <c r="D26" s="1890" t="s">
        <v>2093</v>
      </c>
      <c r="E26" s="1893" t="s">
        <v>2093</v>
      </c>
      <c r="F26" s="1892" t="s">
        <v>2094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2093</v>
      </c>
      <c r="D30" s="1890" t="s">
        <v>2093</v>
      </c>
      <c r="E30" s="1893" t="s">
        <v>2093</v>
      </c>
      <c r="F30" s="1892" t="s">
        <v>2095</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2093</v>
      </c>
      <c r="D32" s="1890" t="s">
        <v>2093</v>
      </c>
      <c r="E32" s="1893" t="s">
        <v>2093</v>
      </c>
      <c r="F32" s="1892" t="s">
        <v>2096</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B5" sqref="B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Albers SD 63</v>
      </c>
      <c r="J6" s="2340"/>
      <c r="Q6" s="1686"/>
    </row>
    <row r="7" spans="1:17" x14ac:dyDescent="0.2">
      <c r="A7" s="2341" t="s">
        <v>924</v>
      </c>
      <c r="B7" s="2342"/>
      <c r="C7" s="2342"/>
      <c r="D7" s="2342"/>
      <c r="E7" s="2343"/>
      <c r="F7" s="1018"/>
      <c r="G7" s="1010"/>
      <c r="H7" s="1017" t="s">
        <v>390</v>
      </c>
      <c r="I7" s="2344">
        <f>COVER!A13</f>
        <v>13014063002</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72653</v>
      </c>
      <c r="F12" s="1040"/>
      <c r="G12" s="1834">
        <f t="shared" ref="G12:G18" si="0">SUM(E12:F12)</f>
        <v>72653</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72653</v>
      </c>
      <c r="F19" s="1836">
        <f t="shared" si="2"/>
        <v>0</v>
      </c>
      <c r="G19" s="1836">
        <f t="shared" si="2"/>
        <v>72653</v>
      </c>
      <c r="H19" s="1836">
        <f t="shared" si="2"/>
        <v>0</v>
      </c>
      <c r="I19" s="1836">
        <f t="shared" si="2"/>
        <v>0</v>
      </c>
      <c r="J19" s="1836">
        <f t="shared" si="2"/>
        <v>0</v>
      </c>
    </row>
    <row r="20" spans="1:10" ht="13.5" thickTop="1" x14ac:dyDescent="0.2">
      <c r="A20" s="1036">
        <v>9</v>
      </c>
      <c r="B20" s="2351" t="s">
        <v>1703</v>
      </c>
      <c r="C20" s="2351"/>
      <c r="D20" s="2352"/>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B5" sqref="B5"/>
    </sheetView>
  </sheetViews>
  <sheetFormatPr defaultColWidth="9.140625" defaultRowHeight="12.75" x14ac:dyDescent="0.2"/>
  <cols>
    <col min="1" max="1" width="4" style="329" customWidth="1"/>
    <col min="2" max="2" width="4.140625" style="329" customWidth="1"/>
    <col min="3" max="3" width="4.42578125" style="329" customWidth="1"/>
    <col min="4" max="4" width="14.7109375" style="329" customWidth="1"/>
    <col min="5" max="7" width="9.140625" style="329"/>
    <col min="8" max="8" width="12.140625" style="329" customWidth="1"/>
    <col min="9" max="16384" width="9.140625" style="329"/>
  </cols>
  <sheetData>
    <row r="2" spans="1:8" x14ac:dyDescent="0.2">
      <c r="A2" s="389" t="s">
        <v>276</v>
      </c>
    </row>
    <row r="3" spans="1:8" x14ac:dyDescent="0.2">
      <c r="A3" s="329" t="s">
        <v>277</v>
      </c>
    </row>
    <row r="5" spans="1:8" x14ac:dyDescent="0.2">
      <c r="A5" s="1070" t="s">
        <v>2097</v>
      </c>
    </row>
    <row r="6" spans="1:8" x14ac:dyDescent="0.2">
      <c r="A6" s="1069"/>
      <c r="B6" s="329" t="s">
        <v>2098</v>
      </c>
    </row>
    <row r="7" spans="1:8" x14ac:dyDescent="0.2">
      <c r="A7" s="1069"/>
      <c r="C7" s="329" t="s">
        <v>2099</v>
      </c>
      <c r="H7" s="1956">
        <v>12011</v>
      </c>
    </row>
    <row r="8" spans="1:8" x14ac:dyDescent="0.2">
      <c r="A8" s="1069"/>
      <c r="C8" s="329" t="s">
        <v>2100</v>
      </c>
      <c r="H8" s="1957">
        <v>12661</v>
      </c>
    </row>
    <row r="9" spans="1:8" ht="13.5" thickBot="1" x14ac:dyDescent="0.25">
      <c r="A9" s="1070"/>
      <c r="H9" s="1958">
        <f>SUM(H7:H8)</f>
        <v>24672</v>
      </c>
    </row>
    <row r="10" spans="1:8" ht="13.5" thickTop="1" x14ac:dyDescent="0.2">
      <c r="A10" s="1070"/>
    </row>
    <row r="11" spans="1:8" x14ac:dyDescent="0.2">
      <c r="A11" s="1070"/>
      <c r="B11" s="329" t="s">
        <v>2101</v>
      </c>
    </row>
    <row r="12" spans="1:8" ht="13.5" thickBot="1" x14ac:dyDescent="0.25">
      <c r="A12" s="1070"/>
      <c r="C12" s="329" t="s">
        <v>2102</v>
      </c>
      <c r="H12" s="1959">
        <v>1701</v>
      </c>
    </row>
    <row r="13" spans="1:8" ht="13.5" thickTop="1" x14ac:dyDescent="0.2">
      <c r="A13" s="1070"/>
    </row>
    <row r="14" spans="1:8" x14ac:dyDescent="0.2">
      <c r="A14" s="1070"/>
    </row>
    <row r="15" spans="1:8" x14ac:dyDescent="0.2">
      <c r="A15" s="1070"/>
    </row>
    <row r="16" spans="1:8"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5" sqref="B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6</xdr:row>
                <xdr:rowOff>0</xdr:rowOff>
              </from>
              <to>
                <xdr:col>1</xdr:col>
                <xdr:colOff>914400</xdr:colOff>
                <xdr:row>10</xdr:row>
                <xdr:rowOff>57150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Document" dvAspect="DVASPECT_ICON" shapeId="35843" r:id="rId6">
          <objectPr defaultSize="0" autoPict="0" r:id="rId7">
            <anchor moveWithCells="1">
              <from>
                <xdr:col>1</xdr:col>
                <xdr:colOff>1285875</xdr:colOff>
                <xdr:row>6</xdr:row>
                <xdr:rowOff>38100</xdr:rowOff>
              </from>
              <to>
                <xdr:col>1</xdr:col>
                <xdr:colOff>2257425</xdr:colOff>
                <xdr:row>10</xdr:row>
                <xdr:rowOff>104775</xdr:rowOff>
              </to>
            </anchor>
          </objectPr>
        </oleObject>
      </mc:Choice>
      <mc:Fallback>
        <oleObject progId="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6"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2056</v>
      </c>
      <c r="B4" s="2379"/>
      <c r="C4" s="2379"/>
      <c r="D4" s="2379"/>
      <c r="E4" s="2379"/>
      <c r="F4" s="2380"/>
      <c r="G4" s="1075"/>
      <c r="H4" s="1075"/>
    </row>
    <row r="5" spans="1:8" ht="14.25" customHeight="1" x14ac:dyDescent="0.2">
      <c r="A5" s="2381" t="s">
        <v>2057</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1179603</v>
      </c>
      <c r="C8" s="1838">
        <f>'Acct Summary 7-8'!D8</f>
        <v>152713</v>
      </c>
      <c r="D8" s="1838">
        <f>'Acct Summary 7-8'!F8</f>
        <v>96938</v>
      </c>
      <c r="E8" s="1838">
        <f>'Acct Summary 7-8'!I8</f>
        <v>12278</v>
      </c>
      <c r="F8" s="1838">
        <f>SUM(B8:E8)</f>
        <v>1441532</v>
      </c>
    </row>
    <row r="9" spans="1:8" s="1080" customFormat="1" ht="14.25" customHeight="1" thickBot="1" x14ac:dyDescent="0.25">
      <c r="A9" s="1079" t="s">
        <v>1436</v>
      </c>
      <c r="B9" s="1839">
        <f>'Acct Summary 7-8'!C17</f>
        <v>1047501</v>
      </c>
      <c r="C9" s="1839">
        <f>'Acct Summary 7-8'!D17</f>
        <v>125021</v>
      </c>
      <c r="D9" s="1839">
        <f>'Acct Summary 7-8'!F17</f>
        <v>80352</v>
      </c>
      <c r="E9" s="1838"/>
      <c r="F9" s="1838">
        <f>SUM(B9:E9)</f>
        <v>1252874</v>
      </c>
    </row>
    <row r="10" spans="1:8" s="1080" customFormat="1" ht="14.25" thickTop="1" thickBot="1" x14ac:dyDescent="0.25">
      <c r="A10" s="1081" t="s">
        <v>1437</v>
      </c>
      <c r="B10" s="1840">
        <f>(B8-B9)</f>
        <v>132102</v>
      </c>
      <c r="C10" s="1840">
        <f>(C8-C9)</f>
        <v>27692</v>
      </c>
      <c r="D10" s="1840">
        <f>(D8-D9)</f>
        <v>16586</v>
      </c>
      <c r="E10" s="1839">
        <f>(E8-E9)</f>
        <v>12278</v>
      </c>
      <c r="F10" s="1841">
        <f>SUM(F8-F9)</f>
        <v>188658</v>
      </c>
    </row>
    <row r="11" spans="1:8" s="1080" customFormat="1" ht="14.25" thickTop="1" thickBot="1" x14ac:dyDescent="0.25">
      <c r="A11" s="1082" t="s">
        <v>1785</v>
      </c>
      <c r="B11" s="1842">
        <f>'Acct Summary 7-8'!C81</f>
        <v>1259763</v>
      </c>
      <c r="C11" s="1842">
        <f>'Acct Summary 7-8'!D81</f>
        <v>46158</v>
      </c>
      <c r="D11" s="1842">
        <f>'Acct Summary 7-8'!F81</f>
        <v>66108</v>
      </c>
      <c r="E11" s="1842">
        <f>'Acct Summary 7-8'!I81</f>
        <v>283674</v>
      </c>
      <c r="F11" s="1843">
        <f>SUM(B11:E11)</f>
        <v>1655703</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13014063002</v>
      </c>
    </row>
    <row r="3" spans="1:2" x14ac:dyDescent="0.2">
      <c r="A3" t="s">
        <v>1013</v>
      </c>
      <c r="B3" s="138" t="str">
        <f>COVER!A15</f>
        <v>Clinton</v>
      </c>
    </row>
    <row r="4" spans="1:2" x14ac:dyDescent="0.2">
      <c r="A4" t="s">
        <v>1064</v>
      </c>
      <c r="B4" s="138" t="str">
        <f>COVER!A17</f>
        <v>Albers SD 63</v>
      </c>
    </row>
    <row r="5" spans="1:2" x14ac:dyDescent="0.2">
      <c r="A5" t="s">
        <v>728</v>
      </c>
      <c r="B5" s="138" t="str">
        <f>COVER!A38</f>
        <v>Mike Toeben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t="str">
        <f>COVER!T15</f>
        <v>Frederick J Becker, CPA</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323356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1259763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1259763</v>
      </c>
      <c r="D92" s="2" t="str">
        <f t="shared" si="0"/>
        <v>Error?</v>
      </c>
    </row>
    <row r="93" spans="1:4" x14ac:dyDescent="0.2">
      <c r="A93" s="5">
        <v>32</v>
      </c>
      <c r="B93" s="138">
        <f>'Assets-Liab 5-6'!C41</f>
        <v>1259763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46158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45475</v>
      </c>
      <c r="D123" s="2" t="str">
        <f t="shared" si="0"/>
        <v>Error?</v>
      </c>
    </row>
    <row r="124" spans="1:4" x14ac:dyDescent="0.2">
      <c r="A124" s="5">
        <v>63</v>
      </c>
      <c r="B124" s="138">
        <f>'Assets-Liab 5-6'!D41</f>
        <v>46158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38396</v>
      </c>
      <c r="C139" s="2" t="s">
        <v>594</v>
      </c>
      <c r="D139" s="2" t="str">
        <f t="shared" si="1"/>
        <v>Error?</v>
      </c>
    </row>
    <row r="140" spans="1:4" x14ac:dyDescent="0.2">
      <c r="A140" s="5">
        <v>79</v>
      </c>
      <c r="B140" s="138">
        <f>'Assets-Liab 5-6'!E39</f>
        <v>-38396</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66108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66108</v>
      </c>
      <c r="D170" s="2" t="str">
        <f t="shared" si="1"/>
        <v>Error?</v>
      </c>
    </row>
    <row r="171" spans="1:4" x14ac:dyDescent="0.2">
      <c r="A171" s="5">
        <v>110</v>
      </c>
      <c r="B171" s="138">
        <f>'Assets-Liab 5-6'!F41</f>
        <v>66108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11788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11788</v>
      </c>
      <c r="D189" s="2" t="str">
        <f t="shared" si="1"/>
        <v>Error?</v>
      </c>
    </row>
    <row r="190" spans="1:4" x14ac:dyDescent="0.2">
      <c r="A190" s="5">
        <v>129</v>
      </c>
      <c r="B190" s="138">
        <f>'Assets-Liab 5-6'!G41</f>
        <v>11788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2642972</v>
      </c>
      <c r="D274" s="2" t="str">
        <f t="shared" si="3"/>
        <v>Error?</v>
      </c>
    </row>
    <row r="275" spans="1:4" x14ac:dyDescent="0.2">
      <c r="A275" s="5">
        <v>214</v>
      </c>
      <c r="B275" s="138">
        <f>'Assets-Liab 5-6'!M18</f>
        <v>0</v>
      </c>
      <c r="D275" s="2" t="str">
        <f t="shared" si="3"/>
        <v>Error?</v>
      </c>
    </row>
    <row r="276" spans="1:4" x14ac:dyDescent="0.2">
      <c r="A276" s="5">
        <v>215</v>
      </c>
      <c r="B276" s="138">
        <f>'Assets-Liab 5-6'!M19</f>
        <v>447723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3090695</v>
      </c>
      <c r="C279" s="2" t="s">
        <v>594</v>
      </c>
      <c r="D279" s="2" t="str">
        <f t="shared" si="3"/>
        <v>Error?</v>
      </c>
    </row>
    <row r="280" spans="1:4" x14ac:dyDescent="0.2">
      <c r="A280" s="5">
        <v>219</v>
      </c>
      <c r="B280" s="138">
        <f>'Assets-Liab 5-6'!M40</f>
        <v>3090695</v>
      </c>
      <c r="D280" s="2" t="str">
        <f t="shared" si="3"/>
        <v>Error?</v>
      </c>
    </row>
    <row r="281" spans="1:4" x14ac:dyDescent="0.2">
      <c r="A281" s="5">
        <v>220</v>
      </c>
      <c r="B281" s="138">
        <f>'Assets-Liab 5-6'!M41</f>
        <v>3090695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61200</v>
      </c>
      <c r="D283" s="2" t="str">
        <f t="shared" si="3"/>
        <v>Error?</v>
      </c>
    </row>
    <row r="284" spans="1:4" x14ac:dyDescent="0.2">
      <c r="A284" s="5">
        <v>223</v>
      </c>
      <c r="B284" s="138">
        <f>'Assets-Liab 5-6'!N23</f>
        <v>61200</v>
      </c>
      <c r="C284" s="2" t="s">
        <v>594</v>
      </c>
      <c r="D284" s="2" t="str">
        <f t="shared" si="3"/>
        <v>Error?</v>
      </c>
    </row>
    <row r="285" spans="1:4" x14ac:dyDescent="0.2">
      <c r="A285" s="5">
        <v>224</v>
      </c>
      <c r="B285" s="138">
        <f>'Assets-Liab 5-6'!N36</f>
        <v>61200</v>
      </c>
      <c r="D285" s="2" t="str">
        <f t="shared" si="3"/>
        <v>Error?</v>
      </c>
    </row>
    <row r="286" spans="1:4" x14ac:dyDescent="0.2">
      <c r="A286" s="10">
        <v>225</v>
      </c>
      <c r="D286" s="2" t="str">
        <f t="shared" si="3"/>
        <v>OK</v>
      </c>
    </row>
    <row r="287" spans="1:4" x14ac:dyDescent="0.2">
      <c r="A287" s="5">
        <v>226</v>
      </c>
      <c r="B287" s="138">
        <f>'Assets-Liab 5-6'!N37</f>
        <v>61200</v>
      </c>
      <c r="C287" s="2" t="s">
        <v>594</v>
      </c>
      <c r="D287" s="2" t="str">
        <f t="shared" si="3"/>
        <v>Error?</v>
      </c>
    </row>
    <row r="288" spans="1:4" x14ac:dyDescent="0.2">
      <c r="A288" s="5">
        <v>227</v>
      </c>
      <c r="B288" s="138">
        <f>'Assets-Liab 5-6'!N41</f>
        <v>61200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486558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29320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597466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500</v>
      </c>
      <c r="D732" s="2" t="str">
        <f t="shared" si="10"/>
        <v>Error?</v>
      </c>
    </row>
    <row r="733" spans="1:4" x14ac:dyDescent="0.2">
      <c r="A733" s="5">
        <v>672</v>
      </c>
      <c r="B733" s="138">
        <f>'Expenditures 15-22'!C50</f>
        <v>64564</v>
      </c>
      <c r="D733" s="2" t="str">
        <f t="shared" si="10"/>
        <v>Error?</v>
      </c>
    </row>
    <row r="734" spans="1:4" x14ac:dyDescent="0.2">
      <c r="A734" s="5">
        <v>673</v>
      </c>
      <c r="B734" s="138">
        <f>'Expenditures 15-22'!C53</f>
        <v>65064</v>
      </c>
      <c r="C734" s="2" t="s">
        <v>594</v>
      </c>
      <c r="D734" s="2" t="str">
        <f t="shared" si="10"/>
        <v>Error?</v>
      </c>
    </row>
    <row r="735" spans="1:4" x14ac:dyDescent="0.2">
      <c r="A735" s="5">
        <v>674</v>
      </c>
      <c r="B735" s="138">
        <f>'Expenditures 15-22'!C55</f>
        <v>40761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40761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40034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25444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65478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171303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768769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78977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2235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87467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7393</v>
      </c>
      <c r="D791" s="2" t="str">
        <f t="shared" si="11"/>
        <v>Error?</v>
      </c>
    </row>
    <row r="792" spans="1:4" x14ac:dyDescent="0.2">
      <c r="A792" s="5">
        <v>731</v>
      </c>
      <c r="B792" s="138">
        <f>'Expenditures 15-22'!D53</f>
        <v>7393</v>
      </c>
      <c r="C792" s="2" t="s">
        <v>594</v>
      </c>
      <c r="D792" s="2" t="str">
        <f t="shared" si="11"/>
        <v>Error?</v>
      </c>
    </row>
    <row r="793" spans="1:4" x14ac:dyDescent="0.2">
      <c r="A793" s="5">
        <v>732</v>
      </c>
      <c r="B793" s="138">
        <f>'Expenditures 15-22'!D55</f>
        <v>5875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5875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13268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100735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7247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16390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4468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4468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4468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62314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20941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34425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20206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20206</v>
      </c>
      <c r="C905" s="2" t="s">
        <v>594</v>
      </c>
      <c r="D905" s="2" t="str">
        <f t="shared" si="13"/>
        <v>Error?</v>
      </c>
    </row>
    <row r="906" spans="1:4" x14ac:dyDescent="0.2">
      <c r="A906" s="5">
        <v>845</v>
      </c>
      <c r="B906" s="138">
        <f>'Expenditures 15-22'!F49</f>
        <v>3833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3833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40878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41104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65143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99568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14614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14614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805</v>
      </c>
      <c r="D1022" s="2" t="str">
        <f t="shared" si="14"/>
        <v>Error?</v>
      </c>
    </row>
    <row r="1023" spans="1:4" x14ac:dyDescent="0.2">
      <c r="A1023" s="5">
        <v>962</v>
      </c>
      <c r="B1023" s="138">
        <f>'Expenditures 15-22'!H50</f>
        <v>696</v>
      </c>
      <c r="D1023" s="2" t="str">
        <f t="shared" ref="D1023:D1086" si="15">IF(ISBLANK(B1023),"OK",IF(A1023-B1023=0,"OK","Error?"))</f>
        <v>Error?</v>
      </c>
    </row>
    <row r="1024" spans="1:4" x14ac:dyDescent="0.2">
      <c r="A1024" s="5">
        <v>963</v>
      </c>
      <c r="B1024" s="138">
        <f>'Expenditures 15-22'!H53</f>
        <v>1501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610233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39822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750362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20206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20206</v>
      </c>
      <c r="C1119" s="2" t="s">
        <v>594</v>
      </c>
      <c r="D1119" s="2" t="str">
        <f t="shared" si="16"/>
        <v>Error?</v>
      </c>
    </row>
    <row r="1120" spans="1:4" x14ac:dyDescent="0.2">
      <c r="A1120" s="5">
        <v>1059</v>
      </c>
      <c r="B1120" s="138">
        <f>'Expenditures 15-22'!K49</f>
        <v>9606</v>
      </c>
      <c r="C1120" s="2" t="s">
        <v>594</v>
      </c>
      <c r="D1120" s="2" t="str">
        <f t="shared" si="16"/>
        <v>Error?</v>
      </c>
    </row>
    <row r="1121" spans="1:4" x14ac:dyDescent="0.2">
      <c r="A1121" s="5">
        <v>1060</v>
      </c>
      <c r="B1121" s="138">
        <f>'Expenditures 15-22'!K50</f>
        <v>72653</v>
      </c>
      <c r="C1121" s="2" t="s">
        <v>594</v>
      </c>
      <c r="D1121" s="2" t="str">
        <f t="shared" si="16"/>
        <v>Error?</v>
      </c>
    </row>
    <row r="1122" spans="1:4" x14ac:dyDescent="0.2">
      <c r="A1122" s="5">
        <v>1061</v>
      </c>
      <c r="B1122" s="138">
        <f>'Expenditures 15-22'!K53</f>
        <v>82259</v>
      </c>
      <c r="C1122" s="2" t="s">
        <v>594</v>
      </c>
      <c r="D1122" s="2" t="str">
        <f t="shared" si="16"/>
        <v>Error?</v>
      </c>
    </row>
    <row r="1123" spans="1:4" x14ac:dyDescent="0.2">
      <c r="A1123" s="5">
        <v>1062</v>
      </c>
      <c r="B1123" s="138">
        <f>'Expenditures 15-22'!K55</f>
        <v>46636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46636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40260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66322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106582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255683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41456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1047501</v>
      </c>
      <c r="C1152" s="2" t="s">
        <v>594</v>
      </c>
      <c r="D1152" s="2" t="str">
        <f t="shared" si="17"/>
        <v>Error?</v>
      </c>
    </row>
    <row r="1153" spans="1:4" x14ac:dyDescent="0.2">
      <c r="A1153" s="5">
        <v>1092</v>
      </c>
      <c r="B1153" s="138">
        <f>'Expenditures 15-22'!K115</f>
        <v>132102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49200</v>
      </c>
      <c r="D1221" s="2" t="str">
        <f t="shared" si="18"/>
        <v>Error?</v>
      </c>
    </row>
    <row r="1222" spans="1:4" x14ac:dyDescent="0.2">
      <c r="A1222" s="10">
        <v>1161</v>
      </c>
      <c r="D1222" s="2" t="str">
        <f t="shared" si="18"/>
        <v>OK</v>
      </c>
    </row>
    <row r="1223" spans="1:4" x14ac:dyDescent="0.2">
      <c r="A1223" s="5">
        <v>1162</v>
      </c>
      <c r="B1223" s="138">
        <f>'Expenditures 15-22'!C127</f>
        <v>49200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49200</v>
      </c>
      <c r="C1225" s="2" t="s">
        <v>594</v>
      </c>
      <c r="D1225" s="2" t="str">
        <f t="shared" si="18"/>
        <v>Error?</v>
      </c>
    </row>
    <row r="1226" spans="1:4" x14ac:dyDescent="0.2">
      <c r="A1226" s="5">
        <v>1165</v>
      </c>
      <c r="B1226" s="138">
        <f>'Expenditures 15-22'!C151</f>
        <v>49200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37160</v>
      </c>
      <c r="D1237" s="2" t="str">
        <f t="shared" si="18"/>
        <v>Error?</v>
      </c>
    </row>
    <row r="1238" spans="1:4" x14ac:dyDescent="0.2">
      <c r="A1238" s="10">
        <v>1177</v>
      </c>
      <c r="D1238" s="2" t="str">
        <f t="shared" si="18"/>
        <v>OK</v>
      </c>
    </row>
    <row r="1239" spans="1:4" x14ac:dyDescent="0.2">
      <c r="A1239" s="5">
        <v>1178</v>
      </c>
      <c r="B1239" s="138">
        <f>'Expenditures 15-22'!E127</f>
        <v>37160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37160</v>
      </c>
      <c r="C1241" s="2" t="s">
        <v>594</v>
      </c>
      <c r="D1241" s="2" t="str">
        <f t="shared" si="18"/>
        <v>Error?</v>
      </c>
    </row>
    <row r="1242" spans="1:4" x14ac:dyDescent="0.2">
      <c r="A1242" s="5">
        <v>1181</v>
      </c>
      <c r="B1242" s="138">
        <f>'Expenditures 15-22'!E151</f>
        <v>37160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38661</v>
      </c>
      <c r="D1245" s="2" t="str">
        <f t="shared" si="18"/>
        <v>Error?</v>
      </c>
    </row>
    <row r="1246" spans="1:4" x14ac:dyDescent="0.2">
      <c r="A1246" s="10">
        <v>1185</v>
      </c>
      <c r="D1246" s="2" t="str">
        <f t="shared" si="18"/>
        <v>OK</v>
      </c>
    </row>
    <row r="1247" spans="1:4" x14ac:dyDescent="0.2">
      <c r="A1247" s="5">
        <v>1186</v>
      </c>
      <c r="B1247" s="138">
        <f>'Expenditures 15-22'!F127</f>
        <v>38661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38661</v>
      </c>
      <c r="C1249" s="2" t="s">
        <v>594</v>
      </c>
      <c r="D1249" s="2" t="str">
        <f t="shared" si="18"/>
        <v>Error?</v>
      </c>
    </row>
    <row r="1250" spans="1:4" x14ac:dyDescent="0.2">
      <c r="A1250" s="5">
        <v>1189</v>
      </c>
      <c r="B1250" s="138">
        <f>'Expenditures 15-22'!F151</f>
        <v>38661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125021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125021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125021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125021</v>
      </c>
      <c r="C1288" s="2" t="s">
        <v>594</v>
      </c>
      <c r="D1288" s="2" t="str">
        <f t="shared" si="19"/>
        <v>Error?</v>
      </c>
    </row>
    <row r="1289" spans="1:4" x14ac:dyDescent="0.2">
      <c r="A1289" s="5">
        <v>1228</v>
      </c>
      <c r="B1289" s="138">
        <f>'Expenditures 15-22'!K152</f>
        <v>27692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103400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107832</v>
      </c>
      <c r="C1317" s="2" t="s">
        <v>594</v>
      </c>
      <c r="D1317" s="2" t="str">
        <f t="shared" si="19"/>
        <v>Error?</v>
      </c>
    </row>
    <row r="1318" spans="1:4" x14ac:dyDescent="0.2">
      <c r="A1318" s="5">
        <v>1257</v>
      </c>
      <c r="B1318" s="138">
        <f>'Expenditures 15-22'!H174</f>
        <v>107832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4432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103400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107832</v>
      </c>
      <c r="C1331" s="2" t="s">
        <v>594</v>
      </c>
      <c r="D1331" s="2" t="str">
        <f t="shared" si="19"/>
        <v>Error?</v>
      </c>
    </row>
    <row r="1332" spans="1:4" x14ac:dyDescent="0.2">
      <c r="A1332" s="5">
        <v>1271</v>
      </c>
      <c r="B1332" s="138">
        <f>'Expenditures 15-22'!K174</f>
        <v>107832</v>
      </c>
      <c r="C1332" s="2" t="s">
        <v>594</v>
      </c>
      <c r="D1332" s="2" t="str">
        <f t="shared" si="19"/>
        <v>Error?</v>
      </c>
    </row>
    <row r="1333" spans="1:4" x14ac:dyDescent="0.2">
      <c r="A1333" s="5">
        <v>1272</v>
      </c>
      <c r="B1333" s="138">
        <f>'Expenditures 15-22'!K175</f>
        <v>-44843</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80352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80352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80352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80352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80352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80352</v>
      </c>
      <c r="C1388" s="2" t="s">
        <v>594</v>
      </c>
      <c r="D1388" s="2" t="str">
        <f t="shared" si="20"/>
        <v>Error?</v>
      </c>
    </row>
    <row r="1389" spans="1:4" x14ac:dyDescent="0.2">
      <c r="A1389" s="5">
        <v>1328</v>
      </c>
      <c r="B1389" s="138">
        <f>'Expenditures 15-22'!K211</f>
        <v>16586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18846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936</v>
      </c>
      <c r="D1423" s="2" t="str">
        <f t="shared" si="21"/>
        <v>Error?</v>
      </c>
    </row>
    <row r="1424" spans="1:4" x14ac:dyDescent="0.2">
      <c r="A1424" s="5">
        <v>1363</v>
      </c>
      <c r="B1424" s="138">
        <f>'Expenditures 15-22'!D257</f>
        <v>2479</v>
      </c>
      <c r="C1424" s="2" t="s">
        <v>594</v>
      </c>
      <c r="D1424" s="2" t="str">
        <f t="shared" si="21"/>
        <v>Error?</v>
      </c>
    </row>
    <row r="1425" spans="1:4" x14ac:dyDescent="0.2">
      <c r="A1425" s="5">
        <v>1364</v>
      </c>
      <c r="B1425" s="138">
        <f>'Expenditures 15-22'!D259</f>
        <v>2789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8288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4194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19307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24575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43421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849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18846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936</v>
      </c>
      <c r="C1487" s="2" t="s">
        <v>594</v>
      </c>
      <c r="D1487" s="2" t="str">
        <f t="shared" si="22"/>
        <v>Error?</v>
      </c>
    </row>
    <row r="1488" spans="1:4" x14ac:dyDescent="0.2">
      <c r="A1488" s="5">
        <v>1427</v>
      </c>
      <c r="B1488" s="138">
        <f>'Expenditures 15-22'!K257</f>
        <v>2479</v>
      </c>
      <c r="C1488" s="2" t="s">
        <v>594</v>
      </c>
      <c r="D1488" s="2" t="str">
        <f t="shared" si="22"/>
        <v>Error?</v>
      </c>
    </row>
    <row r="1489" spans="1:4" x14ac:dyDescent="0.2">
      <c r="A1489" s="5">
        <v>1428</v>
      </c>
      <c r="B1489" s="138">
        <f>'Expenditures 15-22'!K259</f>
        <v>2789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2789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6825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8288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4194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19307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24575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43421</v>
      </c>
      <c r="C1517" s="2" t="s">
        <v>594</v>
      </c>
      <c r="D1517" s="2" t="str">
        <f t="shared" si="22"/>
        <v>Error?</v>
      </c>
    </row>
    <row r="1518" spans="1:4" x14ac:dyDescent="0.2">
      <c r="A1518" s="5">
        <v>1457</v>
      </c>
      <c r="B1518" s="138">
        <f>'Expenditures 15-22'!K296</f>
        <v>-247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1127661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1259763</v>
      </c>
      <c r="C1630" s="2" t="s">
        <v>594</v>
      </c>
      <c r="D1630" s="2" t="str">
        <f t="shared" si="24"/>
        <v>Error?</v>
      </c>
    </row>
    <row r="1631" spans="1:4" x14ac:dyDescent="0.2">
      <c r="A1631" s="5">
        <v>1570</v>
      </c>
      <c r="B1631" s="138">
        <f>'Acct Summary 7-8'!D79</f>
        <v>18466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46158</v>
      </c>
      <c r="C1644" s="2" t="s">
        <v>594</v>
      </c>
      <c r="D1644" s="2" t="str">
        <f t="shared" si="24"/>
        <v>Error?</v>
      </c>
    </row>
    <row r="1645" spans="1:4" x14ac:dyDescent="0.2">
      <c r="A1645" s="5">
        <v>1584</v>
      </c>
      <c r="B1645" s="138">
        <f>'Acct Summary 7-8'!E79</f>
        <v>6447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-38396</v>
      </c>
      <c r="C1658" s="2" t="s">
        <v>594</v>
      </c>
      <c r="D1658" s="2" t="str">
        <f t="shared" si="24"/>
        <v>Error?</v>
      </c>
    </row>
    <row r="1659" spans="1:4" x14ac:dyDescent="0.2">
      <c r="A1659" s="5">
        <v>1598</v>
      </c>
      <c r="B1659" s="138">
        <f>'Acct Summary 7-8'!F79</f>
        <v>49522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66108</v>
      </c>
      <c r="C1672" s="2" t="s">
        <v>594</v>
      </c>
      <c r="D1672" s="2" t="str">
        <f t="shared" si="25"/>
        <v>Error?</v>
      </c>
    </row>
    <row r="1673" spans="1:4" x14ac:dyDescent="0.2">
      <c r="A1673" s="5">
        <v>1612</v>
      </c>
      <c r="B1673" s="138">
        <f>'Acct Summary 7-8'!G79</f>
        <v>12035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11788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392358</v>
      </c>
      <c r="C1744" s="2" t="s">
        <v>594</v>
      </c>
      <c r="D1744" s="2" t="str">
        <f t="shared" si="26"/>
        <v>Error?</v>
      </c>
    </row>
    <row r="1745" spans="1:5" x14ac:dyDescent="0.2">
      <c r="A1745" s="5">
        <v>1684</v>
      </c>
      <c r="B1745" s="138">
        <f>'Tax Sched 23'!B5</f>
        <v>61306</v>
      </c>
      <c r="C1745" s="2" t="s">
        <v>594</v>
      </c>
      <c r="D1745" s="2" t="str">
        <f t="shared" si="26"/>
        <v>Error?</v>
      </c>
    </row>
    <row r="1746" spans="1:5" x14ac:dyDescent="0.2">
      <c r="A1746" s="5">
        <v>1685</v>
      </c>
      <c r="B1746" s="138">
        <f>'Tax Sched 23'!B6</f>
        <v>62892</v>
      </c>
      <c r="C1746" s="2" t="s">
        <v>594</v>
      </c>
      <c r="D1746" s="2" t="str">
        <f t="shared" si="26"/>
        <v>Error?</v>
      </c>
    </row>
    <row r="1747" spans="1:5" x14ac:dyDescent="0.2">
      <c r="A1747" s="5">
        <v>1686</v>
      </c>
      <c r="B1747" s="138">
        <f>'Tax Sched 23'!B7</f>
        <v>29427</v>
      </c>
      <c r="C1747" s="2" t="s">
        <v>594</v>
      </c>
      <c r="D1747" s="2" t="str">
        <f t="shared" si="26"/>
        <v>Error?</v>
      </c>
    </row>
    <row r="1748" spans="1:5" x14ac:dyDescent="0.2">
      <c r="A1748" s="5">
        <v>1687</v>
      </c>
      <c r="B1748" s="138">
        <f>'Tax Sched 23'!B8</f>
        <v>14471</v>
      </c>
      <c r="C1748" s="2" t="s">
        <v>594</v>
      </c>
      <c r="D1748" s="2" t="str">
        <f t="shared" si="26"/>
        <v>Error?</v>
      </c>
    </row>
    <row r="1749" spans="1:5" x14ac:dyDescent="0.2">
      <c r="A1749" s="5">
        <v>1688</v>
      </c>
      <c r="B1749" s="138">
        <f>'Tax Sched 23'!B10</f>
        <v>12261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49901</v>
      </c>
      <c r="C1752" s="2" t="s">
        <v>594</v>
      </c>
      <c r="D1752" s="2" t="str">
        <f t="shared" si="26"/>
        <v>Error?</v>
      </c>
    </row>
    <row r="1753" spans="1:5" x14ac:dyDescent="0.2">
      <c r="A1753" s="5">
        <v>1692</v>
      </c>
      <c r="B1753" s="138">
        <f>'Tax Sched 23'!B12</f>
        <v>12261</v>
      </c>
      <c r="C1753" s="2" t="s">
        <v>594</v>
      </c>
      <c r="D1753" s="2" t="str">
        <f t="shared" si="26"/>
        <v>Error?</v>
      </c>
    </row>
    <row r="1754" spans="1:5" x14ac:dyDescent="0.2">
      <c r="A1754" s="5">
        <v>1693</v>
      </c>
      <c r="B1754" s="138">
        <f>'Tax Sched 23'!B14</f>
        <v>4904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677990</v>
      </c>
      <c r="C1759" s="2" t="s">
        <v>594</v>
      </c>
      <c r="D1759" s="2" t="str">
        <f t="shared" si="26"/>
        <v>Error?</v>
      </c>
    </row>
    <row r="1760" spans="1:5" x14ac:dyDescent="0.2">
      <c r="A1760" s="5">
        <v>1699</v>
      </c>
      <c r="B1760" s="138">
        <f>'Tax Sched 23'!D4</f>
        <v>392358</v>
      </c>
      <c r="C1760" s="2" t="s">
        <v>594</v>
      </c>
      <c r="D1760" s="2" t="str">
        <f t="shared" si="26"/>
        <v>Error?</v>
      </c>
    </row>
    <row r="1761" spans="1:5" x14ac:dyDescent="0.2">
      <c r="A1761" s="5">
        <v>1700</v>
      </c>
      <c r="B1761" s="138">
        <f>'Tax Sched 23'!D5</f>
        <v>61306</v>
      </c>
      <c r="C1761" s="2" t="s">
        <v>594</v>
      </c>
      <c r="D1761" s="2" t="str">
        <f t="shared" si="26"/>
        <v>Error?</v>
      </c>
    </row>
    <row r="1762" spans="1:5" s="8" customFormat="1" x14ac:dyDescent="0.2">
      <c r="A1762" s="5">
        <v>1701</v>
      </c>
      <c r="B1762" s="138">
        <f>'Tax Sched 23'!D6</f>
        <v>62892</v>
      </c>
      <c r="C1762" s="2" t="s">
        <v>594</v>
      </c>
      <c r="D1762" s="2" t="str">
        <f t="shared" si="26"/>
        <v>Error?</v>
      </c>
      <c r="E1762" s="9"/>
    </row>
    <row r="1763" spans="1:5" x14ac:dyDescent="0.2">
      <c r="A1763" s="5">
        <v>1702</v>
      </c>
      <c r="B1763" s="138">
        <f>'Tax Sched 23'!D7</f>
        <v>29427</v>
      </c>
      <c r="C1763" s="2" t="s">
        <v>594</v>
      </c>
      <c r="D1763" s="2" t="str">
        <f t="shared" si="26"/>
        <v>Error?</v>
      </c>
    </row>
    <row r="1764" spans="1:5" x14ac:dyDescent="0.2">
      <c r="A1764" s="5">
        <v>1703</v>
      </c>
      <c r="B1764" s="138">
        <f>'Tax Sched 23'!D8</f>
        <v>14471</v>
      </c>
      <c r="C1764" s="2" t="s">
        <v>594</v>
      </c>
      <c r="D1764" s="2" t="str">
        <f t="shared" si="26"/>
        <v>Error?</v>
      </c>
    </row>
    <row r="1765" spans="1:5" x14ac:dyDescent="0.2">
      <c r="A1765" s="5">
        <v>1704</v>
      </c>
      <c r="B1765" s="138">
        <f>'Tax Sched 23'!D10</f>
        <v>12261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49901</v>
      </c>
      <c r="C1768" s="2" t="s">
        <v>594</v>
      </c>
      <c r="D1768" s="2" t="str">
        <f t="shared" si="26"/>
        <v>Error?</v>
      </c>
    </row>
    <row r="1769" spans="1:5" x14ac:dyDescent="0.2">
      <c r="A1769" s="5">
        <v>1708</v>
      </c>
      <c r="B1769" s="138">
        <f>'Tax Sched 23'!D12</f>
        <v>12261</v>
      </c>
      <c r="C1769" s="2" t="s">
        <v>594</v>
      </c>
      <c r="D1769" s="2" t="str">
        <f t="shared" si="26"/>
        <v>Error?</v>
      </c>
    </row>
    <row r="1770" spans="1:5" x14ac:dyDescent="0.2">
      <c r="A1770" s="5">
        <v>1709</v>
      </c>
      <c r="B1770" s="138">
        <f>'Tax Sched 23'!D14</f>
        <v>4904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677990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405441</v>
      </c>
      <c r="C1792" s="2" t="s">
        <v>594</v>
      </c>
      <c r="D1792" s="2" t="str">
        <f t="shared" si="27"/>
        <v>Error?</v>
      </c>
    </row>
    <row r="1793" spans="1:4" x14ac:dyDescent="0.2">
      <c r="A1793" s="5">
        <v>1732</v>
      </c>
      <c r="B1793" s="138">
        <f>'Tax Sched 23'!F5</f>
        <v>63350</v>
      </c>
      <c r="C1793" s="2" t="s">
        <v>594</v>
      </c>
      <c r="D1793" s="2" t="str">
        <f t="shared" si="27"/>
        <v>Error?</v>
      </c>
    </row>
    <row r="1794" spans="1:4" x14ac:dyDescent="0.2">
      <c r="A1794" s="5">
        <v>1733</v>
      </c>
      <c r="B1794" s="138">
        <f>'Tax Sched 23'!F6</f>
        <v>63036</v>
      </c>
      <c r="C1794" s="2" t="s">
        <v>594</v>
      </c>
      <c r="D1794" s="2" t="str">
        <f t="shared" si="27"/>
        <v>Error?</v>
      </c>
    </row>
    <row r="1795" spans="1:4" x14ac:dyDescent="0.2">
      <c r="A1795" s="5">
        <v>1734</v>
      </c>
      <c r="B1795" s="138">
        <f>'Tax Sched 23'!F7</f>
        <v>30408</v>
      </c>
      <c r="C1795" s="2" t="s">
        <v>594</v>
      </c>
      <c r="D1795" s="2" t="str">
        <f t="shared" si="27"/>
        <v>Error?</v>
      </c>
    </row>
    <row r="1796" spans="1:4" x14ac:dyDescent="0.2">
      <c r="A1796" s="5">
        <v>1735</v>
      </c>
      <c r="B1796" s="138">
        <f>'Tax Sched 23'!F8</f>
        <v>14500</v>
      </c>
      <c r="C1796" s="2" t="s">
        <v>594</v>
      </c>
      <c r="D1796" s="2" t="str">
        <f t="shared" si="27"/>
        <v>Error?</v>
      </c>
    </row>
    <row r="1797" spans="1:4" x14ac:dyDescent="0.2">
      <c r="A1797" s="5">
        <v>1736</v>
      </c>
      <c r="B1797" s="138">
        <f>'Tax Sched 23'!F10</f>
        <v>12670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50001</v>
      </c>
      <c r="C1800" s="2" t="s">
        <v>594</v>
      </c>
      <c r="D1800" s="2" t="str">
        <f t="shared" si="27"/>
        <v>Error?</v>
      </c>
    </row>
    <row r="1801" spans="1:4" x14ac:dyDescent="0.2">
      <c r="A1801" s="5">
        <v>1740</v>
      </c>
      <c r="B1801" s="138">
        <f>'Tax Sched 23'!F12</f>
        <v>12670</v>
      </c>
      <c r="C1801" s="2" t="s">
        <v>594</v>
      </c>
      <c r="D1801" s="2" t="str">
        <f t="shared" si="27"/>
        <v>Error?</v>
      </c>
    </row>
    <row r="1802" spans="1:4" x14ac:dyDescent="0.2">
      <c r="A1802" s="5">
        <v>1741</v>
      </c>
      <c r="B1802" s="138">
        <f>'Tax Sched 23'!F14</f>
        <v>5068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695813</v>
      </c>
      <c r="C1807" s="2" t="s">
        <v>594</v>
      </c>
      <c r="D1807" s="2" t="str">
        <f t="shared" si="27"/>
        <v>Error?</v>
      </c>
    </row>
    <row r="1808" spans="1:4" x14ac:dyDescent="0.2">
      <c r="A1808" s="5">
        <v>1747</v>
      </c>
      <c r="B1808" s="138">
        <f>'Tax Sched 23'!E4</f>
        <v>405441</v>
      </c>
      <c r="D1808" s="2" t="str">
        <f t="shared" si="27"/>
        <v>Error?</v>
      </c>
    </row>
    <row r="1809" spans="1:4" x14ac:dyDescent="0.2">
      <c r="A1809" s="5">
        <v>1748</v>
      </c>
      <c r="B1809" s="138">
        <f>'Tax Sched 23'!E5</f>
        <v>63350</v>
      </c>
      <c r="D1809" s="2" t="str">
        <f t="shared" si="27"/>
        <v>Error?</v>
      </c>
    </row>
    <row r="1810" spans="1:4" x14ac:dyDescent="0.2">
      <c r="A1810" s="5">
        <v>1749</v>
      </c>
      <c r="B1810" s="138">
        <f>'Tax Sched 23'!E6</f>
        <v>63036</v>
      </c>
      <c r="D1810" s="2" t="str">
        <f t="shared" si="27"/>
        <v>Error?</v>
      </c>
    </row>
    <row r="1811" spans="1:4" x14ac:dyDescent="0.2">
      <c r="A1811" s="5">
        <v>1750</v>
      </c>
      <c r="B1811" s="138">
        <f>'Tax Sched 23'!E7</f>
        <v>30408</v>
      </c>
      <c r="D1811" s="2" t="str">
        <f t="shared" si="27"/>
        <v>Error?</v>
      </c>
    </row>
    <row r="1812" spans="1:4" x14ac:dyDescent="0.2">
      <c r="A1812" s="5">
        <v>1751</v>
      </c>
      <c r="B1812" s="138">
        <f>'Tax Sched 23'!E8</f>
        <v>14500</v>
      </c>
      <c r="D1812" s="2" t="str">
        <f t="shared" si="27"/>
        <v>Error?</v>
      </c>
    </row>
    <row r="1813" spans="1:4" x14ac:dyDescent="0.2">
      <c r="A1813" s="5">
        <v>1752</v>
      </c>
      <c r="B1813" s="138">
        <f>'Tax Sched 23'!E10</f>
        <v>12670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50001</v>
      </c>
      <c r="D1816" s="2" t="str">
        <f t="shared" si="27"/>
        <v>Error?</v>
      </c>
    </row>
    <row r="1817" spans="1:4" x14ac:dyDescent="0.2">
      <c r="A1817" s="5">
        <v>1756</v>
      </c>
      <c r="B1817" s="138">
        <f>'Tax Sched 23'!E12</f>
        <v>12670</v>
      </c>
      <c r="D1817" s="2" t="str">
        <f t="shared" si="27"/>
        <v>Error?</v>
      </c>
    </row>
    <row r="1818" spans="1:4" x14ac:dyDescent="0.2">
      <c r="A1818" s="5">
        <v>1757</v>
      </c>
      <c r="B1818" s="138">
        <f>'Tax Sched 23'!E14</f>
        <v>5068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695813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164600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4904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4904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4904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2642972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433109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3076081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14614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14614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2642972</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447723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3090695</v>
      </c>
      <c r="C2031" s="2" t="s">
        <v>594</v>
      </c>
      <c r="D2031" s="2" t="str">
        <f t="shared" si="30"/>
        <v>Error?</v>
      </c>
    </row>
    <row r="2032" spans="1:4" x14ac:dyDescent="0.2">
      <c r="A2032" s="10">
        <v>1971</v>
      </c>
      <c r="D2032" s="2" t="str">
        <f t="shared" si="30"/>
        <v>OK</v>
      </c>
    </row>
    <row r="2033" spans="1:4" x14ac:dyDescent="0.2">
      <c r="A2033" s="5">
        <v>1972</v>
      </c>
      <c r="B2033" s="138">
        <f>'Cap Outlay Deprec 26'!H8</f>
        <v>675663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363988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1039651</v>
      </c>
      <c r="C2037" s="2" t="s">
        <v>594</v>
      </c>
      <c r="D2037" s="2" t="str">
        <f t="shared" si="30"/>
        <v>Error?</v>
      </c>
    </row>
    <row r="2038" spans="1:4" x14ac:dyDescent="0.2">
      <c r="A2038" s="10">
        <v>1977</v>
      </c>
      <c r="D2038" s="2" t="str">
        <f t="shared" si="30"/>
        <v>OK</v>
      </c>
    </row>
    <row r="2039" spans="1:4" x14ac:dyDescent="0.2">
      <c r="A2039" s="5">
        <v>1978</v>
      </c>
      <c r="B2039" s="138">
        <f>'Cap Outlay Deprec 26'!I8</f>
        <v>52859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10818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63677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728522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374806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1103328</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1914450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72917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1987367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41456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683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546749</v>
      </c>
      <c r="C2551" s="2" t="s">
        <v>594</v>
      </c>
      <c r="D2551" s="2" t="str">
        <f t="shared" si="38"/>
        <v>Error?</v>
      </c>
    </row>
    <row r="2552" spans="1:4" x14ac:dyDescent="0.2">
      <c r="A2552" s="10">
        <v>2491</v>
      </c>
      <c r="D2552" s="2" t="str">
        <f t="shared" si="38"/>
        <v>OK</v>
      </c>
    </row>
    <row r="2553" spans="1:4" x14ac:dyDescent="0.2">
      <c r="A2553" s="5">
        <v>2492</v>
      </c>
      <c r="B2553" s="138">
        <f>'Acct Summary 7-8'!C6</f>
        <v>572859</v>
      </c>
      <c r="C2553" s="2" t="s">
        <v>594</v>
      </c>
      <c r="D2553" s="2" t="str">
        <f t="shared" si="38"/>
        <v>Error?</v>
      </c>
    </row>
    <row r="2554" spans="1:4" x14ac:dyDescent="0.2">
      <c r="A2554" s="5">
        <v>2493</v>
      </c>
      <c r="B2554" s="138">
        <f>'Acct Summary 7-8'!C7</f>
        <v>59995</v>
      </c>
      <c r="C2554" s="2" t="s">
        <v>594</v>
      </c>
      <c r="D2554" s="2" t="str">
        <f t="shared" si="38"/>
        <v>Error?</v>
      </c>
    </row>
    <row r="2555" spans="1:4" x14ac:dyDescent="0.2">
      <c r="A2555" s="5">
        <v>2494</v>
      </c>
      <c r="B2555" s="138">
        <f>'Acct Summary 7-8'!C8</f>
        <v>1179603</v>
      </c>
      <c r="C2555" s="2" t="s">
        <v>594</v>
      </c>
      <c r="D2555" s="2" t="str">
        <f t="shared" si="38"/>
        <v>Error?</v>
      </c>
    </row>
    <row r="2556" spans="1:4" x14ac:dyDescent="0.2">
      <c r="A2556" s="5">
        <v>2495</v>
      </c>
      <c r="B2556" s="138">
        <f>'Acct Summary 7-8'!C12</f>
        <v>750362</v>
      </c>
      <c r="C2556" s="2" t="s">
        <v>594</v>
      </c>
      <c r="D2556" s="2" t="str">
        <f t="shared" si="38"/>
        <v>Error?</v>
      </c>
    </row>
    <row r="2557" spans="1:4" x14ac:dyDescent="0.2">
      <c r="A2557" s="5">
        <v>2496</v>
      </c>
      <c r="B2557" s="138">
        <f>'Acct Summary 7-8'!C13</f>
        <v>255683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41456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1047501</v>
      </c>
      <c r="C2561" s="2" t="s">
        <v>594</v>
      </c>
      <c r="D2561" s="2" t="str">
        <f t="shared" si="39"/>
        <v>Error?</v>
      </c>
    </row>
    <row r="2562" spans="1:4" x14ac:dyDescent="0.2">
      <c r="A2562" s="5">
        <v>2501</v>
      </c>
      <c r="B2562" s="138">
        <f>'Acct Summary 7-8'!C20</f>
        <v>132102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70193</v>
      </c>
      <c r="C2564" s="2" t="s">
        <v>594</v>
      </c>
      <c r="D2564" s="2" t="str">
        <f t="shared" si="39"/>
        <v>Error?</v>
      </c>
    </row>
    <row r="2565" spans="1:4" x14ac:dyDescent="0.2">
      <c r="A2565" s="10">
        <v>2504</v>
      </c>
      <c r="D2565" s="2" t="str">
        <f t="shared" si="39"/>
        <v>OK</v>
      </c>
    </row>
    <row r="2566" spans="1:4" x14ac:dyDescent="0.2">
      <c r="A2566" s="5">
        <v>2505</v>
      </c>
      <c r="B2566" s="138">
        <f>'Acct Summary 7-8'!D6</f>
        <v>82520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152713</v>
      </c>
      <c r="C2568" s="2" t="s">
        <v>594</v>
      </c>
      <c r="D2568" s="2" t="str">
        <f t="shared" si="39"/>
        <v>Error?</v>
      </c>
    </row>
    <row r="2569" spans="1:4" x14ac:dyDescent="0.2">
      <c r="A2569" s="5">
        <v>2508</v>
      </c>
      <c r="B2569" s="138">
        <f>'Acct Summary 7-8'!D13</f>
        <v>125021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125021</v>
      </c>
      <c r="C2573" s="2" t="s">
        <v>594</v>
      </c>
      <c r="D2573" s="2" t="str">
        <f t="shared" si="39"/>
        <v>Error?</v>
      </c>
    </row>
    <row r="2574" spans="1:4" x14ac:dyDescent="0.2">
      <c r="A2574" s="5">
        <v>2513</v>
      </c>
      <c r="B2574" s="138">
        <f>'Acct Summary 7-8'!D20</f>
        <v>27692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60728</v>
      </c>
      <c r="C2591" s="2" t="s">
        <v>594</v>
      </c>
      <c r="D2591" s="2" t="str">
        <f t="shared" si="39"/>
        <v>Error?</v>
      </c>
    </row>
    <row r="2592" spans="1:4" x14ac:dyDescent="0.2">
      <c r="A2592" s="10">
        <v>2531</v>
      </c>
      <c r="D2592" s="2" t="str">
        <f t="shared" si="39"/>
        <v>OK</v>
      </c>
    </row>
    <row r="2593" spans="1:4" x14ac:dyDescent="0.2">
      <c r="A2593" s="5">
        <v>2532</v>
      </c>
      <c r="B2593" s="138">
        <f>'Acct Summary 7-8'!F6</f>
        <v>36210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96938</v>
      </c>
      <c r="C2595" s="2" t="s">
        <v>594</v>
      </c>
      <c r="D2595" s="2" t="str">
        <f t="shared" si="39"/>
        <v>Error?</v>
      </c>
    </row>
    <row r="2596" spans="1:4" x14ac:dyDescent="0.2">
      <c r="A2596" s="5">
        <v>2535</v>
      </c>
      <c r="B2596" s="138">
        <f>'Acct Summary 7-8'!F13</f>
        <v>80352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80352</v>
      </c>
      <c r="C2600" s="2" t="s">
        <v>594</v>
      </c>
      <c r="D2600" s="2" t="str">
        <f t="shared" si="39"/>
        <v>Error?</v>
      </c>
    </row>
    <row r="2601" spans="1:4" x14ac:dyDescent="0.2">
      <c r="A2601" s="5">
        <v>2540</v>
      </c>
      <c r="B2601" s="138">
        <f>'Acct Summary 7-8'!F20</f>
        <v>16586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43174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43174</v>
      </c>
      <c r="C2606" s="2" t="s">
        <v>594</v>
      </c>
      <c r="D2606" s="2" t="str">
        <f t="shared" si="39"/>
        <v>Error?</v>
      </c>
    </row>
    <row r="2607" spans="1:4" x14ac:dyDescent="0.2">
      <c r="A2607" s="5">
        <v>2546</v>
      </c>
      <c r="B2607" s="138">
        <f>'Acct Summary 7-8'!G12</f>
        <v>18846</v>
      </c>
      <c r="C2607" s="2" t="s">
        <v>594</v>
      </c>
      <c r="D2607" s="2" t="str">
        <f t="shared" si="39"/>
        <v>Error?</v>
      </c>
    </row>
    <row r="2608" spans="1:4" x14ac:dyDescent="0.2">
      <c r="A2608" s="5">
        <v>2547</v>
      </c>
      <c r="B2608" s="138">
        <f>'Acct Summary 7-8'!G13</f>
        <v>24575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43421</v>
      </c>
      <c r="C2612" s="2" t="s">
        <v>594</v>
      </c>
      <c r="D2612" s="2" t="str">
        <f t="shared" si="39"/>
        <v>Error?</v>
      </c>
    </row>
    <row r="2613" spans="1:4" x14ac:dyDescent="0.2">
      <c r="A2613" s="5">
        <v>2552</v>
      </c>
      <c r="B2613" s="138">
        <f>'Acct Summary 7-8'!G20</f>
        <v>-247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62989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62989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107832</v>
      </c>
      <c r="C2634" s="2" t="s">
        <v>594</v>
      </c>
      <c r="D2634" s="2" t="str">
        <f t="shared" si="40"/>
        <v>Error?</v>
      </c>
    </row>
    <row r="2635" spans="1:4" x14ac:dyDescent="0.2">
      <c r="A2635" s="5">
        <v>2574</v>
      </c>
      <c r="B2635" s="138">
        <f>'Acct Summary 7-8'!E17</f>
        <v>107832</v>
      </c>
      <c r="C2635" s="2" t="s">
        <v>594</v>
      </c>
      <c r="D2635" s="2" t="str">
        <f t="shared" si="40"/>
        <v>Error?</v>
      </c>
    </row>
    <row r="2636" spans="1:4" x14ac:dyDescent="0.2">
      <c r="A2636" s="5">
        <v>2575</v>
      </c>
      <c r="B2636" s="138">
        <f>'Acct Summary 7-8'!E20</f>
        <v>-44843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41456</v>
      </c>
      <c r="C2789" s="2" t="s">
        <v>594</v>
      </c>
      <c r="D2789" s="2" t="str">
        <f t="shared" si="42"/>
        <v>Error?</v>
      </c>
    </row>
    <row r="2790" spans="1:4" x14ac:dyDescent="0.2">
      <c r="A2790" s="5">
        <v>2729</v>
      </c>
      <c r="B2790" s="138">
        <f>'Expenditures 15-22'!E102</f>
        <v>41456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283674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283674</v>
      </c>
      <c r="D2912" s="2" t="str">
        <f t="shared" si="44"/>
        <v>Error?</v>
      </c>
    </row>
    <row r="2913" spans="1:4" x14ac:dyDescent="0.2">
      <c r="A2913" s="5">
        <v>2852</v>
      </c>
      <c r="B2913" s="138">
        <f>'Assets-Liab 5-6'!I41</f>
        <v>283674</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41456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41456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14885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12464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27349</v>
      </c>
      <c r="C3062" s="2" t="s">
        <v>594</v>
      </c>
      <c r="D3062" s="2" t="str">
        <f t="shared" si="46"/>
        <v>Error?</v>
      </c>
    </row>
    <row r="3063" spans="1:4" x14ac:dyDescent="0.2">
      <c r="A3063" s="10">
        <v>3002</v>
      </c>
      <c r="D3063" s="2" t="str">
        <f t="shared" si="46"/>
        <v>OK</v>
      </c>
    </row>
    <row r="3064" spans="1:4" x14ac:dyDescent="0.2">
      <c r="A3064" s="5">
        <v>3003</v>
      </c>
      <c r="B3064" s="138">
        <f>'Expenditures 15-22'!D219</f>
        <v>1730</v>
      </c>
      <c r="D3064" s="2" t="str">
        <f t="shared" si="46"/>
        <v>Error?</v>
      </c>
    </row>
    <row r="3065" spans="1:4" x14ac:dyDescent="0.2">
      <c r="A3065" s="5">
        <v>3004</v>
      </c>
      <c r="B3065" s="138">
        <f>'Expenditures 15-22'!K219</f>
        <v>1730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12278</v>
      </c>
      <c r="C3225" s="2" t="s">
        <v>594</v>
      </c>
      <c r="D3225" s="2" t="str">
        <f t="shared" si="49"/>
        <v>Error?</v>
      </c>
    </row>
    <row r="3226" spans="1:4" x14ac:dyDescent="0.2">
      <c r="A3226" s="5">
        <v>3165</v>
      </c>
      <c r="B3226" s="138">
        <f>'Acct Summary 7-8'!I8</f>
        <v>12278</v>
      </c>
      <c r="C3226" s="2" t="s">
        <v>594</v>
      </c>
      <c r="D3226" s="2" t="str">
        <f t="shared" si="49"/>
        <v>Error?</v>
      </c>
    </row>
    <row r="3227" spans="1:4" x14ac:dyDescent="0.2">
      <c r="A3227" s="5">
        <v>3166</v>
      </c>
      <c r="B3227" s="138">
        <f>'Acct Summary 7-8'!I20</f>
        <v>12278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132102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27692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16586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-44843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12278</v>
      </c>
      <c r="C3320" s="2" t="s">
        <v>594</v>
      </c>
      <c r="D3320" s="2" t="str">
        <f t="shared" si="50"/>
        <v>Error?</v>
      </c>
    </row>
    <row r="3321" spans="1:4" x14ac:dyDescent="0.2">
      <c r="A3321" s="5">
        <v>3260</v>
      </c>
      <c r="B3321" s="138">
        <f>'Acct Summary 7-8'!I79</f>
        <v>271396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283674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55210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13784</v>
      </c>
      <c r="D3387" s="2" t="str">
        <f t="shared" si="51"/>
        <v>Error?</v>
      </c>
    </row>
    <row r="3388" spans="1:4" x14ac:dyDescent="0.2">
      <c r="A3388" s="5">
        <v>3327</v>
      </c>
      <c r="B3388" s="138">
        <f>'Expenditures 15-22'!D217</f>
        <v>2353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13784</v>
      </c>
      <c r="C3390" s="2" t="s">
        <v>594</v>
      </c>
      <c r="D3390" s="2" t="str">
        <f t="shared" si="51"/>
        <v>Error?</v>
      </c>
    </row>
    <row r="3391" spans="1:4" x14ac:dyDescent="0.2">
      <c r="A3391" s="5">
        <v>3330</v>
      </c>
      <c r="B3391" s="138">
        <f>'Expenditures 15-22'!K217</f>
        <v>2353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936407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46158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66108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245278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25947</v>
      </c>
      <c r="C3446" s="2" t="s">
        <v>594</v>
      </c>
      <c r="D3446" s="2" t="str">
        <f t="shared" si="52"/>
        <v>Error?</v>
      </c>
    </row>
    <row r="3447" spans="1:4" x14ac:dyDescent="0.2">
      <c r="A3447" s="5">
        <v>3386</v>
      </c>
      <c r="B3447" s="138">
        <f>'Tax Sched 23'!D16</f>
        <v>25947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25999</v>
      </c>
      <c r="C3449" s="2" t="s">
        <v>594</v>
      </c>
      <c r="D3449" s="2" t="str">
        <f t="shared" si="52"/>
        <v>Error?</v>
      </c>
    </row>
    <row r="3450" spans="1:4" x14ac:dyDescent="0.2">
      <c r="A3450" s="5">
        <v>3389</v>
      </c>
      <c r="B3450" s="138">
        <f>'Tax Sched 23'!E16</f>
        <v>25999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54751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54751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54751</v>
      </c>
      <c r="D3567" s="2" t="str">
        <f t="shared" si="54"/>
        <v>Error?</v>
      </c>
    </row>
    <row r="3568" spans="1:4" x14ac:dyDescent="0.2">
      <c r="A3568" s="5">
        <v>3507</v>
      </c>
      <c r="B3568" s="138">
        <f>'Assets-Liab 5-6'!K41</f>
        <v>54751</v>
      </c>
      <c r="C3568" s="2" t="s">
        <v>594</v>
      </c>
      <c r="D3568" s="2" t="str">
        <f t="shared" si="54"/>
        <v>Error?</v>
      </c>
    </row>
    <row r="3569" spans="1:4" x14ac:dyDescent="0.2">
      <c r="A3569" s="5">
        <v>3508</v>
      </c>
      <c r="B3569" s="138">
        <f>'Acct Summary 7-8'!K4</f>
        <v>12278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12278</v>
      </c>
      <c r="C3571" s="2" t="s">
        <v>594</v>
      </c>
      <c r="D3571" s="2" t="str">
        <f t="shared" si="54"/>
        <v>Error?</v>
      </c>
    </row>
    <row r="3572" spans="1:4" x14ac:dyDescent="0.2">
      <c r="A3572" s="5">
        <v>3511</v>
      </c>
      <c r="B3572" s="138">
        <f>'Acct Summary 7-8'!K13</f>
        <v>1813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1813</v>
      </c>
      <c r="C3575" s="2" t="s">
        <v>594</v>
      </c>
      <c r="D3575" s="2" t="str">
        <f t="shared" si="54"/>
        <v>Error?</v>
      </c>
    </row>
    <row r="3576" spans="1:4" x14ac:dyDescent="0.2">
      <c r="A3576" s="5">
        <v>3515</v>
      </c>
      <c r="B3576" s="138">
        <f>'Acct Summary 7-8'!K20</f>
        <v>10465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10465</v>
      </c>
      <c r="C3588" s="2" t="s">
        <v>594</v>
      </c>
      <c r="D3588" s="2" t="str">
        <f t="shared" si="55"/>
        <v>Error?</v>
      </c>
    </row>
    <row r="3589" spans="1:4" x14ac:dyDescent="0.2">
      <c r="A3589" s="5">
        <v>3528</v>
      </c>
      <c r="B3589" s="138">
        <f>'Acct Summary 7-8'!K79</f>
        <v>44286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54751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410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410</v>
      </c>
      <c r="C3635" s="2" t="s">
        <v>594</v>
      </c>
      <c r="D3635" s="2" t="str">
        <f t="shared" si="55"/>
        <v>Error?</v>
      </c>
    </row>
    <row r="3636" spans="1:4" x14ac:dyDescent="0.2">
      <c r="A3636" s="5">
        <v>3575</v>
      </c>
      <c r="B3636" s="138">
        <f>'Expenditures 15-22'!E367</f>
        <v>410</v>
      </c>
      <c r="C3636" s="2" t="s">
        <v>594</v>
      </c>
      <c r="D3636" s="2" t="str">
        <f t="shared" si="55"/>
        <v>Error?</v>
      </c>
    </row>
    <row r="3637" spans="1:4" x14ac:dyDescent="0.2">
      <c r="A3637" s="10">
        <v>3576</v>
      </c>
      <c r="D3637" s="2" t="str">
        <f t="shared" si="55"/>
        <v>OK</v>
      </c>
    </row>
    <row r="3638" spans="1:4" x14ac:dyDescent="0.2">
      <c r="A3638" s="5">
        <v>3577</v>
      </c>
      <c r="B3638" s="138">
        <f>'Expenditures 15-22'!F348</f>
        <v>1403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1403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1403</v>
      </c>
      <c r="C3642" s="2" t="s">
        <v>594</v>
      </c>
      <c r="D3642" s="2" t="str">
        <f t="shared" si="55"/>
        <v>Error?</v>
      </c>
    </row>
    <row r="3643" spans="1:4" x14ac:dyDescent="0.2">
      <c r="A3643" s="5">
        <v>3582</v>
      </c>
      <c r="B3643" s="138">
        <f>'Expenditures 15-22'!F367</f>
        <v>1403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1813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1813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1813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1813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10465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12262</v>
      </c>
      <c r="C3725" s="2" t="s">
        <v>594</v>
      </c>
      <c r="D3725" s="2" t="str">
        <f t="shared" si="57"/>
        <v>Error?</v>
      </c>
    </row>
    <row r="3726" spans="1:4" x14ac:dyDescent="0.2">
      <c r="A3726" s="5">
        <v>3665</v>
      </c>
      <c r="B3726" s="138">
        <f>'Tax Sched 23'!D13</f>
        <v>12262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12670</v>
      </c>
      <c r="C3728" s="2" t="s">
        <v>594</v>
      </c>
      <c r="D3728" s="2" t="str">
        <f t="shared" si="57"/>
        <v>Error?</v>
      </c>
    </row>
    <row r="3729" spans="1:4" x14ac:dyDescent="0.2">
      <c r="A3729" s="5">
        <v>3668</v>
      </c>
      <c r="B3729" s="138">
        <f>'Tax Sched 23'!E13</f>
        <v>12670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278200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1457803</v>
      </c>
      <c r="C4122" s="2" t="s">
        <v>594</v>
      </c>
      <c r="D4122" s="2" t="str">
        <f t="shared" si="63"/>
        <v>Error?</v>
      </c>
    </row>
    <row r="4123" spans="1:4" x14ac:dyDescent="0.2">
      <c r="A4123" s="5">
        <v>4062</v>
      </c>
      <c r="B4123" s="138">
        <f>'Acct Summary 7-8'!D10</f>
        <v>152713</v>
      </c>
      <c r="C4123" s="2" t="s">
        <v>594</v>
      </c>
      <c r="D4123" s="2" t="str">
        <f t="shared" si="63"/>
        <v>Error?</v>
      </c>
    </row>
    <row r="4124" spans="1:4" x14ac:dyDescent="0.2">
      <c r="A4124" s="5">
        <v>4063</v>
      </c>
      <c r="B4124" s="138">
        <f>'Acct Summary 7-8'!E10</f>
        <v>62989</v>
      </c>
      <c r="C4124" s="2" t="s">
        <v>594</v>
      </c>
      <c r="D4124" s="2" t="str">
        <f t="shared" si="63"/>
        <v>Error?</v>
      </c>
    </row>
    <row r="4125" spans="1:4" x14ac:dyDescent="0.2">
      <c r="A4125" s="5">
        <v>4064</v>
      </c>
      <c r="B4125" s="138">
        <f>'Acct Summary 7-8'!F10</f>
        <v>96938</v>
      </c>
      <c r="C4125" s="2" t="s">
        <v>594</v>
      </c>
      <c r="D4125" s="2" t="str">
        <f t="shared" si="63"/>
        <v>Error?</v>
      </c>
    </row>
    <row r="4126" spans="1:4" x14ac:dyDescent="0.2">
      <c r="A4126" s="5">
        <v>4065</v>
      </c>
      <c r="B4126" s="138">
        <f>'Acct Summary 7-8'!G10</f>
        <v>43174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12278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12278</v>
      </c>
      <c r="C4130" s="2" t="s">
        <v>594</v>
      </c>
      <c r="D4130" s="2" t="str">
        <f t="shared" si="63"/>
        <v>Error?</v>
      </c>
    </row>
    <row r="4131" spans="1:4" x14ac:dyDescent="0.2">
      <c r="A4131" s="5">
        <v>4070</v>
      </c>
      <c r="B4131" s="138">
        <f>'Acct Summary 7-8'!C18</f>
        <v>278200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1325701</v>
      </c>
      <c r="C4136" s="2" t="s">
        <v>594</v>
      </c>
      <c r="D4136" s="2" t="str">
        <f t="shared" si="63"/>
        <v>Error?</v>
      </c>
    </row>
    <row r="4137" spans="1:4" x14ac:dyDescent="0.2">
      <c r="A4137" s="5">
        <v>4076</v>
      </c>
      <c r="B4137" s="138">
        <f>'Acct Summary 7-8'!D19</f>
        <v>125021</v>
      </c>
      <c r="C4137" s="2" t="s">
        <v>594</v>
      </c>
      <c r="D4137" s="2" t="str">
        <f t="shared" si="63"/>
        <v>Error?</v>
      </c>
    </row>
    <row r="4138" spans="1:4" x14ac:dyDescent="0.2">
      <c r="A4138" s="5">
        <v>4077</v>
      </c>
      <c r="B4138" s="138">
        <f>'Acct Summary 7-8'!E19</f>
        <v>107832</v>
      </c>
      <c r="C4138" s="2" t="s">
        <v>594</v>
      </c>
      <c r="D4138" s="2" t="str">
        <f t="shared" si="63"/>
        <v>Error?</v>
      </c>
    </row>
    <row r="4139" spans="1:4" x14ac:dyDescent="0.2">
      <c r="A4139" s="5">
        <v>4078</v>
      </c>
      <c r="B4139" s="138">
        <f>'Acct Summary 7-8'!F19</f>
        <v>80352</v>
      </c>
      <c r="C4139" s="2" t="s">
        <v>594</v>
      </c>
      <c r="D4139" s="2" t="str">
        <f t="shared" si="63"/>
        <v>Error?</v>
      </c>
    </row>
    <row r="4140" spans="1:4" x14ac:dyDescent="0.2">
      <c r="A4140" s="5">
        <v>4079</v>
      </c>
      <c r="B4140" s="138">
        <f>'Acct Summary 7-8'!G19</f>
        <v>43421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1813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61200</v>
      </c>
      <c r="C4171" s="2" t="s">
        <v>594</v>
      </c>
      <c r="D4171" s="2" t="str">
        <f t="shared" si="64"/>
        <v>Error?</v>
      </c>
    </row>
    <row r="4172" spans="1:4" x14ac:dyDescent="0.2">
      <c r="A4172" s="5">
        <v>4111</v>
      </c>
      <c r="B4172" s="138">
        <f>'Short-Term Long-Term Debt 24'!J49</f>
        <v>61200</v>
      </c>
      <c r="C4172" s="2" t="s">
        <v>594</v>
      </c>
      <c r="D4172" s="2" t="str">
        <f t="shared" si="64"/>
        <v>Error?</v>
      </c>
    </row>
    <row r="4173" spans="1:4" x14ac:dyDescent="0.2">
      <c r="A4173" s="5">
        <v>4112</v>
      </c>
      <c r="B4173" s="138">
        <f>'Short-Term Long-Term Debt 24'!H49</f>
        <v>103400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1969.9999999999998</v>
      </c>
      <c r="C4268" s="2" t="s">
        <v>594</v>
      </c>
      <c r="D4268" s="2" t="str">
        <f t="shared" si="65"/>
        <v>Error?</v>
      </c>
    </row>
    <row r="4269" spans="1:5" x14ac:dyDescent="0.2">
      <c r="A4269" s="12">
        <v>4208</v>
      </c>
      <c r="B4269" s="138">
        <f>'FP Info 3'!J16</f>
        <v>1655703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26392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26392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25340053</v>
      </c>
      <c r="D4995" s="2" t="str">
        <f t="shared" si="77"/>
        <v>Error?</v>
      </c>
    </row>
    <row r="4996" spans="1:4" x14ac:dyDescent="0.2">
      <c r="A4996" s="12">
        <v>4935</v>
      </c>
      <c r="B4996" s="138">
        <f>'FP Info 3'!H31</f>
        <v>1748463.6570000001</v>
      </c>
      <c r="D4996" s="2" t="str">
        <f t="shared" si="77"/>
        <v>Error?</v>
      </c>
    </row>
    <row r="4997" spans="1:4" x14ac:dyDescent="0.2">
      <c r="A4997" s="12">
        <v>4936</v>
      </c>
      <c r="B4997" s="138">
        <f>'FP Info 3'!H37</f>
        <v>61200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7079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392358</v>
      </c>
      <c r="D5061" s="2" t="str">
        <f t="shared" si="78"/>
        <v>Error?</v>
      </c>
    </row>
    <row r="5062" spans="1:4" x14ac:dyDescent="0.2">
      <c r="A5062" s="10">
        <v>5001</v>
      </c>
      <c r="D5062" s="2" t="str">
        <f t="shared" si="78"/>
        <v>OK</v>
      </c>
    </row>
    <row r="5063" spans="1:4" x14ac:dyDescent="0.2">
      <c r="A5063" s="5">
        <v>5002</v>
      </c>
      <c r="B5063" s="138">
        <f>'Revenues 9-14'!C7</f>
        <v>4904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404341</v>
      </c>
      <c r="C5066" s="2" t="s">
        <v>594</v>
      </c>
      <c r="D5066" s="2" t="str">
        <f t="shared" si="78"/>
        <v>Error?</v>
      </c>
    </row>
    <row r="5067" spans="1:4" x14ac:dyDescent="0.2">
      <c r="A5067" s="5">
        <v>5006</v>
      </c>
      <c r="B5067" s="138">
        <f>'Revenues 9-14'!C14</f>
        <v>561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6517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4554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4554</v>
      </c>
      <c r="C5087" s="2" t="s">
        <v>594</v>
      </c>
      <c r="D5087" s="2" t="str">
        <f t="shared" si="78"/>
        <v>Error?</v>
      </c>
    </row>
    <row r="5088" spans="1:4" x14ac:dyDescent="0.2">
      <c r="A5088" s="5">
        <v>5027</v>
      </c>
      <c r="B5088" s="138">
        <f>'Revenues 9-14'!C65</f>
        <v>12514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12514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491</v>
      </c>
      <c r="D5094" s="2" t="str">
        <f t="shared" si="78"/>
        <v>Error?</v>
      </c>
    </row>
    <row r="5095" spans="1:4" x14ac:dyDescent="0.2">
      <c r="A5095" s="5">
        <v>5034</v>
      </c>
      <c r="B5095" s="138">
        <f>'Revenues 9-14'!C74</f>
        <v>184</v>
      </c>
      <c r="D5095" s="2" t="str">
        <f t="shared" si="78"/>
        <v>Error?</v>
      </c>
    </row>
    <row r="5096" spans="1:4" x14ac:dyDescent="0.2">
      <c r="A5096" s="5">
        <v>5035</v>
      </c>
      <c r="B5096" s="138">
        <f>'Revenues 9-14'!C75</f>
        <v>43602</v>
      </c>
      <c r="C5096" s="2" t="s">
        <v>594</v>
      </c>
      <c r="D5096" s="2" t="str">
        <f t="shared" si="78"/>
        <v>Error?</v>
      </c>
    </row>
    <row r="5097" spans="1:4" x14ac:dyDescent="0.2">
      <c r="A5097" s="5">
        <v>5036</v>
      </c>
      <c r="B5097" s="138">
        <f>'Revenues 9-14'!C77</f>
        <v>17669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17669</v>
      </c>
      <c r="C5102" s="2" t="s">
        <v>594</v>
      </c>
      <c r="D5102" s="2" t="str">
        <f t="shared" si="78"/>
        <v>Error?</v>
      </c>
    </row>
    <row r="5103" spans="1:4" x14ac:dyDescent="0.2">
      <c r="A5103" s="5">
        <v>5042</v>
      </c>
      <c r="B5103" s="138">
        <f>'Revenues 9-14'!C84</f>
        <v>18740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18740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14140</v>
      </c>
      <c r="D5118" s="2" t="str">
        <f t="shared" si="78"/>
        <v>Error?</v>
      </c>
    </row>
    <row r="5119" spans="1:4" x14ac:dyDescent="0.2">
      <c r="A5119" s="5">
        <v>5058</v>
      </c>
      <c r="B5119" s="138">
        <f>'Revenues 9-14'!C107</f>
        <v>24672</v>
      </c>
      <c r="D5119" s="2" t="str">
        <f t="shared" ref="D5119:D5182" si="79">IF(ISBLANK(B5119),"OK",IF(A5119-B5119=0,"OK","Error?"))</f>
        <v>Error?</v>
      </c>
    </row>
    <row r="5120" spans="1:4" x14ac:dyDescent="0.2">
      <c r="A5120" s="5">
        <v>5059</v>
      </c>
      <c r="B5120" s="138">
        <f>'Revenues 9-14'!C108</f>
        <v>38812</v>
      </c>
      <c r="C5120" s="2" t="s">
        <v>594</v>
      </c>
      <c r="D5120" s="2" t="str">
        <f t="shared" si="79"/>
        <v>Error?</v>
      </c>
    </row>
    <row r="5121" spans="1:4" x14ac:dyDescent="0.2">
      <c r="A5121" s="5">
        <v>5060</v>
      </c>
      <c r="B5121" s="138">
        <f>'Revenues 9-14'!C109</f>
        <v>546749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554824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554824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11521</v>
      </c>
      <c r="D5134" s="2" t="str">
        <f t="shared" si="79"/>
        <v>Error?</v>
      </c>
    </row>
    <row r="5135" spans="1:4" x14ac:dyDescent="0.2">
      <c r="A5135" s="5">
        <v>5074</v>
      </c>
      <c r="B5135" s="138">
        <f>'Revenues 9-14'!C126</f>
        <v>6250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17771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18035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572859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24545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24545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5679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5679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59995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59995</v>
      </c>
      <c r="C5326" s="2" t="s">
        <v>594</v>
      </c>
      <c r="D5326" s="2" t="str">
        <f t="shared" si="82"/>
        <v>Error?</v>
      </c>
    </row>
    <row r="5327" spans="1:4" x14ac:dyDescent="0.2">
      <c r="A5327" s="5">
        <v>5266</v>
      </c>
      <c r="B5327" s="138">
        <f>'Revenues 9-14'!C275</f>
        <v>1179603</v>
      </c>
      <c r="C5327" s="2" t="s">
        <v>594</v>
      </c>
      <c r="D5327" s="2" t="str">
        <f t="shared" si="82"/>
        <v>Error?</v>
      </c>
    </row>
    <row r="5328" spans="1:4" x14ac:dyDescent="0.2">
      <c r="A5328" s="5">
        <v>5267</v>
      </c>
      <c r="B5328" s="138">
        <f>'Revenues 9-14'!D5</f>
        <v>61306</v>
      </c>
      <c r="D5328" s="2" t="str">
        <f t="shared" si="82"/>
        <v>Error?</v>
      </c>
    </row>
    <row r="5329" spans="1:4" x14ac:dyDescent="0.2">
      <c r="A5329" s="10">
        <v>5268</v>
      </c>
      <c r="D5329" s="2" t="str">
        <f t="shared" si="82"/>
        <v>OK</v>
      </c>
    </row>
    <row r="5330" spans="1:4" x14ac:dyDescent="0.2">
      <c r="A5330" s="5">
        <v>5269</v>
      </c>
      <c r="B5330" s="138">
        <f>'Revenues 9-14'!D6</f>
        <v>5183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66489</v>
      </c>
      <c r="C5334" s="2" t="s">
        <v>594</v>
      </c>
      <c r="D5334" s="2" t="str">
        <f t="shared" si="82"/>
        <v>Error?</v>
      </c>
    </row>
    <row r="5335" spans="1:4" x14ac:dyDescent="0.2">
      <c r="A5335" s="5">
        <v>5274</v>
      </c>
      <c r="B5335" s="138">
        <f>'Revenues 9-14'!D14</f>
        <v>104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104</v>
      </c>
      <c r="C5339" s="2" t="s">
        <v>594</v>
      </c>
      <c r="D5339" s="2" t="str">
        <f t="shared" si="82"/>
        <v>Error?</v>
      </c>
    </row>
    <row r="5340" spans="1:4" x14ac:dyDescent="0.2">
      <c r="A5340" s="5">
        <v>5279</v>
      </c>
      <c r="B5340" s="138">
        <f>'Revenues 9-14'!D65</f>
        <v>3600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3600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70193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82520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82520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82520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152713</v>
      </c>
      <c r="C5508" s="2" t="s">
        <v>594</v>
      </c>
      <c r="D5508" s="2" t="str">
        <f t="shared" si="85"/>
        <v>Error?</v>
      </c>
    </row>
    <row r="5509" spans="1:4" x14ac:dyDescent="0.2">
      <c r="A5509" s="5">
        <v>5448</v>
      </c>
      <c r="B5509" s="138">
        <f>'Revenues 9-14'!E5</f>
        <v>62892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62892</v>
      </c>
      <c r="C5513" s="2" t="s">
        <v>594</v>
      </c>
      <c r="D5513" s="2" t="str">
        <f t="shared" si="85"/>
        <v>Error?</v>
      </c>
    </row>
    <row r="5514" spans="1:4" x14ac:dyDescent="0.2">
      <c r="A5514" s="5">
        <v>5453</v>
      </c>
      <c r="B5514" s="138">
        <f>'Revenues 9-14'!E14</f>
        <v>97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97</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62989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62989</v>
      </c>
      <c r="C5552" s="2" t="s">
        <v>594</v>
      </c>
      <c r="D5552" s="2" t="str">
        <f t="shared" si="85"/>
        <v>Error?</v>
      </c>
    </row>
    <row r="5553" spans="1:4" x14ac:dyDescent="0.2">
      <c r="A5553" s="5">
        <v>5492</v>
      </c>
      <c r="B5553" s="138">
        <f>'Revenues 9-14'!F5</f>
        <v>29427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29427</v>
      </c>
      <c r="C5557" s="2" t="s">
        <v>594</v>
      </c>
      <c r="D5557" s="2" t="str">
        <f t="shared" si="85"/>
        <v>Error?</v>
      </c>
    </row>
    <row r="5558" spans="1:4" x14ac:dyDescent="0.2">
      <c r="A5558" s="5">
        <v>5497</v>
      </c>
      <c r="B5558" s="138">
        <f>'Revenues 9-14'!F14</f>
        <v>41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29559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29559</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1701</v>
      </c>
      <c r="D5586" s="2" t="str">
        <f t="shared" si="86"/>
        <v>Error?</v>
      </c>
    </row>
    <row r="5587" spans="1:4" x14ac:dyDescent="0.2">
      <c r="A5587" s="5">
        <v>5526</v>
      </c>
      <c r="B5587" s="138">
        <f>'Revenues 9-14'!F108</f>
        <v>1701</v>
      </c>
      <c r="C5587" s="2" t="s">
        <v>594</v>
      </c>
      <c r="D5587" s="2" t="str">
        <f t="shared" si="86"/>
        <v>Error?</v>
      </c>
    </row>
    <row r="5588" spans="1:4" x14ac:dyDescent="0.2">
      <c r="A5588" s="5">
        <v>5527</v>
      </c>
      <c r="B5588" s="138">
        <f>'Revenues 9-14'!F109</f>
        <v>60728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28766</v>
      </c>
      <c r="D5615" s="2" t="str">
        <f t="shared" si="86"/>
        <v>Error?</v>
      </c>
    </row>
    <row r="5616" spans="1:4" x14ac:dyDescent="0.2">
      <c r="A5616" s="10">
        <v>5555</v>
      </c>
      <c r="D5616" s="2" t="str">
        <f t="shared" si="86"/>
        <v>OK</v>
      </c>
    </row>
    <row r="5617" spans="1:4" x14ac:dyDescent="0.2">
      <c r="A5617" s="5">
        <v>5556</v>
      </c>
      <c r="B5617" s="138">
        <f>'Revenues 9-14'!F152</f>
        <v>7444</v>
      </c>
      <c r="D5617" s="2" t="str">
        <f t="shared" si="86"/>
        <v>Error?</v>
      </c>
    </row>
    <row r="5618" spans="1:4" x14ac:dyDescent="0.2">
      <c r="A5618" s="5">
        <v>5557</v>
      </c>
      <c r="B5618" s="138">
        <f>'Revenues 9-14'!F154</f>
        <v>36210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36210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36210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96938</v>
      </c>
      <c r="C5720" s="2" t="s">
        <v>594</v>
      </c>
      <c r="D5720" s="2" t="str">
        <f t="shared" si="88"/>
        <v>Error?</v>
      </c>
    </row>
    <row r="5721" spans="1:4" x14ac:dyDescent="0.2">
      <c r="A5721" s="5">
        <v>5660</v>
      </c>
      <c r="B5721" s="138">
        <f>'Revenues 9-14'!G5</f>
        <v>14471</v>
      </c>
      <c r="D5721" s="2" t="str">
        <f t="shared" si="88"/>
        <v>Error?</v>
      </c>
    </row>
    <row r="5722" spans="1:4" x14ac:dyDescent="0.2">
      <c r="A5722" s="5">
        <v>5661</v>
      </c>
      <c r="B5722" s="138">
        <f>'Revenues 9-14'!G7</f>
        <v>0</v>
      </c>
      <c r="D5722" s="2" t="str">
        <f t="shared" si="88"/>
        <v>Error?</v>
      </c>
    </row>
    <row r="5723" spans="1:4" x14ac:dyDescent="0.2">
      <c r="A5723" s="5">
        <v>5662</v>
      </c>
      <c r="B5723" s="138">
        <f>'Revenues 9-14'!G8</f>
        <v>25947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40418</v>
      </c>
      <c r="C5725" s="2" t="s">
        <v>594</v>
      </c>
      <c r="D5725" s="2" t="str">
        <f t="shared" si="88"/>
        <v>Error?</v>
      </c>
    </row>
    <row r="5726" spans="1:4" x14ac:dyDescent="0.2">
      <c r="A5726" s="5">
        <v>5665</v>
      </c>
      <c r="B5726" s="138">
        <f>'Revenues 9-14'!G14</f>
        <v>53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2703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2756</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43174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12261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12261</v>
      </c>
      <c r="C5918" s="2" t="s">
        <v>594</v>
      </c>
      <c r="D5918" s="2" t="str">
        <f t="shared" si="91"/>
        <v>Error?</v>
      </c>
    </row>
    <row r="5919" spans="1:4" x14ac:dyDescent="0.2">
      <c r="A5919" s="5">
        <v>5858</v>
      </c>
      <c r="B5919" s="138">
        <f>'Revenues 9-14'!I14</f>
        <v>17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17</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12278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12261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12261</v>
      </c>
      <c r="C5987" s="2" t="s">
        <v>594</v>
      </c>
      <c r="D5987" s="2" t="str">
        <f t="shared" si="92"/>
        <v>Error?</v>
      </c>
    </row>
    <row r="5988" spans="1:4" x14ac:dyDescent="0.2">
      <c r="A5988" s="5">
        <v>5927</v>
      </c>
      <c r="B5988" s="138">
        <f>'Revenues 9-14'!K14</f>
        <v>17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17</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12278</v>
      </c>
      <c r="C6023" s="2" t="s">
        <v>594</v>
      </c>
      <c r="D6023" s="2" t="str">
        <f t="shared" si="93"/>
        <v>Error?</v>
      </c>
    </row>
    <row r="6024" spans="1:5" x14ac:dyDescent="0.2">
      <c r="A6024" s="5">
        <v>5963</v>
      </c>
      <c r="B6024" s="138">
        <f>'Revenues 9-14'!G109</f>
        <v>43174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12278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12278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42927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7123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188.96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38396</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29411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38396</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29411</v>
      </c>
      <c r="D6215" s="2" t="str">
        <f t="shared" si="96"/>
        <v>Error?</v>
      </c>
      <c r="E6215" s="2" t="s">
        <v>199</v>
      </c>
    </row>
    <row r="6216" spans="1:5" x14ac:dyDescent="0.2">
      <c r="A6216">
        <v>6155</v>
      </c>
      <c r="B6216" s="138">
        <f>'Assets-Liab 5-6'!J41</f>
        <v>29411</v>
      </c>
      <c r="D6216" s="2" t="str">
        <f t="shared" si="96"/>
        <v>Error?</v>
      </c>
      <c r="E6216" s="2" t="s">
        <v>199</v>
      </c>
    </row>
    <row r="6217" spans="1:5" x14ac:dyDescent="0.2">
      <c r="A6217">
        <v>6156</v>
      </c>
      <c r="B6217" s="138">
        <f>'Assets-Liab 5-6'!J4</f>
        <v>29411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49959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49959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49959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42023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42023</v>
      </c>
      <c r="D6229" s="2" t="str">
        <f t="shared" si="96"/>
        <v>Error?</v>
      </c>
      <c r="E6229" s="2" t="s">
        <v>199</v>
      </c>
    </row>
    <row r="6230" spans="1:5" x14ac:dyDescent="0.2">
      <c r="A6230">
        <v>6169</v>
      </c>
      <c r="B6230" s="138">
        <f>'Acct Summary 7-8'!J20</f>
        <v>7936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7936</v>
      </c>
      <c r="D6263" s="2" t="str">
        <f t="shared" si="96"/>
        <v>Error?</v>
      </c>
      <c r="E6263" s="2" t="s">
        <v>199</v>
      </c>
    </row>
    <row r="6264" spans="1:5" x14ac:dyDescent="0.2">
      <c r="A6264">
        <v>6203</v>
      </c>
      <c r="B6264" s="138">
        <f>'Acct Summary 7-8'!J79</f>
        <v>21475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29411</v>
      </c>
      <c r="D6266" s="2" t="str">
        <f t="shared" si="96"/>
        <v>Error?</v>
      </c>
      <c r="E6266" s="2" t="s">
        <v>199</v>
      </c>
    </row>
    <row r="6267" spans="1:5" x14ac:dyDescent="0.2">
      <c r="A6267">
        <v>6206</v>
      </c>
      <c r="B6267" s="138">
        <f>'Acct Summary 7-8'!C82</f>
        <v>132102</v>
      </c>
      <c r="D6267" s="2" t="str">
        <f t="shared" si="96"/>
        <v>Error?</v>
      </c>
      <c r="E6267" s="2" t="s">
        <v>199</v>
      </c>
    </row>
    <row r="6268" spans="1:5" x14ac:dyDescent="0.2">
      <c r="A6268">
        <v>6207</v>
      </c>
      <c r="B6268" s="138">
        <f>'Acct Summary 7-8'!D82</f>
        <v>27692</v>
      </c>
      <c r="D6268" s="2" t="str">
        <f t="shared" si="96"/>
        <v>Error?</v>
      </c>
      <c r="E6268" s="2" t="s">
        <v>199</v>
      </c>
    </row>
    <row r="6269" spans="1:5" x14ac:dyDescent="0.2">
      <c r="A6269">
        <v>6208</v>
      </c>
      <c r="B6269" s="138">
        <f>'Acct Summary 7-8'!E82</f>
        <v>-44843</v>
      </c>
      <c r="D6269" s="2" t="str">
        <f t="shared" si="96"/>
        <v>Error?</v>
      </c>
      <c r="E6269" s="2" t="s">
        <v>199</v>
      </c>
    </row>
    <row r="6270" spans="1:5" x14ac:dyDescent="0.2">
      <c r="A6270">
        <v>6209</v>
      </c>
      <c r="B6270" s="138">
        <f>'Acct Summary 7-8'!F82</f>
        <v>16586</v>
      </c>
      <c r="D6270" s="2" t="str">
        <f t="shared" si="96"/>
        <v>Error?</v>
      </c>
      <c r="E6270" s="2" t="s">
        <v>199</v>
      </c>
    </row>
    <row r="6271" spans="1:5" x14ac:dyDescent="0.2">
      <c r="A6271">
        <v>6210</v>
      </c>
      <c r="B6271" s="138">
        <f>'Acct Summary 7-8'!G82</f>
        <v>-247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12278</v>
      </c>
      <c r="D6273" s="2" t="str">
        <f t="shared" si="97"/>
        <v>Error?</v>
      </c>
      <c r="E6273" s="2" t="s">
        <v>199</v>
      </c>
    </row>
    <row r="6274" spans="1:5" x14ac:dyDescent="0.2">
      <c r="A6274">
        <v>6213</v>
      </c>
      <c r="B6274" s="138">
        <f>'Acct Summary 7-8'!J82</f>
        <v>7936</v>
      </c>
      <c r="D6274" s="2" t="str">
        <f t="shared" si="97"/>
        <v>Error?</v>
      </c>
      <c r="E6274" s="2" t="s">
        <v>199</v>
      </c>
    </row>
    <row r="6275" spans="1:5" x14ac:dyDescent="0.2">
      <c r="A6275">
        <v>6214</v>
      </c>
      <c r="B6275" s="138">
        <f>'Acct Summary 7-8'!K82</f>
        <v>10465</v>
      </c>
      <c r="D6275" s="2" t="str">
        <f t="shared" si="97"/>
        <v>Error?</v>
      </c>
      <c r="E6275" s="2" t="s">
        <v>199</v>
      </c>
    </row>
    <row r="6276" spans="1:5" x14ac:dyDescent="0.2">
      <c r="A6276">
        <v>6215</v>
      </c>
      <c r="B6276" s="138">
        <f>'Acct Summary 7-8'!C83</f>
        <v>0.10486258129505312</v>
      </c>
      <c r="D6276" s="2" t="str">
        <f t="shared" si="97"/>
        <v>Error?</v>
      </c>
      <c r="E6276" s="2" t="s">
        <v>199</v>
      </c>
    </row>
    <row r="6277" spans="1:5" x14ac:dyDescent="0.2">
      <c r="A6277">
        <v>6216</v>
      </c>
      <c r="B6277" s="138">
        <f>'Acct Summary 7-8'!D83</f>
        <v>0.599939338792842</v>
      </c>
      <c r="D6277" s="2" t="str">
        <f t="shared" si="97"/>
        <v>Error?</v>
      </c>
      <c r="E6277" s="2" t="s">
        <v>199</v>
      </c>
    </row>
    <row r="6278" spans="1:5" x14ac:dyDescent="0.2">
      <c r="A6278">
        <v>6217</v>
      </c>
      <c r="B6278" s="138">
        <f>'Acct Summary 7-8'!E83</f>
        <v>1.1679081154286906</v>
      </c>
      <c r="D6278" s="2" t="str">
        <f t="shared" si="97"/>
        <v>Error?</v>
      </c>
      <c r="E6278" s="2" t="s">
        <v>199</v>
      </c>
    </row>
    <row r="6279" spans="1:5" x14ac:dyDescent="0.2">
      <c r="A6279">
        <v>6218</v>
      </c>
      <c r="B6279" s="138">
        <f>'Acct Summary 7-8'!F83</f>
        <v>0.25089247897380046</v>
      </c>
      <c r="D6279" s="2" t="str">
        <f t="shared" si="97"/>
        <v>Error?</v>
      </c>
      <c r="E6279" s="2" t="s">
        <v>199</v>
      </c>
    </row>
    <row r="6280" spans="1:5" x14ac:dyDescent="0.2">
      <c r="A6280">
        <v>6219</v>
      </c>
      <c r="B6280" s="138">
        <f>'Acct Summary 7-8'!G83</f>
        <v>-2.0953512046148627E-2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4.3282077314099991E-2</v>
      </c>
      <c r="D6282" s="2" t="str">
        <f t="shared" si="97"/>
        <v>Error?</v>
      </c>
      <c r="E6282" s="2" t="s">
        <v>199</v>
      </c>
    </row>
    <row r="6283" spans="1:5" x14ac:dyDescent="0.2">
      <c r="A6283">
        <v>6222</v>
      </c>
      <c r="B6283" s="138">
        <f>'Acct Summary 7-8'!J83</f>
        <v>0.26983101560640577</v>
      </c>
      <c r="D6283" s="2" t="str">
        <f t="shared" si="97"/>
        <v>Error?</v>
      </c>
      <c r="E6283" s="2" t="s">
        <v>199</v>
      </c>
    </row>
    <row r="6284" spans="1:5" x14ac:dyDescent="0.2">
      <c r="A6284">
        <v>6223</v>
      </c>
      <c r="B6284" s="138">
        <f>'Acct Summary 7-8'!K83</f>
        <v>0.19113806140527115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49901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49901</v>
      </c>
      <c r="D6301" s="2" t="str">
        <f t="shared" si="97"/>
        <v>Error?</v>
      </c>
      <c r="E6301" s="2" t="s">
        <v>199</v>
      </c>
    </row>
    <row r="6302" spans="1:5" x14ac:dyDescent="0.2">
      <c r="A6302">
        <v>6241</v>
      </c>
      <c r="B6302" s="138">
        <f>'Revenues 9-14'!J14</f>
        <v>58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49959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16524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17748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42023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49959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130</v>
      </c>
      <c r="D7073" s="2" t="str">
        <f t="shared" si="109"/>
        <v>Error?</v>
      </c>
    </row>
    <row r="7074" spans="1:4" x14ac:dyDescent="0.2">
      <c r="A7074">
        <v>7013</v>
      </c>
      <c r="B7074" s="138">
        <f>'Expenditures 15-22'!K216</f>
        <v>130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1543</v>
      </c>
      <c r="D7093" s="2" t="str">
        <f t="shared" si="109"/>
        <v>Error?</v>
      </c>
    </row>
    <row r="7094" spans="1:4" x14ac:dyDescent="0.2">
      <c r="A7094">
        <v>7033</v>
      </c>
      <c r="B7094" s="138">
        <f>'Expenditures 15-22'!K254</f>
        <v>1543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8957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8957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20178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20178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10063</v>
      </c>
      <c r="D7172" s="2" t="str">
        <f t="shared" si="111"/>
        <v>Error?</v>
      </c>
    </row>
    <row r="7173" spans="1:4" x14ac:dyDescent="0.2">
      <c r="A7173">
        <v>7112</v>
      </c>
      <c r="B7173" s="138">
        <f>'Expenditures 15-22'!D325</f>
        <v>111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10174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471</v>
      </c>
      <c r="D7198" s="2" t="str">
        <f t="shared" si="111"/>
        <v>Error?</v>
      </c>
    </row>
    <row r="7199" spans="1:4" x14ac:dyDescent="0.2">
      <c r="A7199">
        <v>7138</v>
      </c>
      <c r="B7199" s="138">
        <f>'Expenditures 15-22'!C330</f>
        <v>10063</v>
      </c>
      <c r="D7199" s="2" t="str">
        <f t="shared" si="111"/>
        <v>Error?</v>
      </c>
    </row>
    <row r="7200" spans="1:4" x14ac:dyDescent="0.2">
      <c r="A7200">
        <v>7139</v>
      </c>
      <c r="B7200" s="138">
        <f>'Expenditures 15-22'!D330</f>
        <v>111</v>
      </c>
      <c r="D7200" s="2" t="str">
        <f t="shared" si="111"/>
        <v>Error?</v>
      </c>
    </row>
    <row r="7201" spans="1:4" x14ac:dyDescent="0.2">
      <c r="A7201">
        <v>7140</v>
      </c>
      <c r="B7201" s="138">
        <f>'Expenditures 15-22'!E330</f>
        <v>31849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42023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10063</v>
      </c>
      <c r="D7216" s="2" t="str">
        <f t="shared" si="111"/>
        <v>Error?</v>
      </c>
    </row>
    <row r="7217" spans="1:4" x14ac:dyDescent="0.2">
      <c r="A7217">
        <v>7156</v>
      </c>
      <c r="B7217" s="138">
        <f>'Expenditures 15-22'!D342</f>
        <v>111</v>
      </c>
      <c r="D7217" s="2" t="str">
        <f t="shared" si="111"/>
        <v>Error?</v>
      </c>
    </row>
    <row r="7218" spans="1:4" x14ac:dyDescent="0.2">
      <c r="A7218">
        <v>7157</v>
      </c>
      <c r="B7218" s="138">
        <f>'Expenditures 15-22'!E342</f>
        <v>31849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42023</v>
      </c>
      <c r="D7224" s="2" t="str">
        <f t="shared" si="111"/>
        <v>Error?</v>
      </c>
    </row>
    <row r="7225" spans="1:4" x14ac:dyDescent="0.2">
      <c r="A7225">
        <v>7164</v>
      </c>
      <c r="B7225" s="138">
        <f>'Expenditures 15-22'!K343</f>
        <v>7936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1224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63677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4904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77642</v>
      </c>
      <c r="D7797" s="2" t="str">
        <f t="shared" si="127"/>
        <v>Error?</v>
      </c>
      <c r="E7797" s="4" t="s">
        <v>2020</v>
      </c>
    </row>
    <row r="7798" spans="1:5" x14ac:dyDescent="0.2">
      <c r="A7798">
        <v>7737</v>
      </c>
      <c r="B7798" s="138">
        <f>'Contracts Paid in CY 29'!F141</f>
        <v>42642</v>
      </c>
      <c r="D7798" s="2" t="str">
        <f t="shared" si="127"/>
        <v>Error?</v>
      </c>
      <c r="E7798" s="4" t="s">
        <v>2020</v>
      </c>
    </row>
    <row r="7799" spans="1:5" x14ac:dyDescent="0.2">
      <c r="A7799">
        <v>7738</v>
      </c>
      <c r="B7799" s="138">
        <f>'Contracts Paid in CY 29'!G141</f>
        <v>35000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7" zoomScale="110" zoomScaleNormal="110" workbookViewId="0">
      <selection activeCell="B5" sqref="B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Albers SD 63</v>
      </c>
      <c r="B7" s="2426"/>
      <c r="C7" s="2426"/>
      <c r="D7" s="2427"/>
      <c r="E7" s="2428">
        <f>COVER!A13</f>
        <v>13014063002</v>
      </c>
      <c r="F7" s="2429"/>
      <c r="G7" s="2435" t="str">
        <f>COVER!T23</f>
        <v>066-004976</v>
      </c>
      <c r="H7" s="2436"/>
      <c r="I7" s="2436"/>
      <c r="J7" s="2436"/>
      <c r="K7" s="2436"/>
      <c r="L7" s="24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8"/>
      <c r="B9" s="2439"/>
      <c r="C9" s="2439"/>
      <c r="D9" s="2439"/>
      <c r="E9" s="2439"/>
      <c r="F9" s="2440"/>
      <c r="G9" s="2409" t="str">
        <f>COVER!T13</f>
        <v>Glass and Shuffett, Ltd.</v>
      </c>
      <c r="H9" s="2441"/>
      <c r="I9" s="2441"/>
      <c r="J9" s="2441"/>
      <c r="K9" s="2441"/>
      <c r="L9" s="2442"/>
    </row>
    <row r="10" spans="1:29" ht="13.5" customHeight="1" x14ac:dyDescent="0.2">
      <c r="A10" s="2415" t="str">
        <f>COVER!A38</f>
        <v>Mike Toeben</v>
      </c>
      <c r="B10" s="2416"/>
      <c r="C10" s="2416"/>
      <c r="D10" s="2416"/>
      <c r="E10" s="2416"/>
      <c r="F10" s="2417"/>
      <c r="G10" s="2409" t="str">
        <f>COVER!T17</f>
        <v>1819 West McCord St., P.O. Box489</v>
      </c>
      <c r="H10" s="2410"/>
      <c r="I10" s="2410"/>
      <c r="J10" s="2410"/>
      <c r="K10" s="2410"/>
      <c r="L10" s="2411"/>
    </row>
    <row r="11" spans="1:29" ht="13.5" customHeight="1" x14ac:dyDescent="0.2">
      <c r="A11" s="1185" t="s">
        <v>1599</v>
      </c>
      <c r="B11" s="1186"/>
      <c r="C11" s="1187"/>
      <c r="D11" s="1192"/>
      <c r="E11" s="1187"/>
      <c r="F11" s="1191"/>
      <c r="G11" s="2409" t="str">
        <f>COVER!T19</f>
        <v>Centralia</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gandscpa@sbcglobal.net</v>
      </c>
      <c r="J13" s="2422"/>
      <c r="K13" s="2422"/>
      <c r="L13" s="2423"/>
    </row>
    <row r="14" spans="1:29" ht="13.5" customHeight="1" x14ac:dyDescent="0.2">
      <c r="A14" s="2409" t="str">
        <f>COVER!A19</f>
        <v>206 N. Broadway</v>
      </c>
      <c r="B14" s="2410"/>
      <c r="C14" s="2410"/>
      <c r="D14" s="2410"/>
      <c r="E14" s="2410"/>
      <c r="F14" s="2411"/>
      <c r="G14" s="1196" t="s">
        <v>1247</v>
      </c>
      <c r="H14" s="1194"/>
      <c r="I14" s="1194"/>
      <c r="J14" s="1194"/>
      <c r="K14" s="1194"/>
      <c r="L14" s="1195"/>
    </row>
    <row r="15" spans="1:29" ht="13.5" customHeight="1" x14ac:dyDescent="0.2">
      <c r="A15" s="2409" t="str">
        <f>COVER!A21</f>
        <v>Albers, IL</v>
      </c>
      <c r="B15" s="2410"/>
      <c r="C15" s="2410"/>
      <c r="D15" s="2410"/>
      <c r="E15" s="2410"/>
      <c r="F15" s="2411"/>
      <c r="G15" s="2406" t="str">
        <f>COVER!T15</f>
        <v>Frederick J Becker, CPA</v>
      </c>
      <c r="H15" s="2407"/>
      <c r="I15" s="2407"/>
      <c r="J15" s="2407"/>
      <c r="K15" s="2407"/>
      <c r="L15" s="2408"/>
    </row>
    <row r="16" spans="1:29" ht="12.2" customHeight="1" x14ac:dyDescent="0.2">
      <c r="A16" s="2431">
        <f>COVER!A25</f>
        <v>62215</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6" t="s">
        <v>1246</v>
      </c>
      <c r="H17" s="1194"/>
      <c r="I17" s="1194"/>
      <c r="J17" s="1194"/>
      <c r="K17" s="1198" t="s">
        <v>1245</v>
      </c>
      <c r="L17" s="1191"/>
      <c r="M17" s="1184"/>
    </row>
    <row r="18" spans="1:13" ht="12.2" customHeight="1" x14ac:dyDescent="0.2">
      <c r="A18" s="2415"/>
      <c r="B18" s="2416"/>
      <c r="C18" s="2416"/>
      <c r="D18" s="2416"/>
      <c r="E18" s="2416"/>
      <c r="F18" s="2417"/>
      <c r="G18" s="2425" t="str">
        <f>COVER!T21</f>
        <v>618-532-5683</v>
      </c>
      <c r="H18" s="2426"/>
      <c r="I18" s="2426"/>
      <c r="J18" s="2426"/>
      <c r="K18" s="2425" t="str">
        <f>COVER!X21</f>
        <v>618-532-5684</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5" sqref="B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Albers SD 63</v>
      </c>
      <c r="B1" s="2424"/>
      <c r="C1" s="2424"/>
      <c r="D1" s="2424"/>
    </row>
    <row r="2" spans="1:11" s="1215" customFormat="1" ht="12.75" x14ac:dyDescent="0.2">
      <c r="A2" s="2448">
        <f>'Single Audit Cover'!E7</f>
        <v>13014063002</v>
      </c>
      <c r="B2" s="2449"/>
      <c r="C2" s="2449"/>
      <c r="D2" s="2449"/>
    </row>
    <row r="3" spans="1:11" s="1215" customFormat="1" ht="12.75" x14ac:dyDescent="0.2">
      <c r="A3" s="2447" t="s">
        <v>1593</v>
      </c>
      <c r="B3" s="2424"/>
      <c r="C3" s="2424"/>
      <c r="D3" s="24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Albers SD 63</v>
      </c>
      <c r="B1" s="2451"/>
      <c r="C1" s="2451"/>
      <c r="D1" s="2451"/>
      <c r="E1" s="2451"/>
    </row>
    <row r="2" spans="1:5" x14ac:dyDescent="0.2">
      <c r="A2" s="2452">
        <f>'Single Audit Cover'!E7</f>
        <v>13014063002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59995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7123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-1028</v>
      </c>
    </row>
    <row r="19" spans="1:4" ht="13.5" thickBot="1" x14ac:dyDescent="0.25">
      <c r="A19" s="1265" t="s">
        <v>1297</v>
      </c>
      <c r="D19" s="1266">
        <f>SUM(D10:D17)</f>
        <v>66090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66090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0</v>
      </c>
    </row>
    <row r="49" spans="2:4" x14ac:dyDescent="0.2">
      <c r="B49" s="1272" t="s">
        <v>1288</v>
      </c>
      <c r="C49" s="1272"/>
      <c r="D49" s="1273">
        <f>D32-D47</f>
        <v>66090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5" sqref="B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Albers SD 63</v>
      </c>
      <c r="B1" s="2464"/>
      <c r="C1" s="2464"/>
      <c r="D1" s="2464"/>
      <c r="E1" s="2464"/>
      <c r="F1" s="2464"/>
    </row>
    <row r="2" spans="1:7" ht="13.5" customHeight="1" x14ac:dyDescent="0.2">
      <c r="A2" s="2465">
        <f>'Single Audit Cover'!E7</f>
        <v>13014063002</v>
      </c>
      <c r="B2" s="2465"/>
      <c r="C2" s="2465"/>
      <c r="D2" s="2465"/>
      <c r="E2" s="2465"/>
      <c r="F2" s="2465"/>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3" t="s">
        <v>1832</v>
      </c>
      <c r="B7" s="2463"/>
      <c r="C7" s="2463"/>
      <c r="D7" s="2463"/>
      <c r="E7" s="2463"/>
      <c r="F7" s="246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3" t="s">
        <v>1834</v>
      </c>
      <c r="B13" s="2463"/>
      <c r="C13" s="2463"/>
      <c r="D13" s="2463"/>
      <c r="E13" s="2463"/>
      <c r="F13" s="2463"/>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1835</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Albers SD 63</v>
      </c>
      <c r="C1" s="2468"/>
      <c r="D1" s="2468"/>
      <c r="E1" s="2468"/>
      <c r="F1" s="2468"/>
      <c r="G1" s="2468"/>
      <c r="H1" s="2468"/>
      <c r="I1" s="2468"/>
      <c r="J1" s="2468"/>
      <c r="K1" s="2468"/>
      <c r="L1" s="2468"/>
      <c r="M1" s="2468"/>
    </row>
    <row r="2" spans="2:14" ht="15" x14ac:dyDescent="0.2">
      <c r="B2" s="2465">
        <f>'Single Audit Cover'!E7</f>
        <v>13014063002</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2106</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5" sqref="B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Albers SD 63</v>
      </c>
      <c r="C1" s="2483"/>
      <c r="D1" s="2483"/>
      <c r="E1" s="2483"/>
      <c r="F1" s="2483"/>
      <c r="G1" s="2483"/>
      <c r="H1" s="2483"/>
      <c r="I1" s="2483"/>
      <c r="J1" s="1422"/>
    </row>
    <row r="2" spans="2:10" s="317" customFormat="1" ht="12.75" customHeight="1" x14ac:dyDescent="0.2">
      <c r="B2" s="2484">
        <f>'Single Audit Cover'!E7</f>
        <v>13014063002</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c r="E29" s="2489"/>
      <c r="F29" s="2489"/>
      <c r="G29" s="2489"/>
      <c r="H29" s="2489"/>
      <c r="I29" s="248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0" t="s">
        <v>1854</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71" t="s">
        <v>1675</v>
      </c>
      <c r="D43" s="2472"/>
      <c r="E43" s="2472"/>
      <c r="F43" s="2473"/>
      <c r="G43" s="2474">
        <f>SUM(G38:I42)</f>
        <v>0</v>
      </c>
      <c r="H43" s="2474"/>
      <c r="I43" s="2474"/>
    </row>
    <row r="44" spans="2:9" ht="12.75" customHeight="1" x14ac:dyDescent="0.2"/>
    <row r="45" spans="2:9" ht="12.75" customHeight="1" x14ac:dyDescent="0.2">
      <c r="B45" s="1435" t="s">
        <v>1952</v>
      </c>
      <c r="D45" s="2475">
        <v>0</v>
      </c>
      <c r="E45" s="247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7"/>
      <c r="F49" s="2477"/>
      <c r="G49" s="247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Albers SD 63</v>
      </c>
      <c r="C1" s="2482"/>
      <c r="D1" s="2482"/>
      <c r="E1" s="2482"/>
      <c r="F1" s="2482"/>
      <c r="G1" s="2482"/>
      <c r="H1" s="2482"/>
      <c r="I1" s="2482"/>
      <c r="J1" s="2482"/>
      <c r="K1" s="2482"/>
      <c r="L1" s="1374"/>
      <c r="M1" s="1374"/>
    </row>
    <row r="2" spans="1:13" ht="12" customHeight="1" x14ac:dyDescent="0.2">
      <c r="B2" s="2484">
        <f>'Single Audit Cover'!E7</f>
        <v>13014063002</v>
      </c>
      <c r="C2" s="2484"/>
      <c r="D2" s="2484"/>
      <c r="E2" s="2484"/>
      <c r="F2" s="2484"/>
      <c r="G2" s="2484"/>
      <c r="H2" s="2484"/>
      <c r="I2" s="2484"/>
      <c r="J2" s="2484"/>
      <c r="K2" s="2484"/>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Albers SD 63</v>
      </c>
      <c r="C1" s="2505"/>
      <c r="D1" s="2505"/>
      <c r="E1" s="2505"/>
      <c r="F1" s="2505"/>
      <c r="G1" s="2505"/>
      <c r="H1" s="2505"/>
      <c r="I1" s="2505"/>
      <c r="J1" s="2505"/>
      <c r="K1" s="2505"/>
      <c r="L1" s="1465"/>
    </row>
    <row r="2" spans="1:12" ht="12.75" customHeight="1" x14ac:dyDescent="0.2">
      <c r="B2" s="2506">
        <f>'Single Audit Cover'!E7</f>
        <v>13014063002</v>
      </c>
      <c r="C2" s="2506"/>
      <c r="D2" s="2506"/>
      <c r="E2" s="2506"/>
      <c r="F2" s="2506"/>
      <c r="G2" s="2506"/>
      <c r="H2" s="2506"/>
      <c r="I2" s="2506"/>
      <c r="J2" s="2506"/>
      <c r="K2" s="2506"/>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Albers SD 63</v>
      </c>
      <c r="C1" s="2482"/>
      <c r="D1" s="2482"/>
      <c r="E1" s="1491"/>
    </row>
    <row r="2" spans="2:5" s="1282" customFormat="1" ht="12.75" customHeight="1" x14ac:dyDescent="0.2">
      <c r="B2" s="2484">
        <f>'Single Audit Cover'!E7</f>
        <v>13014063002</v>
      </c>
      <c r="C2" s="2484"/>
      <c r="D2" s="2484"/>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 sqref="B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25340053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1.6E-2</v>
      </c>
      <c r="E10" s="356" t="s">
        <v>1062</v>
      </c>
      <c r="F10" s="355">
        <v>2.5000000000000001E-3</v>
      </c>
      <c r="G10" s="356" t="s">
        <v>1062</v>
      </c>
      <c r="H10" s="355">
        <v>1.1999999999999999E-3</v>
      </c>
      <c r="I10" s="356" t="s">
        <v>1063</v>
      </c>
      <c r="J10" s="1754">
        <f>ROUND(D10+F10+H10,5)</f>
        <v>1.9699999999999999E-2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1441532</v>
      </c>
      <c r="E16" s="356"/>
      <c r="F16" s="1755">
        <f>SUM('Acct Summary 7-8'!C17,'Acct Summary 7-8'!D17,'Acct Summary 7-8'!F17)</f>
        <v>1252874</v>
      </c>
      <c r="G16" s="356"/>
      <c r="H16" s="1755">
        <f>SUM(D16-F16)</f>
        <v>188658</v>
      </c>
      <c r="I16" s="222"/>
      <c r="J16" s="1755">
        <f>SUM('Acct Summary 7-8'!C81,'Acct Summary 7-8'!D81,'Acct Summary 7-8'!F81,'Acct Summary 7-8'!I81)</f>
        <v>1655703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2093</v>
      </c>
      <c r="C31" s="367" t="s">
        <v>607</v>
      </c>
      <c r="D31" s="237" t="s">
        <v>1132</v>
      </c>
      <c r="E31" s="222"/>
      <c r="F31" s="222"/>
      <c r="G31" s="363"/>
      <c r="H31" s="1757">
        <f>IF(B31="X",(J7*0.069),IF(B32="X",(J7*0.138),"Enter x in a.or b."))</f>
        <v>1748463.6570000001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61200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B5" sqref="B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Albers SD 63</v>
      </c>
      <c r="E7" s="391"/>
      <c r="G7" s="252"/>
      <c r="H7" s="387"/>
      <c r="I7" s="387"/>
      <c r="J7" s="387"/>
      <c r="K7" s="387"/>
      <c r="L7" s="329"/>
      <c r="M7" s="329"/>
      <c r="N7" s="329"/>
      <c r="O7" s="329"/>
      <c r="P7" s="329"/>
    </row>
    <row r="8" spans="1:18" ht="12.75" x14ac:dyDescent="0.2">
      <c r="A8" s="329"/>
      <c r="B8" s="329"/>
      <c r="C8" s="389" t="s">
        <v>1187</v>
      </c>
      <c r="D8" s="392">
        <f>COVER!A13</f>
        <v>13014063002</v>
      </c>
      <c r="E8" s="393"/>
      <c r="G8" s="329"/>
      <c r="H8" s="329"/>
      <c r="I8" s="329"/>
      <c r="J8" s="329"/>
      <c r="K8" s="329"/>
      <c r="L8" s="329"/>
      <c r="M8" s="329"/>
      <c r="N8" s="329"/>
      <c r="O8" s="329"/>
      <c r="P8" s="329"/>
    </row>
    <row r="9" spans="1:18" ht="12.75" x14ac:dyDescent="0.2">
      <c r="A9" s="329"/>
      <c r="B9" s="329"/>
      <c r="C9" s="389" t="s">
        <v>737</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1655703</v>
      </c>
      <c r="I12" s="404"/>
      <c r="J12" s="404"/>
      <c r="K12" s="405">
        <f>TRUNC((H12/H13*100000),5)/100000</f>
        <v>1.1485717972</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1441532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1252874</v>
      </c>
      <c r="I17" s="404"/>
      <c r="J17" s="416"/>
      <c r="K17" s="405">
        <f>TRUNC((H17/H18*100000),5)/100000</f>
        <v>0.86912673460000001</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1441532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1617307</v>
      </c>
      <c r="I24" s="422"/>
      <c r="J24" s="422"/>
      <c r="K24" s="423">
        <f>TRUNC(((H24/H25*100000)/100000),2)</f>
        <v>464.71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3480.2055599999999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424319.18748999998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61200</v>
      </c>
      <c r="I32" s="420"/>
      <c r="J32" s="420"/>
      <c r="K32" s="423">
        <f>TRUNC(100-((((H32/H33*100))*100)/100),2)</f>
        <v>96.49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1748463.6570000001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9" colorId="8" zoomScale="110" zoomScaleNormal="110" workbookViewId="0">
      <selection activeCell="B5" sqref="B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f>3000+933407</f>
        <v>936407</v>
      </c>
      <c r="D4" s="466">
        <v>46158</v>
      </c>
      <c r="E4" s="466">
        <v>0</v>
      </c>
      <c r="F4" s="466">
        <v>66108</v>
      </c>
      <c r="G4" s="466">
        <f>-7349+19137</f>
        <v>11788</v>
      </c>
      <c r="H4" s="466">
        <v>0</v>
      </c>
      <c r="I4" s="466">
        <f>245278</f>
        <v>245278</v>
      </c>
      <c r="J4" s="467">
        <v>29411</v>
      </c>
      <c r="K4" s="466">
        <v>54751</v>
      </c>
      <c r="L4" s="466"/>
      <c r="M4" s="468"/>
      <c r="N4" s="469"/>
    </row>
    <row r="5" spans="1:14" x14ac:dyDescent="0.2">
      <c r="A5" s="463" t="s">
        <v>1049</v>
      </c>
      <c r="B5" s="470">
        <v>120</v>
      </c>
      <c r="C5" s="465">
        <f>61200+262156</f>
        <v>323356</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38396</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1259763</v>
      </c>
      <c r="D13" s="1759">
        <f t="shared" ref="D13:L13" si="0">SUM(D4:D12)</f>
        <v>46158</v>
      </c>
      <c r="E13" s="1759">
        <f t="shared" si="0"/>
        <v>0</v>
      </c>
      <c r="F13" s="1759">
        <f t="shared" si="0"/>
        <v>66108</v>
      </c>
      <c r="G13" s="1759">
        <f t="shared" si="0"/>
        <v>11788</v>
      </c>
      <c r="H13" s="1759">
        <f t="shared" si="0"/>
        <v>0</v>
      </c>
      <c r="I13" s="1759">
        <f t="shared" si="0"/>
        <v>283674</v>
      </c>
      <c r="J13" s="1759">
        <f t="shared" si="0"/>
        <v>29411</v>
      </c>
      <c r="K13" s="1759">
        <f t="shared" si="0"/>
        <v>54751</v>
      </c>
      <c r="L13" s="1759">
        <f t="shared" si="0"/>
        <v>0</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2642972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447723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61200</v>
      </c>
    </row>
    <row r="23" spans="1:14" ht="13.5" customHeight="1" thickBot="1" x14ac:dyDescent="0.25">
      <c r="A23" s="1758" t="s">
        <v>664</v>
      </c>
      <c r="B23" s="1763"/>
      <c r="C23" s="468"/>
      <c r="D23" s="468"/>
      <c r="E23" s="468"/>
      <c r="F23" s="468"/>
      <c r="G23" s="468"/>
      <c r="H23" s="468"/>
      <c r="I23" s="468"/>
      <c r="J23" s="468"/>
      <c r="K23" s="468"/>
      <c r="L23" s="468"/>
      <c r="M23" s="1710">
        <f>SUM(M15:M22)</f>
        <v>3090695</v>
      </c>
      <c r="N23" s="1710">
        <f>SUM(N21:N22)</f>
        <v>61200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v>38396</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38396</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61200</v>
      </c>
    </row>
    <row r="37" spans="1:14" ht="13.5" thickBot="1" x14ac:dyDescent="0.25">
      <c r="A37" s="1758" t="s">
        <v>674</v>
      </c>
      <c r="B37" s="1763"/>
      <c r="C37" s="477"/>
      <c r="D37" s="477"/>
      <c r="E37" s="477"/>
      <c r="F37" s="477"/>
      <c r="G37" s="477"/>
      <c r="H37" s="477"/>
      <c r="I37" s="477"/>
      <c r="J37" s="477"/>
      <c r="K37" s="477"/>
      <c r="L37" s="480"/>
      <c r="M37" s="468"/>
      <c r="N37" s="1710">
        <f>SUM(N36:N36)</f>
        <v>61200</v>
      </c>
    </row>
    <row r="38" spans="1:14" s="329" customFormat="1" ht="13.5" customHeight="1" thickTop="1" x14ac:dyDescent="0.2">
      <c r="A38" s="496" t="s">
        <v>440</v>
      </c>
      <c r="B38" s="483">
        <v>714</v>
      </c>
      <c r="C38" s="466"/>
      <c r="D38" s="466">
        <v>683</v>
      </c>
      <c r="E38" s="466"/>
      <c r="F38" s="466"/>
      <c r="G38" s="466"/>
      <c r="H38" s="466"/>
      <c r="I38" s="466"/>
      <c r="J38" s="467"/>
      <c r="K38" s="466"/>
      <c r="L38" s="481"/>
      <c r="M38" s="497"/>
      <c r="N38" s="497"/>
    </row>
    <row r="39" spans="1:14" s="329" customFormat="1" ht="13.5" customHeight="1" x14ac:dyDescent="0.2">
      <c r="A39" s="496" t="s">
        <v>360</v>
      </c>
      <c r="B39" s="483">
        <v>730</v>
      </c>
      <c r="C39" s="466">
        <f>C13-C34</f>
        <v>1259763</v>
      </c>
      <c r="D39" s="466">
        <f>D13-D34-D38</f>
        <v>45475</v>
      </c>
      <c r="E39" s="466">
        <f>E13-E34</f>
        <v>-38396</v>
      </c>
      <c r="F39" s="466">
        <f>F13-F34</f>
        <v>66108</v>
      </c>
      <c r="G39" s="466">
        <f>G13-G34</f>
        <v>11788</v>
      </c>
      <c r="H39" s="466">
        <v>0</v>
      </c>
      <c r="I39" s="466">
        <f>I13-I33</f>
        <v>283674</v>
      </c>
      <c r="J39" s="467">
        <f>J13-J34</f>
        <v>29411</v>
      </c>
      <c r="K39" s="466">
        <f>K13-K34</f>
        <v>54751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3090695</v>
      </c>
      <c r="N40" s="497"/>
    </row>
    <row r="41" spans="1:14" ht="13.5" customHeight="1" thickBot="1" x14ac:dyDescent="0.25">
      <c r="A41" s="1758" t="s">
        <v>676</v>
      </c>
      <c r="B41" s="1728"/>
      <c r="C41" s="1710">
        <f>(SUM(C34,C37,C38,C39))</f>
        <v>1259763</v>
      </c>
      <c r="D41" s="1710">
        <f t="shared" ref="D41:L41" si="2">SUM(D34,D37,D38:D39)</f>
        <v>46158</v>
      </c>
      <c r="E41" s="1710">
        <f t="shared" si="2"/>
        <v>0</v>
      </c>
      <c r="F41" s="1710">
        <f t="shared" si="2"/>
        <v>66108</v>
      </c>
      <c r="G41" s="1710">
        <f t="shared" si="2"/>
        <v>11788</v>
      </c>
      <c r="H41" s="1710">
        <f t="shared" si="2"/>
        <v>0</v>
      </c>
      <c r="I41" s="1710">
        <f t="shared" si="2"/>
        <v>283674</v>
      </c>
      <c r="J41" s="1710">
        <f t="shared" si="2"/>
        <v>29411</v>
      </c>
      <c r="K41" s="1710">
        <f t="shared" si="2"/>
        <v>54751</v>
      </c>
      <c r="L41" s="1710">
        <f t="shared" si="2"/>
        <v>0</v>
      </c>
      <c r="M41" s="1710">
        <f>SUM(M40)</f>
        <v>3090695</v>
      </c>
      <c r="N41" s="1710">
        <f>SUM(N37)</f>
        <v>61200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546749</v>
      </c>
      <c r="D4" s="1764">
        <f>'Revenues 9-14'!D109</f>
        <v>70193</v>
      </c>
      <c r="E4" s="1764">
        <f>'Revenues 9-14'!E109</f>
        <v>62989</v>
      </c>
      <c r="F4" s="1764">
        <f>'Revenues 9-14'!F109</f>
        <v>60728</v>
      </c>
      <c r="G4" s="1764">
        <f>'Revenues 9-14'!G109</f>
        <v>43174</v>
      </c>
      <c r="H4" s="1764">
        <f>'Revenues 9-14'!H109</f>
        <v>0</v>
      </c>
      <c r="I4" s="1764">
        <f>'Revenues 9-14'!I109</f>
        <v>12278</v>
      </c>
      <c r="J4" s="1764">
        <f>'Revenues 9-14'!J109</f>
        <v>49959</v>
      </c>
      <c r="K4" s="1764">
        <f>'Revenues 9-14'!K109</f>
        <v>12278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572859</v>
      </c>
      <c r="D6" s="1765">
        <f>'Revenues 9-14'!D173</f>
        <v>82520</v>
      </c>
      <c r="E6" s="1765">
        <f>'Revenues 9-14'!E173</f>
        <v>0</v>
      </c>
      <c r="F6" s="1765">
        <f>'Revenues 9-14'!F173</f>
        <v>36210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59995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1179603</v>
      </c>
      <c r="D8" s="1710">
        <f t="shared" ref="D8:K8" si="0">SUM(D4:D7)</f>
        <v>152713</v>
      </c>
      <c r="E8" s="1710">
        <f t="shared" si="0"/>
        <v>62989</v>
      </c>
      <c r="F8" s="1710">
        <f t="shared" si="0"/>
        <v>96938</v>
      </c>
      <c r="G8" s="1710">
        <f t="shared" si="0"/>
        <v>43174</v>
      </c>
      <c r="H8" s="1710">
        <f t="shared" si="0"/>
        <v>0</v>
      </c>
      <c r="I8" s="1710">
        <f t="shared" si="0"/>
        <v>12278</v>
      </c>
      <c r="J8" s="1710">
        <f t="shared" si="0"/>
        <v>49959</v>
      </c>
      <c r="K8" s="1710">
        <f t="shared" si="0"/>
        <v>12278</v>
      </c>
      <c r="L8" s="347"/>
    </row>
    <row r="9" spans="1:13" ht="15.75" thickTop="1" x14ac:dyDescent="0.2">
      <c r="A9" s="514" t="s">
        <v>1752</v>
      </c>
      <c r="B9" s="515">
        <v>3998</v>
      </c>
      <c r="C9" s="481">
        <v>278200</v>
      </c>
      <c r="D9" s="516"/>
      <c r="E9" s="481"/>
      <c r="F9" s="481"/>
      <c r="G9" s="517"/>
      <c r="H9" s="481"/>
      <c r="I9" s="509" t="s">
        <v>1231</v>
      </c>
      <c r="J9" s="478"/>
      <c r="K9" s="481"/>
      <c r="L9" s="347"/>
    </row>
    <row r="10" spans="1:13" s="519" customFormat="1" ht="13.5" thickBot="1" x14ac:dyDescent="0.25">
      <c r="A10" s="1758" t="s">
        <v>1235</v>
      </c>
      <c r="B10" s="1731"/>
      <c r="C10" s="1710">
        <f>SUM(C8:C9)</f>
        <v>1457803</v>
      </c>
      <c r="D10" s="1710">
        <f t="shared" ref="D10:K10" si="1">SUM(D8:D9)</f>
        <v>152713</v>
      </c>
      <c r="E10" s="1710">
        <f t="shared" si="1"/>
        <v>62989</v>
      </c>
      <c r="F10" s="1710">
        <f t="shared" si="1"/>
        <v>96938</v>
      </c>
      <c r="G10" s="1710">
        <f t="shared" si="1"/>
        <v>43174</v>
      </c>
      <c r="H10" s="1710">
        <f t="shared" si="1"/>
        <v>0</v>
      </c>
      <c r="I10" s="1710">
        <f t="shared" si="1"/>
        <v>12278</v>
      </c>
      <c r="J10" s="1710">
        <f t="shared" si="1"/>
        <v>49959</v>
      </c>
      <c r="K10" s="1710">
        <f t="shared" si="1"/>
        <v>12278</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750362</v>
      </c>
      <c r="D12" s="520" t="s">
        <v>1231</v>
      </c>
      <c r="E12" s="468" t="s">
        <v>1231</v>
      </c>
      <c r="F12" s="468" t="s">
        <v>1231</v>
      </c>
      <c r="G12" s="1764">
        <f>'Expenditures 15-22'!K229</f>
        <v>18846</v>
      </c>
      <c r="H12" s="521"/>
      <c r="I12" s="468" t="s">
        <v>1231</v>
      </c>
      <c r="J12" s="468" t="s">
        <v>1231</v>
      </c>
      <c r="K12" s="521" t="s">
        <v>1231</v>
      </c>
      <c r="L12" s="347"/>
    </row>
    <row r="13" spans="1:13" ht="15.75" customHeight="1" x14ac:dyDescent="0.2">
      <c r="A13" s="1598" t="s">
        <v>477</v>
      </c>
      <c r="B13" s="1600">
        <v>2000</v>
      </c>
      <c r="C13" s="1765">
        <f>'Expenditures 15-22'!K74</f>
        <v>255683</v>
      </c>
      <c r="D13" s="1765">
        <f>'Expenditures 15-22'!K129</f>
        <v>125021</v>
      </c>
      <c r="E13" s="469" t="s">
        <v>1231</v>
      </c>
      <c r="F13" s="1765">
        <f>'Expenditures 15-22'!K184</f>
        <v>80352</v>
      </c>
      <c r="G13" s="1765">
        <f>'Expenditures 15-22'!K279</f>
        <v>24575</v>
      </c>
      <c r="H13" s="1765">
        <f>'Expenditures 15-22'!K303</f>
        <v>0</v>
      </c>
      <c r="I13" s="468" t="s">
        <v>1231</v>
      </c>
      <c r="J13" s="1765">
        <f>'Expenditures 15-22'!K330</f>
        <v>42023</v>
      </c>
      <c r="K13" s="1769">
        <f>'Expenditures 15-22'!K352</f>
        <v>1813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41456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107832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1047501</v>
      </c>
      <c r="D17" s="1710">
        <f t="shared" si="2"/>
        <v>125021</v>
      </c>
      <c r="E17" s="1710">
        <f t="shared" si="2"/>
        <v>107832</v>
      </c>
      <c r="F17" s="1710">
        <f t="shared" si="2"/>
        <v>80352</v>
      </c>
      <c r="G17" s="1710">
        <f t="shared" si="2"/>
        <v>43421</v>
      </c>
      <c r="H17" s="1710">
        <f t="shared" si="2"/>
        <v>0</v>
      </c>
      <c r="I17" s="468"/>
      <c r="J17" s="1710">
        <f>SUM(J12:J16)</f>
        <v>42023</v>
      </c>
      <c r="K17" s="1710">
        <f>SUM(K12:K16)</f>
        <v>1813</v>
      </c>
      <c r="L17" s="347"/>
    </row>
    <row r="18" spans="1:12" ht="15" customHeight="1" thickTop="1" x14ac:dyDescent="0.2">
      <c r="A18" s="1766" t="s">
        <v>1753</v>
      </c>
      <c r="B18" s="1767">
        <v>4180</v>
      </c>
      <c r="C18" s="1764">
        <f t="shared" ref="C18:H18" si="3">C9</f>
        <v>278200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1325701</v>
      </c>
      <c r="D19" s="1710">
        <f t="shared" si="4"/>
        <v>125021</v>
      </c>
      <c r="E19" s="1710">
        <f t="shared" si="4"/>
        <v>107832</v>
      </c>
      <c r="F19" s="1710">
        <f t="shared" si="4"/>
        <v>80352</v>
      </c>
      <c r="G19" s="1710">
        <f t="shared" si="4"/>
        <v>43421</v>
      </c>
      <c r="H19" s="1710">
        <f t="shared" si="4"/>
        <v>0</v>
      </c>
      <c r="I19" s="468"/>
      <c r="J19" s="1710">
        <f>SUM(J17:J18)</f>
        <v>42023</v>
      </c>
      <c r="K19" s="1710">
        <f>SUM(K17:K18)</f>
        <v>1813</v>
      </c>
      <c r="L19" s="347"/>
    </row>
    <row r="20" spans="1:12" ht="16.5" thickTop="1" thickBot="1" x14ac:dyDescent="0.25">
      <c r="A20" s="2148" t="s">
        <v>1754</v>
      </c>
      <c r="B20" s="2149"/>
      <c r="C20" s="1768">
        <f>C8-C17</f>
        <v>132102</v>
      </c>
      <c r="D20" s="1768">
        <f t="shared" ref="D20:K20" si="5">D8-D17</f>
        <v>27692</v>
      </c>
      <c r="E20" s="1768">
        <f t="shared" si="5"/>
        <v>-44843</v>
      </c>
      <c r="F20" s="1768">
        <f t="shared" si="5"/>
        <v>16586</v>
      </c>
      <c r="G20" s="1768">
        <f t="shared" si="5"/>
        <v>-247</v>
      </c>
      <c r="H20" s="1768">
        <f t="shared" si="5"/>
        <v>0</v>
      </c>
      <c r="I20" s="1768">
        <f t="shared" si="5"/>
        <v>12278</v>
      </c>
      <c r="J20" s="1768">
        <f t="shared" si="5"/>
        <v>7936</v>
      </c>
      <c r="K20" s="1768">
        <f t="shared" si="5"/>
        <v>10465</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132102</v>
      </c>
      <c r="D78" s="1724">
        <f t="shared" si="9"/>
        <v>27692</v>
      </c>
      <c r="E78" s="1724">
        <f t="shared" si="9"/>
        <v>-44843</v>
      </c>
      <c r="F78" s="1724">
        <f t="shared" si="9"/>
        <v>16586</v>
      </c>
      <c r="G78" s="1724">
        <f t="shared" si="9"/>
        <v>-247</v>
      </c>
      <c r="H78" s="1724">
        <f t="shared" si="9"/>
        <v>0</v>
      </c>
      <c r="I78" s="1724">
        <f t="shared" si="9"/>
        <v>12278</v>
      </c>
      <c r="J78" s="1724">
        <f t="shared" si="9"/>
        <v>7936</v>
      </c>
      <c r="K78" s="1724">
        <f t="shared" si="9"/>
        <v>10465</v>
      </c>
      <c r="L78" s="533"/>
    </row>
    <row r="79" spans="1:12" ht="13.5" thickTop="1" x14ac:dyDescent="0.2">
      <c r="A79" s="1516" t="s">
        <v>2073</v>
      </c>
      <c r="B79" s="534"/>
      <c r="C79" s="478">
        <v>1127661</v>
      </c>
      <c r="D79" s="535">
        <v>18466</v>
      </c>
      <c r="E79" s="535">
        <v>6447</v>
      </c>
      <c r="F79" s="535">
        <v>49522</v>
      </c>
      <c r="G79" s="535">
        <v>12035</v>
      </c>
      <c r="H79" s="535">
        <v>0</v>
      </c>
      <c r="I79" s="535">
        <v>271396</v>
      </c>
      <c r="J79" s="535">
        <v>21475</v>
      </c>
      <c r="K79" s="535">
        <v>44286</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1259763</v>
      </c>
      <c r="D81" s="1710">
        <f>SUM(D78:D80)</f>
        <v>46158</v>
      </c>
      <c r="E81" s="1710">
        <f t="shared" ref="E81:K81" si="10">SUM(E78:E80)</f>
        <v>-38396</v>
      </c>
      <c r="F81" s="1710">
        <f t="shared" si="10"/>
        <v>66108</v>
      </c>
      <c r="G81" s="1710">
        <f t="shared" si="10"/>
        <v>11788</v>
      </c>
      <c r="H81" s="1710">
        <f t="shared" si="10"/>
        <v>0</v>
      </c>
      <c r="I81" s="1710">
        <f t="shared" si="10"/>
        <v>283674</v>
      </c>
      <c r="J81" s="1710">
        <f t="shared" si="10"/>
        <v>29411</v>
      </c>
      <c r="K81" s="1710">
        <f t="shared" si="10"/>
        <v>54751</v>
      </c>
      <c r="L81" s="347"/>
    </row>
    <row r="82" spans="1:12" ht="0.75" customHeight="1" thickTop="1" thickBot="1" x14ac:dyDescent="0.25">
      <c r="A82" s="536" t="s">
        <v>361</v>
      </c>
      <c r="B82" s="537"/>
      <c r="C82" s="538">
        <f>(C81-C79)</f>
        <v>132102</v>
      </c>
      <c r="D82" s="538">
        <f t="shared" ref="D82:K82" si="11">(D81-D79)</f>
        <v>27692</v>
      </c>
      <c r="E82" s="538">
        <f t="shared" si="11"/>
        <v>-44843</v>
      </c>
      <c r="F82" s="538">
        <f t="shared" si="11"/>
        <v>16586</v>
      </c>
      <c r="G82" s="538">
        <f t="shared" si="11"/>
        <v>-247</v>
      </c>
      <c r="H82" s="538">
        <f t="shared" si="11"/>
        <v>0</v>
      </c>
      <c r="I82" s="538">
        <f t="shared" si="11"/>
        <v>12278</v>
      </c>
      <c r="J82" s="538">
        <f t="shared" si="11"/>
        <v>7936</v>
      </c>
      <c r="K82" s="538">
        <f t="shared" si="11"/>
        <v>10465</v>
      </c>
    </row>
    <row r="83" spans="1:12" ht="14.25" hidden="1" thickTop="1" thickBot="1" x14ac:dyDescent="0.25">
      <c r="A83" s="539" t="s">
        <v>362</v>
      </c>
      <c r="B83" s="464"/>
      <c r="C83" s="540">
        <f>C82/C81</f>
        <v>0.10486258129505312</v>
      </c>
      <c r="D83" s="540">
        <f t="shared" ref="D83:K83" si="12">D82/D81</f>
        <v>0.599939338792842</v>
      </c>
      <c r="E83" s="540">
        <f t="shared" si="12"/>
        <v>1.1679081154286906</v>
      </c>
      <c r="F83" s="540">
        <f t="shared" si="12"/>
        <v>0.25089247897380046</v>
      </c>
      <c r="G83" s="540">
        <f t="shared" si="12"/>
        <v>-2.0953512046148627E-2</v>
      </c>
      <c r="H83" s="540" t="e">
        <f t="shared" si="12"/>
        <v>#DIV/0!</v>
      </c>
      <c r="I83" s="540">
        <f t="shared" si="12"/>
        <v>4.3282077314099991E-2</v>
      </c>
      <c r="J83" s="540">
        <f t="shared" si="12"/>
        <v>0.26983101560640577</v>
      </c>
      <c r="K83" s="540">
        <f t="shared" si="12"/>
        <v>0.19113806140527115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D6" sqref="D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392358</f>
        <v>392358</v>
      </c>
      <c r="D5" s="481">
        <v>61306</v>
      </c>
      <c r="E5" s="466">
        <v>62892</v>
      </c>
      <c r="F5" s="548">
        <v>29427</v>
      </c>
      <c r="G5" s="466">
        <v>14471</v>
      </c>
      <c r="H5" s="466"/>
      <c r="I5" s="466">
        <v>12261</v>
      </c>
      <c r="J5" s="467">
        <v>49901</v>
      </c>
      <c r="K5" s="466">
        <v>12261</v>
      </c>
    </row>
    <row r="6" spans="1:12" ht="15" x14ac:dyDescent="0.2">
      <c r="A6" s="463" t="s">
        <v>1761</v>
      </c>
      <c r="B6" s="470">
        <v>1130</v>
      </c>
      <c r="C6" s="466">
        <v>7079</v>
      </c>
      <c r="D6" s="466">
        <v>5183</v>
      </c>
      <c r="E6" s="475"/>
      <c r="F6" s="475"/>
      <c r="G6" s="468"/>
      <c r="H6" s="468"/>
      <c r="I6" s="468"/>
      <c r="J6" s="468"/>
      <c r="K6" s="468"/>
    </row>
    <row r="7" spans="1:12" x14ac:dyDescent="0.2">
      <c r="A7" s="463" t="s">
        <v>112</v>
      </c>
      <c r="B7" s="549">
        <v>1140</v>
      </c>
      <c r="C7" s="466">
        <v>4904</v>
      </c>
      <c r="D7" s="466"/>
      <c r="E7" s="468"/>
      <c r="F7" s="467"/>
      <c r="G7" s="467"/>
      <c r="H7" s="467"/>
      <c r="I7" s="468"/>
      <c r="J7" s="468"/>
      <c r="K7" s="468"/>
    </row>
    <row r="8" spans="1:12" x14ac:dyDescent="0.2">
      <c r="A8" s="463" t="s">
        <v>433</v>
      </c>
      <c r="B8" s="470">
        <v>1150</v>
      </c>
      <c r="C8" s="475"/>
      <c r="D8" s="475"/>
      <c r="E8" s="477"/>
      <c r="F8" s="477"/>
      <c r="G8" s="481">
        <v>25947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404341</v>
      </c>
      <c r="D12" s="1729">
        <f t="shared" si="0"/>
        <v>66489</v>
      </c>
      <c r="E12" s="1729">
        <f t="shared" si="0"/>
        <v>62892</v>
      </c>
      <c r="F12" s="1729">
        <f t="shared" si="0"/>
        <v>29427</v>
      </c>
      <c r="G12" s="1729">
        <f t="shared" si="0"/>
        <v>40418</v>
      </c>
      <c r="H12" s="1729">
        <f t="shared" si="0"/>
        <v>0</v>
      </c>
      <c r="I12" s="1729">
        <f t="shared" si="0"/>
        <v>12261</v>
      </c>
      <c r="J12" s="1729">
        <f t="shared" si="0"/>
        <v>49901</v>
      </c>
      <c r="K12" s="1710">
        <f t="shared" si="0"/>
        <v>12261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f>554+7</f>
        <v>561</v>
      </c>
      <c r="D14" s="466">
        <f>87+17</f>
        <v>104</v>
      </c>
      <c r="E14" s="466">
        <v>97</v>
      </c>
      <c r="F14" s="466">
        <v>41</v>
      </c>
      <c r="G14" s="466">
        <f>19+34</f>
        <v>53</v>
      </c>
      <c r="H14" s="466"/>
      <c r="I14" s="466">
        <v>17</v>
      </c>
      <c r="J14" s="467">
        <v>58</v>
      </c>
      <c r="K14" s="466">
        <v>17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5956</v>
      </c>
      <c r="D16" s="466"/>
      <c r="E16" s="466"/>
      <c r="F16" s="466"/>
      <c r="G16" s="466">
        <v>2703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6517</v>
      </c>
      <c r="D18" s="1732">
        <f t="shared" ref="D18:K18" si="1">SUM(D14:D17)</f>
        <v>104</v>
      </c>
      <c r="E18" s="1732">
        <f t="shared" si="1"/>
        <v>97</v>
      </c>
      <c r="F18" s="1732">
        <f t="shared" si="1"/>
        <v>41</v>
      </c>
      <c r="G18" s="1732">
        <f t="shared" si="1"/>
        <v>2756</v>
      </c>
      <c r="H18" s="1732">
        <f t="shared" si="1"/>
        <v>0</v>
      </c>
      <c r="I18" s="1732">
        <f t="shared" si="1"/>
        <v>17</v>
      </c>
      <c r="J18" s="1732">
        <f t="shared" si="1"/>
        <v>58</v>
      </c>
      <c r="K18" s="1733">
        <f t="shared" si="1"/>
        <v>17</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4554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4554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29559</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29559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12514</v>
      </c>
      <c r="D65" s="466">
        <v>3600</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12514</v>
      </c>
      <c r="D67" s="1710">
        <f t="shared" ref="D67:K67" si="2">SUM(D65:D66)</f>
        <v>3600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42927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491</v>
      </c>
      <c r="D73" s="468"/>
      <c r="E73" s="468"/>
      <c r="F73" s="468"/>
      <c r="G73" s="468"/>
      <c r="H73" s="468"/>
      <c r="I73" s="468"/>
      <c r="J73" s="468"/>
      <c r="K73" s="468"/>
    </row>
    <row r="74" spans="1:11" ht="12.75" customHeight="1" x14ac:dyDescent="0.2">
      <c r="A74" s="463" t="s">
        <v>25</v>
      </c>
      <c r="B74" s="470">
        <v>1690</v>
      </c>
      <c r="C74" s="551">
        <v>184</v>
      </c>
      <c r="D74" s="468"/>
      <c r="E74" s="468"/>
      <c r="F74" s="468"/>
      <c r="G74" s="468"/>
      <c r="H74" s="468"/>
      <c r="I74" s="468"/>
      <c r="J74" s="468"/>
      <c r="K74" s="468"/>
    </row>
    <row r="75" spans="1:11" ht="12.75" customHeight="1" thickBot="1" x14ac:dyDescent="0.25">
      <c r="A75" s="1730" t="s">
        <v>569</v>
      </c>
      <c r="B75" s="1731"/>
      <c r="C75" s="1710">
        <f>SUM(C69:C74)</f>
        <v>43602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17669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17669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14890+3850</f>
        <v>18740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18740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f>14140</f>
        <v>14140</v>
      </c>
      <c r="D106" s="489"/>
      <c r="E106" s="467"/>
      <c r="F106" s="467"/>
      <c r="G106" s="467"/>
      <c r="H106" s="467"/>
      <c r="I106" s="521"/>
      <c r="J106" s="467"/>
      <c r="K106" s="467"/>
    </row>
    <row r="107" spans="1:12" ht="12.75" customHeight="1" x14ac:dyDescent="0.2">
      <c r="A107" s="463" t="s">
        <v>80</v>
      </c>
      <c r="B107" s="470">
        <v>1999</v>
      </c>
      <c r="C107" s="551">
        <f>12011+12661</f>
        <v>24672</v>
      </c>
      <c r="D107" s="466"/>
      <c r="E107" s="466"/>
      <c r="F107" s="466">
        <v>1701</v>
      </c>
      <c r="G107" s="466"/>
      <c r="H107" s="466"/>
      <c r="I107" s="466"/>
      <c r="J107" s="467"/>
      <c r="K107" s="466"/>
    </row>
    <row r="108" spans="1:12" ht="12.75" customHeight="1" thickBot="1" x14ac:dyDescent="0.25">
      <c r="A108" s="1730" t="s">
        <v>508</v>
      </c>
      <c r="B108" s="1734"/>
      <c r="C108" s="1729">
        <f>SUM(C95:C107)</f>
        <v>38812</v>
      </c>
      <c r="D108" s="1729">
        <f t="shared" ref="D108:K108" si="3">SUM(D95:D107)</f>
        <v>0</v>
      </c>
      <c r="E108" s="1729">
        <f t="shared" si="3"/>
        <v>0</v>
      </c>
      <c r="F108" s="1729">
        <f t="shared" si="3"/>
        <v>1701</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546749</v>
      </c>
      <c r="D109" s="1737">
        <f t="shared" si="4"/>
        <v>70193</v>
      </c>
      <c r="E109" s="1737">
        <f t="shared" si="4"/>
        <v>62989</v>
      </c>
      <c r="F109" s="1737">
        <f t="shared" si="4"/>
        <v>60728</v>
      </c>
      <c r="G109" s="1737">
        <f t="shared" si="4"/>
        <v>43174</v>
      </c>
      <c r="H109" s="1737">
        <f t="shared" si="4"/>
        <v>0</v>
      </c>
      <c r="I109" s="1737">
        <f t="shared" si="4"/>
        <v>12278</v>
      </c>
      <c r="J109" s="1737">
        <f t="shared" si="4"/>
        <v>49959</v>
      </c>
      <c r="K109" s="1724">
        <f t="shared" si="4"/>
        <v>12278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554824</v>
      </c>
      <c r="D117" s="481">
        <v>82520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554824</v>
      </c>
      <c r="D121" s="1729">
        <f t="shared" si="5"/>
        <v>82520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11521</v>
      </c>
      <c r="D125" s="561"/>
      <c r="E125" s="468"/>
      <c r="F125" s="466"/>
      <c r="G125" s="468"/>
      <c r="H125" s="468"/>
      <c r="I125" s="468"/>
      <c r="J125" s="468"/>
      <c r="K125" s="468"/>
    </row>
    <row r="126" spans="1:11" ht="12.75" customHeight="1" x14ac:dyDescent="0.2">
      <c r="A126" s="463" t="s">
        <v>922</v>
      </c>
      <c r="B126" s="562">
        <v>3110</v>
      </c>
      <c r="C126" s="551">
        <v>6250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17771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28766</v>
      </c>
      <c r="G151" s="467"/>
      <c r="H151" s="468"/>
      <c r="I151" s="468"/>
      <c r="J151" s="468"/>
      <c r="K151" s="468"/>
    </row>
    <row r="152" spans="1:11" ht="12.75" customHeight="1" x14ac:dyDescent="0.2">
      <c r="A152" s="463" t="s">
        <v>1117</v>
      </c>
      <c r="B152" s="562">
        <v>3510</v>
      </c>
      <c r="C152" s="551"/>
      <c r="D152" s="466"/>
      <c r="E152" s="561"/>
      <c r="F152" s="466">
        <v>7444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36210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18035</v>
      </c>
      <c r="D172" s="1744">
        <f t="shared" si="6"/>
        <v>0</v>
      </c>
      <c r="E172" s="1744">
        <f t="shared" si="6"/>
        <v>0</v>
      </c>
      <c r="F172" s="1744">
        <f t="shared" si="6"/>
        <v>36210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572859</v>
      </c>
      <c r="D173" s="1737">
        <f>SUM(D121,D172)</f>
        <v>82520</v>
      </c>
      <c r="E173" s="1737">
        <f>SUM(E121,E172)</f>
        <v>0</v>
      </c>
      <c r="F173" s="1737">
        <f t="shared" ref="F173:K173" si="7">SUM(F121,F172)</f>
        <v>36210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26392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26392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24545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24545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5679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5679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2351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1028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59995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59995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1179603</v>
      </c>
      <c r="D275" s="1737">
        <f t="shared" si="12"/>
        <v>152713</v>
      </c>
      <c r="E275" s="1737">
        <f t="shared" si="12"/>
        <v>62989</v>
      </c>
      <c r="F275" s="1737">
        <f t="shared" si="12"/>
        <v>96938</v>
      </c>
      <c r="G275" s="1737">
        <f t="shared" si="12"/>
        <v>43174</v>
      </c>
      <c r="H275" s="1737">
        <f t="shared" si="12"/>
        <v>0</v>
      </c>
      <c r="I275" s="1737">
        <f t="shared" si="12"/>
        <v>12278</v>
      </c>
      <c r="J275" s="1737">
        <f t="shared" si="12"/>
        <v>49959</v>
      </c>
      <c r="K275" s="1724">
        <f t="shared" si="12"/>
        <v>12278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166" colorId="8" zoomScale="110" zoomScaleNormal="110" workbookViewId="0">
      <selection activeCell="B5" sqref="B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436956+28960+6968+675+12999</f>
        <v>486558</v>
      </c>
      <c r="D5" s="466">
        <f>59617+1155+18205</f>
        <v>78977</v>
      </c>
      <c r="E5" s="466">
        <f>9143</f>
        <v>9143</v>
      </c>
      <c r="F5" s="466">
        <f>8760+306+1875+10000</f>
        <v>20941</v>
      </c>
      <c r="G5" s="466">
        <f>14614</f>
        <v>14614</v>
      </c>
      <c r="H5" s="466"/>
      <c r="I5" s="467"/>
      <c r="J5" s="467"/>
      <c r="K5" s="1693">
        <f>SUM(C5:J5)</f>
        <v>610233</v>
      </c>
      <c r="L5" s="466">
        <v>615467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16524</f>
        <v>16524</v>
      </c>
      <c r="D7" s="467">
        <f>1224</f>
        <v>1224</v>
      </c>
      <c r="E7" s="467"/>
      <c r="F7" s="467"/>
      <c r="G7" s="467"/>
      <c r="H7" s="467"/>
      <c r="I7" s="467"/>
      <c r="J7" s="467"/>
      <c r="K7" s="1693">
        <f t="shared" ref="K7:K32" si="0">SUM(C7:J7)</f>
        <v>17748</v>
      </c>
      <c r="L7" s="466">
        <f>18150</f>
        <v>18150</v>
      </c>
    </row>
    <row r="8" spans="1:14" x14ac:dyDescent="0.2">
      <c r="A8" s="1526" t="s">
        <v>166</v>
      </c>
      <c r="B8" s="615">
        <v>1200</v>
      </c>
      <c r="C8" s="466">
        <f>39224+173+3975+6807</f>
        <v>50179</v>
      </c>
      <c r="D8" s="466">
        <f>5031</f>
        <v>5031</v>
      </c>
      <c r="E8" s="466"/>
      <c r="F8" s="466"/>
      <c r="G8" s="466"/>
      <c r="H8" s="466"/>
      <c r="I8" s="467"/>
      <c r="J8" s="467"/>
      <c r="K8" s="1693">
        <f t="shared" si="0"/>
        <v>55210</v>
      </c>
      <c r="L8" s="466">
        <f>55336</f>
        <v>55336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f>14885</f>
        <v>14885</v>
      </c>
      <c r="D10" s="466"/>
      <c r="E10" s="466"/>
      <c r="F10" s="466">
        <f>2764+9700</f>
        <v>12464</v>
      </c>
      <c r="G10" s="466"/>
      <c r="H10" s="466"/>
      <c r="I10" s="467"/>
      <c r="J10" s="467"/>
      <c r="K10" s="1693">
        <f t="shared" si="0"/>
        <v>27349</v>
      </c>
      <c r="L10" s="466">
        <f>8065+24500</f>
        <v>32565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f>11975+17345</f>
        <v>29320</v>
      </c>
      <c r="D14" s="466">
        <f>438+1797</f>
        <v>2235</v>
      </c>
      <c r="E14" s="466">
        <f>1484+5576+187</f>
        <v>7247</v>
      </c>
      <c r="F14" s="466">
        <f>867+153</f>
        <v>1020</v>
      </c>
      <c r="G14" s="466"/>
      <c r="H14" s="466"/>
      <c r="I14" s="467"/>
      <c r="J14" s="467"/>
      <c r="K14" s="1693">
        <f t="shared" si="0"/>
        <v>39822</v>
      </c>
      <c r="L14" s="466">
        <f>39993</f>
        <v>39993</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597466</v>
      </c>
      <c r="D33" s="1692">
        <f t="shared" ref="D33:L33" si="1">SUM(D5:D32)</f>
        <v>87467</v>
      </c>
      <c r="E33" s="1692">
        <f t="shared" si="1"/>
        <v>16390</v>
      </c>
      <c r="F33" s="1692">
        <f t="shared" si="1"/>
        <v>34425</v>
      </c>
      <c r="G33" s="1692">
        <f t="shared" si="1"/>
        <v>14614</v>
      </c>
      <c r="H33" s="1692">
        <f t="shared" si="1"/>
        <v>0</v>
      </c>
      <c r="I33" s="1692">
        <f t="shared" si="1"/>
        <v>0</v>
      </c>
      <c r="J33" s="1692">
        <f t="shared" si="1"/>
        <v>0</v>
      </c>
      <c r="K33" s="1692">
        <f t="shared" si="1"/>
        <v>750362</v>
      </c>
      <c r="L33" s="1692">
        <f t="shared" si="1"/>
        <v>761511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f>3076+168+16962</f>
        <v>20206</v>
      </c>
      <c r="G45" s="466"/>
      <c r="H45" s="466"/>
      <c r="I45" s="467"/>
      <c r="J45" s="467"/>
      <c r="K45" s="1694">
        <f>SUM(C45:J45)</f>
        <v>20206</v>
      </c>
      <c r="L45" s="466">
        <v>13244</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20206</v>
      </c>
      <c r="G47" s="1692">
        <f t="shared" si="4"/>
        <v>0</v>
      </c>
      <c r="H47" s="1692">
        <f t="shared" si="4"/>
        <v>0</v>
      </c>
      <c r="I47" s="1692">
        <f t="shared" si="4"/>
        <v>0</v>
      </c>
      <c r="J47" s="1692">
        <f t="shared" si="4"/>
        <v>0</v>
      </c>
      <c r="K47" s="1692">
        <f t="shared" si="4"/>
        <v>20206</v>
      </c>
      <c r="L47" s="1692">
        <f>SUM(L44:L46)</f>
        <v>13244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500</f>
        <v>500</v>
      </c>
      <c r="D49" s="481"/>
      <c r="E49" s="481">
        <f>4300+168</f>
        <v>4468</v>
      </c>
      <c r="F49" s="481">
        <f>3833</f>
        <v>3833</v>
      </c>
      <c r="G49" s="481"/>
      <c r="H49" s="481">
        <v>805</v>
      </c>
      <c r="I49" s="467"/>
      <c r="J49" s="467"/>
      <c r="K49" s="1694">
        <f>SUM(C49:J49)</f>
        <v>9606</v>
      </c>
      <c r="L49" s="481">
        <v>9643</v>
      </c>
    </row>
    <row r="50" spans="1:14" x14ac:dyDescent="0.2">
      <c r="A50" s="1526" t="s">
        <v>872</v>
      </c>
      <c r="B50" s="615">
        <v>2320</v>
      </c>
      <c r="C50" s="466">
        <v>64564</v>
      </c>
      <c r="D50" s="466">
        <v>7393</v>
      </c>
      <c r="E50" s="466"/>
      <c r="F50" s="466"/>
      <c r="G50" s="466"/>
      <c r="H50" s="466">
        <v>696</v>
      </c>
      <c r="I50" s="467"/>
      <c r="J50" s="467"/>
      <c r="K50" s="1694">
        <f>SUM(C50:J50)</f>
        <v>72653</v>
      </c>
      <c r="L50" s="466">
        <v>74258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65064</v>
      </c>
      <c r="D53" s="1692">
        <f t="shared" ref="D53:L53" si="5">SUM(D49:D52)</f>
        <v>7393</v>
      </c>
      <c r="E53" s="1692">
        <f t="shared" si="5"/>
        <v>4468</v>
      </c>
      <c r="F53" s="1692">
        <f t="shared" si="5"/>
        <v>3833</v>
      </c>
      <c r="G53" s="1692">
        <f t="shared" si="5"/>
        <v>0</v>
      </c>
      <c r="H53" s="1692">
        <f t="shared" si="5"/>
        <v>1501</v>
      </c>
      <c r="I53" s="1692">
        <f t="shared" si="5"/>
        <v>0</v>
      </c>
      <c r="J53" s="1692">
        <f t="shared" si="5"/>
        <v>0</v>
      </c>
      <c r="K53" s="1692">
        <f t="shared" si="5"/>
        <v>82259</v>
      </c>
      <c r="L53" s="1692">
        <f t="shared" si="5"/>
        <v>83901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26702+14059</f>
        <v>40761</v>
      </c>
      <c r="D55" s="481">
        <f>3057+2818</f>
        <v>5875</v>
      </c>
      <c r="E55" s="481"/>
      <c r="F55" s="481"/>
      <c r="G55" s="481"/>
      <c r="H55" s="481"/>
      <c r="I55" s="467"/>
      <c r="J55" s="467"/>
      <c r="K55" s="1694">
        <f>SUM(C55:J55)</f>
        <v>46636</v>
      </c>
      <c r="L55" s="481">
        <v>47700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40761</v>
      </c>
      <c r="D57" s="1696">
        <f t="shared" ref="D57:K57" si="6">SUM(D55:D56)</f>
        <v>5875</v>
      </c>
      <c r="E57" s="1696">
        <f t="shared" si="6"/>
        <v>0</v>
      </c>
      <c r="F57" s="1696">
        <f t="shared" si="6"/>
        <v>0</v>
      </c>
      <c r="G57" s="1696">
        <f t="shared" si="6"/>
        <v>0</v>
      </c>
      <c r="H57" s="1696">
        <f t="shared" si="6"/>
        <v>0</v>
      </c>
      <c r="I57" s="1696">
        <f t="shared" si="6"/>
        <v>0</v>
      </c>
      <c r="J57" s="1696">
        <f t="shared" si="6"/>
        <v>0</v>
      </c>
      <c r="K57" s="1696">
        <f t="shared" si="6"/>
        <v>46636</v>
      </c>
      <c r="L57" s="1692">
        <f>SUM(L55:L56)</f>
        <v>47700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40034</v>
      </c>
      <c r="D60" s="466"/>
      <c r="E60" s="466"/>
      <c r="F60" s="466">
        <v>226</v>
      </c>
      <c r="G60" s="466"/>
      <c r="H60" s="466"/>
      <c r="I60" s="467"/>
      <c r="J60" s="467"/>
      <c r="K60" s="1694">
        <f t="shared" si="7"/>
        <v>40260</v>
      </c>
      <c r="L60" s="466">
        <v>40226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f>25071+373</f>
        <v>25444</v>
      </c>
      <c r="D63" s="466"/>
      <c r="E63" s="466"/>
      <c r="F63" s="466">
        <f>367+40511</f>
        <v>40878</v>
      </c>
      <c r="G63" s="466"/>
      <c r="H63" s="466"/>
      <c r="I63" s="467"/>
      <c r="J63" s="467"/>
      <c r="K63" s="1694">
        <f t="shared" si="7"/>
        <v>66322</v>
      </c>
      <c r="L63" s="466">
        <v>61811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65478</v>
      </c>
      <c r="D65" s="1692">
        <f t="shared" ref="D65:L65" si="8">SUM(D59:D64)</f>
        <v>0</v>
      </c>
      <c r="E65" s="1692">
        <f t="shared" si="8"/>
        <v>0</v>
      </c>
      <c r="F65" s="1692">
        <f t="shared" si="8"/>
        <v>41104</v>
      </c>
      <c r="G65" s="1692">
        <f t="shared" si="8"/>
        <v>0</v>
      </c>
      <c r="H65" s="1692">
        <f t="shared" si="8"/>
        <v>0</v>
      </c>
      <c r="I65" s="1692">
        <f t="shared" si="8"/>
        <v>0</v>
      </c>
      <c r="J65" s="1692">
        <f t="shared" si="8"/>
        <v>0</v>
      </c>
      <c r="K65" s="1692">
        <f t="shared" si="8"/>
        <v>106582</v>
      </c>
      <c r="L65" s="1692">
        <f t="shared" si="8"/>
        <v>102037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171303</v>
      </c>
      <c r="D74" s="1699">
        <f t="shared" ref="D74:K74" si="10">SUM(D42,D47,D53,D57,D65,D72,D73)</f>
        <v>13268</v>
      </c>
      <c r="E74" s="1699">
        <f t="shared" si="10"/>
        <v>4468</v>
      </c>
      <c r="F74" s="1699">
        <f t="shared" si="10"/>
        <v>65143</v>
      </c>
      <c r="G74" s="1699">
        <f t="shared" si="10"/>
        <v>0</v>
      </c>
      <c r="H74" s="1699">
        <f t="shared" si="10"/>
        <v>1501</v>
      </c>
      <c r="I74" s="1699">
        <f t="shared" si="10"/>
        <v>0</v>
      </c>
      <c r="J74" s="1699">
        <f t="shared" si="10"/>
        <v>0</v>
      </c>
      <c r="K74" s="1699">
        <f t="shared" si="10"/>
        <v>255683</v>
      </c>
      <c r="L74" s="1699">
        <f>SUM(L42,L47,L53,L57,L65,L72,L73)</f>
        <v>246882</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f>41456</f>
        <v>41456</v>
      </c>
      <c r="F79" s="617"/>
      <c r="G79" s="617"/>
      <c r="H79" s="466"/>
      <c r="I79" s="477"/>
      <c r="J79" s="477"/>
      <c r="K79" s="1693">
        <f t="shared" si="11"/>
        <v>41456</v>
      </c>
      <c r="L79" s="466">
        <v>41456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41456</v>
      </c>
      <c r="F84" s="617"/>
      <c r="G84" s="617"/>
      <c r="H84" s="1692">
        <f>SUM(H78:H83)</f>
        <v>0</v>
      </c>
      <c r="I84" s="477"/>
      <c r="J84" s="477"/>
      <c r="K84" s="1692">
        <f>SUM(K78:K83)</f>
        <v>41456</v>
      </c>
      <c r="L84" s="1692">
        <f>SUM(L78:L83)</f>
        <v>41456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41456</v>
      </c>
      <c r="F102" s="617"/>
      <c r="G102" s="617"/>
      <c r="H102" s="1699">
        <f>SUM(H84,H92,H100,H101)</f>
        <v>0</v>
      </c>
      <c r="I102" s="477"/>
      <c r="J102" s="477"/>
      <c r="K102" s="1699">
        <f>SUM(K84,K92,K100,K101)</f>
        <v>41456</v>
      </c>
      <c r="L102" s="1699">
        <f>SUM(L84,L92,L100,L101)</f>
        <v>41456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768769</v>
      </c>
      <c r="D114" s="1692">
        <f t="shared" ref="D114:K114" si="13">SUM(D33,D74,D75,D102,D112,D113)</f>
        <v>100735</v>
      </c>
      <c r="E114" s="1692">
        <f t="shared" si="13"/>
        <v>62314</v>
      </c>
      <c r="F114" s="1692">
        <f t="shared" si="13"/>
        <v>99568</v>
      </c>
      <c r="G114" s="1692">
        <f t="shared" si="13"/>
        <v>14614</v>
      </c>
      <c r="H114" s="1692">
        <f>SUM(H33,H74,H75,H102,H112,H113)</f>
        <v>1501</v>
      </c>
      <c r="I114" s="1692">
        <f t="shared" si="13"/>
        <v>0</v>
      </c>
      <c r="J114" s="1692">
        <f t="shared" si="13"/>
        <v>0</v>
      </c>
      <c r="K114" s="1692">
        <f t="shared" si="13"/>
        <v>1047501</v>
      </c>
      <c r="L114" s="1692">
        <f>SUM(L33,L74,L75,L102,L112,L113)</f>
        <v>1049849</v>
      </c>
    </row>
    <row r="115" spans="1:14" ht="13.5" thickTop="1" x14ac:dyDescent="0.2">
      <c r="A115" s="2203" t="s">
        <v>1053</v>
      </c>
      <c r="B115" s="2204"/>
      <c r="C115" s="619"/>
      <c r="D115" s="619"/>
      <c r="E115" s="619"/>
      <c r="F115" s="619"/>
      <c r="G115" s="619"/>
      <c r="H115" s="619"/>
      <c r="I115" s="619"/>
      <c r="J115" s="619"/>
      <c r="K115" s="1706">
        <f>'Revenues 9-14'!C275-'Expenditures 15-22'!K114</f>
        <v>132102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26993+7295+14912</f>
        <v>49200</v>
      </c>
      <c r="D124" s="466"/>
      <c r="E124" s="466">
        <f>3147+4500+69+1590+27854</f>
        <v>37160</v>
      </c>
      <c r="F124" s="466">
        <f>9238+5405+23514+504</f>
        <v>38661</v>
      </c>
      <c r="G124" s="466"/>
      <c r="H124" s="466"/>
      <c r="I124" s="467"/>
      <c r="J124" s="467"/>
      <c r="K124" s="1692">
        <f>SUM(C124:J124)</f>
        <v>125021</v>
      </c>
      <c r="L124" s="466">
        <v>132870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49200</v>
      </c>
      <c r="D127" s="1692">
        <f t="shared" ref="D127:L127" si="14">SUM(D122:D126)</f>
        <v>0</v>
      </c>
      <c r="E127" s="1692">
        <f t="shared" si="14"/>
        <v>37160</v>
      </c>
      <c r="F127" s="1692">
        <f t="shared" si="14"/>
        <v>38661</v>
      </c>
      <c r="G127" s="1692">
        <f t="shared" si="14"/>
        <v>0</v>
      </c>
      <c r="H127" s="1692">
        <f t="shared" si="14"/>
        <v>0</v>
      </c>
      <c r="I127" s="1692">
        <f t="shared" si="14"/>
        <v>0</v>
      </c>
      <c r="J127" s="1692">
        <f t="shared" si="14"/>
        <v>0</v>
      </c>
      <c r="K127" s="1692">
        <f t="shared" si="14"/>
        <v>125021</v>
      </c>
      <c r="L127" s="1692">
        <f t="shared" si="14"/>
        <v>132870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49200</v>
      </c>
      <c r="D129" s="1699">
        <f t="shared" ref="D129:L129" si="15">SUM(D120,D127,D128)</f>
        <v>0</v>
      </c>
      <c r="E129" s="1699">
        <f t="shared" si="15"/>
        <v>37160</v>
      </c>
      <c r="F129" s="1699">
        <f t="shared" si="15"/>
        <v>38661</v>
      </c>
      <c r="G129" s="1699">
        <f t="shared" si="15"/>
        <v>0</v>
      </c>
      <c r="H129" s="1699">
        <f t="shared" si="15"/>
        <v>0</v>
      </c>
      <c r="I129" s="1699">
        <f t="shared" si="15"/>
        <v>0</v>
      </c>
      <c r="J129" s="1699">
        <f t="shared" si="15"/>
        <v>0</v>
      </c>
      <c r="K129" s="1699">
        <f t="shared" si="15"/>
        <v>125021</v>
      </c>
      <c r="L129" s="1699">
        <f t="shared" si="15"/>
        <v>132870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5"/>
      <c r="C151" s="1692">
        <f>SUM(C129,C130,C139,C149,C150)</f>
        <v>49200</v>
      </c>
      <c r="D151" s="1692">
        <f t="shared" ref="D151:K151" si="16">SUM(D129,D130,D139,D149,D150)</f>
        <v>0</v>
      </c>
      <c r="E151" s="1692">
        <f t="shared" si="16"/>
        <v>37160</v>
      </c>
      <c r="F151" s="1692">
        <f t="shared" si="16"/>
        <v>38661</v>
      </c>
      <c r="G151" s="1692">
        <f t="shared" si="16"/>
        <v>0</v>
      </c>
      <c r="H151" s="1692">
        <f t="shared" si="16"/>
        <v>0</v>
      </c>
      <c r="I151" s="1692">
        <f t="shared" si="16"/>
        <v>0</v>
      </c>
      <c r="J151" s="1692">
        <f t="shared" si="16"/>
        <v>0</v>
      </c>
      <c r="K151" s="1692">
        <f t="shared" si="16"/>
        <v>125021</v>
      </c>
      <c r="L151" s="1692">
        <f>SUM(L129,L130,L139,L149,L150)</f>
        <v>132870</v>
      </c>
    </row>
    <row r="152" spans="1:14" ht="12.75" customHeight="1" thickTop="1" x14ac:dyDescent="0.2">
      <c r="A152" s="2196" t="s">
        <v>1240</v>
      </c>
      <c r="B152" s="2197"/>
      <c r="C152" s="619"/>
      <c r="D152" s="619"/>
      <c r="E152" s="619"/>
      <c r="F152" s="619"/>
      <c r="G152" s="619"/>
      <c r="H152" s="619"/>
      <c r="I152" s="619"/>
      <c r="J152" s="617"/>
      <c r="K152" s="1706">
        <f>'Revenues 9-14'!D275-'Expenditures 15-22'!K151</f>
        <v>27692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4432</v>
      </c>
      <c r="I169" s="617"/>
      <c r="J169" s="617"/>
      <c r="K169" s="1693">
        <f>SUM(C169:H169)</f>
        <v>4432</v>
      </c>
      <c r="L169" s="657">
        <v>814</v>
      </c>
    </row>
    <row r="170" spans="1:14" ht="33.75" customHeight="1" x14ac:dyDescent="0.2">
      <c r="A170" s="670" t="s">
        <v>1769</v>
      </c>
      <c r="B170" s="672" t="s">
        <v>31</v>
      </c>
      <c r="C170" s="617"/>
      <c r="D170" s="617"/>
      <c r="E170" s="617"/>
      <c r="F170" s="617"/>
      <c r="G170" s="617"/>
      <c r="H170" s="569">
        <v>103400</v>
      </c>
      <c r="I170" s="617"/>
      <c r="J170" s="617"/>
      <c r="K170" s="1693">
        <f>SUM(C170:J170)</f>
        <v>103400</v>
      </c>
      <c r="L170" s="569">
        <v>44000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107832</v>
      </c>
      <c r="I172" s="639"/>
      <c r="J172" s="617"/>
      <c r="K172" s="1699">
        <f>SUM(K168,K169,K170,K171)</f>
        <v>107832</v>
      </c>
      <c r="L172" s="1699">
        <f>SUM(L168,L169,L170,L171)</f>
        <v>44814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107832</v>
      </c>
      <c r="I174" s="639"/>
      <c r="J174" s="617"/>
      <c r="K174" s="1699">
        <f>SUM(K160,K172,K173)</f>
        <v>107832</v>
      </c>
      <c r="L174" s="1699">
        <f>SUM(L160,L172,L173)</f>
        <v>44814</v>
      </c>
    </row>
    <row r="175" spans="1:14" ht="13.5" thickTop="1" x14ac:dyDescent="0.2">
      <c r="A175" s="2203" t="s">
        <v>1053</v>
      </c>
      <c r="B175" s="2204"/>
      <c r="C175" s="617"/>
      <c r="D175" s="617"/>
      <c r="E175" s="617"/>
      <c r="F175" s="617"/>
      <c r="G175" s="617"/>
      <c r="H175" s="619"/>
      <c r="I175" s="617"/>
      <c r="J175" s="617"/>
      <c r="K175" s="1706">
        <f>'Revenues 9-14'!E275-'Expenditures 15-22'!K174</f>
        <v>-44843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f>60000+20352</f>
        <v>80352</v>
      </c>
      <c r="F182" s="466"/>
      <c r="G182" s="466"/>
      <c r="H182" s="466"/>
      <c r="I182" s="467"/>
      <c r="J182" s="467"/>
      <c r="K182" s="1693">
        <f>SUM(C182:J182)</f>
        <v>80352</v>
      </c>
      <c r="L182" s="466">
        <v>80352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80352</v>
      </c>
      <c r="F184" s="1699">
        <f t="shared" si="17"/>
        <v>0</v>
      </c>
      <c r="G184" s="1699">
        <f t="shared" si="17"/>
        <v>0</v>
      </c>
      <c r="H184" s="1699">
        <f t="shared" si="17"/>
        <v>0</v>
      </c>
      <c r="I184" s="1699">
        <f t="shared" si="17"/>
        <v>0</v>
      </c>
      <c r="J184" s="1699">
        <f t="shared" si="17"/>
        <v>0</v>
      </c>
      <c r="K184" s="1699">
        <f>SUM(K180,K182,K183)</f>
        <v>80352</v>
      </c>
      <c r="L184" s="1699">
        <f>SUM(L180, L182:L183)</f>
        <v>80352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80352</v>
      </c>
      <c r="F210" s="1692">
        <f>SUM(F184,F185)</f>
        <v>0</v>
      </c>
      <c r="G210" s="1692">
        <f>SUM(G184,G185)</f>
        <v>0</v>
      </c>
      <c r="H210" s="1692">
        <f>SUM(H184,H185,H196,H208,H209)</f>
        <v>0</v>
      </c>
      <c r="I210" s="1692">
        <f>SUM(I184,I185)</f>
        <v>0</v>
      </c>
      <c r="J210" s="1692">
        <f>SUM(J184,J185)</f>
        <v>0</v>
      </c>
      <c r="K210" s="1693">
        <f>SUM(K184,K185,K196,K208,K209)</f>
        <v>80352</v>
      </c>
      <c r="L210" s="1692">
        <f>SUM(L184,L185,L196,L208,L209)</f>
        <v>80352</v>
      </c>
    </row>
    <row r="211" spans="1:14" ht="13.5" thickTop="1" x14ac:dyDescent="0.2">
      <c r="A211" s="2203" t="s">
        <v>1053</v>
      </c>
      <c r="B211" s="2204"/>
      <c r="C211" s="619"/>
      <c r="D211" s="619"/>
      <c r="E211" s="619"/>
      <c r="F211" s="619"/>
      <c r="G211" s="619"/>
      <c r="H211" s="619"/>
      <c r="I211" s="617"/>
      <c r="J211" s="617"/>
      <c r="K211" s="1706">
        <f>'Revenues 9-14'!F275-'Expenditures 15-22'!K210</f>
        <v>16586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13784</f>
        <v>13784</v>
      </c>
      <c r="E215" s="617"/>
      <c r="F215" s="617"/>
      <c r="G215" s="617"/>
      <c r="H215" s="617"/>
      <c r="I215" s="617"/>
      <c r="J215" s="617"/>
      <c r="K215" s="1693">
        <f>D215</f>
        <v>13784</v>
      </c>
      <c r="L215" s="466">
        <v>13595</v>
      </c>
    </row>
    <row r="216" spans="1:14" x14ac:dyDescent="0.2">
      <c r="A216" s="1526" t="s">
        <v>165</v>
      </c>
      <c r="B216" s="615" t="s">
        <v>1024</v>
      </c>
      <c r="C216" s="617"/>
      <c r="D216" s="467">
        <v>130</v>
      </c>
      <c r="E216" s="617"/>
      <c r="F216" s="617"/>
      <c r="G216" s="617"/>
      <c r="H216" s="617"/>
      <c r="I216" s="617"/>
      <c r="J216" s="617"/>
      <c r="K216" s="1693">
        <f t="shared" ref="K216:K228" si="19">D216</f>
        <v>130</v>
      </c>
      <c r="L216" s="466">
        <v>120</v>
      </c>
    </row>
    <row r="217" spans="1:14" x14ac:dyDescent="0.2">
      <c r="A217" s="1526" t="s">
        <v>166</v>
      </c>
      <c r="B217" s="615">
        <v>1200</v>
      </c>
      <c r="C217" s="617"/>
      <c r="D217" s="466">
        <f>2353</f>
        <v>2353</v>
      </c>
      <c r="E217" s="617"/>
      <c r="F217" s="617"/>
      <c r="G217" s="617"/>
      <c r="H217" s="617"/>
      <c r="I217" s="617"/>
      <c r="J217" s="617"/>
      <c r="K217" s="1693">
        <f t="shared" si="19"/>
        <v>2353</v>
      </c>
      <c r="L217" s="466">
        <v>2345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f>1730</f>
        <v>1730</v>
      </c>
      <c r="E219" s="617"/>
      <c r="F219" s="617"/>
      <c r="G219" s="617"/>
      <c r="H219" s="617"/>
      <c r="I219" s="617"/>
      <c r="J219" s="617"/>
      <c r="K219" s="1693">
        <f t="shared" si="19"/>
        <v>1730</v>
      </c>
      <c r="L219" s="466">
        <f>812+2100</f>
        <v>2912</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849</f>
        <v>849</v>
      </c>
      <c r="E223" s="617"/>
      <c r="F223" s="617"/>
      <c r="G223" s="617"/>
      <c r="H223" s="617"/>
      <c r="I223" s="617"/>
      <c r="J223" s="617"/>
      <c r="K223" s="1693">
        <f t="shared" si="19"/>
        <v>849</v>
      </c>
      <c r="L223" s="466">
        <f>847</f>
        <v>847</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18846</v>
      </c>
      <c r="E229" s="617"/>
      <c r="F229" s="617"/>
      <c r="G229" s="617"/>
      <c r="H229" s="617"/>
      <c r="I229" s="617"/>
      <c r="J229" s="617"/>
      <c r="K229" s="1692">
        <f>SUM(K215:K228)</f>
        <v>18846</v>
      </c>
      <c r="L229" s="1692">
        <f>SUM(L215:L228)</f>
        <v>19819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936</f>
        <v>936</v>
      </c>
      <c r="E246" s="617"/>
      <c r="F246" s="617"/>
      <c r="G246" s="617"/>
      <c r="H246" s="617"/>
      <c r="I246" s="617"/>
      <c r="J246" s="617"/>
      <c r="K246" s="1694">
        <f t="shared" ref="K246:K256" si="21">D246</f>
        <v>936</v>
      </c>
      <c r="L246" s="466">
        <v>1000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1543</v>
      </c>
      <c r="E254" s="617"/>
      <c r="F254" s="617"/>
      <c r="G254" s="617"/>
      <c r="H254" s="617"/>
      <c r="I254" s="617"/>
      <c r="J254" s="617"/>
      <c r="K254" s="1694">
        <f t="shared" si="21"/>
        <v>1543</v>
      </c>
      <c r="L254" s="466">
        <v>1880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2479</v>
      </c>
      <c r="E257" s="617"/>
      <c r="F257" s="617"/>
      <c r="G257" s="617"/>
      <c r="H257" s="617"/>
      <c r="I257" s="617"/>
      <c r="J257" s="617"/>
      <c r="K257" s="1692">
        <f>SUM(K245:K256)</f>
        <v>2479</v>
      </c>
      <c r="L257" s="1692">
        <f>SUM(L245:L256)</f>
        <v>2880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2789</v>
      </c>
      <c r="E259" s="617"/>
      <c r="F259" s="617"/>
      <c r="G259" s="617"/>
      <c r="H259" s="617"/>
      <c r="I259" s="617"/>
      <c r="J259" s="617"/>
      <c r="K259" s="1694">
        <f>D259</f>
        <v>2789</v>
      </c>
      <c r="L259" s="481">
        <v>3125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2789</v>
      </c>
      <c r="E261" s="617"/>
      <c r="F261" s="617"/>
      <c r="G261" s="617"/>
      <c r="H261" s="617"/>
      <c r="I261" s="617"/>
      <c r="J261" s="617"/>
      <c r="K261" s="1692">
        <f>SUM(K259:K260)</f>
        <v>2789</v>
      </c>
      <c r="L261" s="1692">
        <f>SUM(L259:L260)</f>
        <v>3125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6825</v>
      </c>
      <c r="E264" s="617"/>
      <c r="F264" s="617"/>
      <c r="G264" s="617"/>
      <c r="H264" s="617"/>
      <c r="I264" s="617"/>
      <c r="J264" s="617"/>
      <c r="K264" s="1694">
        <f t="shared" ref="K264:K269" si="22">D264</f>
        <v>6825</v>
      </c>
      <c r="L264" s="466">
        <v>7350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8288</v>
      </c>
      <c r="E266" s="617"/>
      <c r="F266" s="617"/>
      <c r="G266" s="617"/>
      <c r="H266" s="617"/>
      <c r="I266" s="617"/>
      <c r="J266" s="617"/>
      <c r="K266" s="1694">
        <f t="shared" si="22"/>
        <v>8288</v>
      </c>
      <c r="L266" s="466">
        <v>10250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4194</v>
      </c>
      <c r="E268" s="617"/>
      <c r="F268" s="617"/>
      <c r="G268" s="617"/>
      <c r="H268" s="617"/>
      <c r="I268" s="617"/>
      <c r="J268" s="617"/>
      <c r="K268" s="1694">
        <f t="shared" si="22"/>
        <v>4194</v>
      </c>
      <c r="L268" s="466">
        <v>4275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19307</v>
      </c>
      <c r="E270" s="617"/>
      <c r="F270" s="617"/>
      <c r="G270" s="617"/>
      <c r="H270" s="617"/>
      <c r="I270" s="617"/>
      <c r="J270" s="617"/>
      <c r="K270" s="1692">
        <f>SUM(K263:K269)</f>
        <v>19307</v>
      </c>
      <c r="L270" s="1692">
        <f>SUM(L263:L269)</f>
        <v>21875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24575</v>
      </c>
      <c r="E279" s="617"/>
      <c r="F279" s="617"/>
      <c r="G279" s="617"/>
      <c r="H279" s="617"/>
      <c r="I279" s="617"/>
      <c r="J279" s="617"/>
      <c r="K279" s="1699">
        <f>SUM(K238,K243,K257,K261,K270,K277,K278)</f>
        <v>24575</v>
      </c>
      <c r="L279" s="1699">
        <f>SUM(L238,L243,L257,L261,L270,L277,L278)</f>
        <v>27880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43421</v>
      </c>
      <c r="E295" s="617"/>
      <c r="F295" s="617"/>
      <c r="G295" s="617"/>
      <c r="H295" s="1692">
        <f>H293</f>
        <v>0</v>
      </c>
      <c r="I295" s="617"/>
      <c r="J295" s="617"/>
      <c r="K295" s="1692">
        <f>SUM(K229,K279,K280,K285,K293,K294)</f>
        <v>43421</v>
      </c>
      <c r="L295" s="1692">
        <f>SUM(L229,L279,L280,L285,L293,L294)</f>
        <v>47699</v>
      </c>
    </row>
    <row r="296" spans="1:14" ht="13.5" thickTop="1" x14ac:dyDescent="0.2">
      <c r="A296" s="2203" t="s">
        <v>1053</v>
      </c>
      <c r="B296" s="2204"/>
      <c r="C296" s="617"/>
      <c r="D296" s="619"/>
      <c r="E296" s="617"/>
      <c r="F296" s="617"/>
      <c r="G296" s="617"/>
      <c r="H296" s="688"/>
      <c r="I296" s="617"/>
      <c r="J296" s="617"/>
      <c r="K296" s="1706">
        <f>'Revenues 9-14'!G275-'Expenditures 15-22'!K295</f>
        <v>-247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f>8957</f>
        <v>8957</v>
      </c>
      <c r="F320" s="467"/>
      <c r="G320" s="467"/>
      <c r="H320" s="467"/>
      <c r="I320" s="467"/>
      <c r="J320" s="467"/>
      <c r="K320" s="1693">
        <f t="shared" ref="K320:K327" si="24">SUM(C320:J320)</f>
        <v>8957</v>
      </c>
      <c r="L320" s="467">
        <v>8957</v>
      </c>
      <c r="M320" s="666"/>
      <c r="N320" s="666"/>
    </row>
    <row r="321" spans="1:14" s="675" customFormat="1" x14ac:dyDescent="0.2">
      <c r="A321" s="1541" t="s">
        <v>318</v>
      </c>
      <c r="B321" s="698" t="s">
        <v>301</v>
      </c>
      <c r="C321" s="467"/>
      <c r="D321" s="467"/>
      <c r="E321" s="467">
        <f>2243</f>
        <v>2243</v>
      </c>
      <c r="F321" s="467"/>
      <c r="G321" s="467"/>
      <c r="H321" s="467"/>
      <c r="I321" s="467"/>
      <c r="J321" s="467"/>
      <c r="K321" s="1693">
        <f t="shared" si="24"/>
        <v>2243</v>
      </c>
      <c r="L321" s="467">
        <v>1833</v>
      </c>
      <c r="M321" s="666"/>
      <c r="N321" s="666"/>
    </row>
    <row r="322" spans="1:14" s="675" customFormat="1" x14ac:dyDescent="0.2">
      <c r="A322" s="1541" t="s">
        <v>256</v>
      </c>
      <c r="B322" s="698" t="s">
        <v>302</v>
      </c>
      <c r="C322" s="467"/>
      <c r="D322" s="467"/>
      <c r="E322" s="467">
        <v>20178</v>
      </c>
      <c r="F322" s="467"/>
      <c r="G322" s="467"/>
      <c r="H322" s="467"/>
      <c r="I322" s="467"/>
      <c r="J322" s="467"/>
      <c r="K322" s="1693">
        <f t="shared" si="24"/>
        <v>20178</v>
      </c>
      <c r="L322" s="467">
        <v>20178</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969+9094</f>
        <v>10063</v>
      </c>
      <c r="D325" s="467">
        <f>111</f>
        <v>111</v>
      </c>
      <c r="E325" s="467"/>
      <c r="F325" s="467"/>
      <c r="G325" s="467"/>
      <c r="H325" s="467"/>
      <c r="I325" s="467"/>
      <c r="J325" s="467"/>
      <c r="K325" s="1693">
        <f t="shared" si="24"/>
        <v>10174</v>
      </c>
      <c r="L325" s="467">
        <v>10125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f>471</f>
        <v>471</v>
      </c>
      <c r="F327" s="467"/>
      <c r="G327" s="467"/>
      <c r="H327" s="467"/>
      <c r="I327" s="467"/>
      <c r="J327" s="467"/>
      <c r="K327" s="1693">
        <f t="shared" si="24"/>
        <v>471</v>
      </c>
      <c r="L327" s="467">
        <v>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10063</v>
      </c>
      <c r="D330" s="1692">
        <f t="shared" ref="D330:J330" si="25">SUM(D319:D329)</f>
        <v>111</v>
      </c>
      <c r="E330" s="1692">
        <f t="shared" si="25"/>
        <v>31849</v>
      </c>
      <c r="F330" s="1692">
        <f t="shared" si="25"/>
        <v>0</v>
      </c>
      <c r="G330" s="1692">
        <f t="shared" si="25"/>
        <v>0</v>
      </c>
      <c r="H330" s="1692">
        <f t="shared" si="25"/>
        <v>0</v>
      </c>
      <c r="I330" s="1692">
        <f t="shared" si="25"/>
        <v>0</v>
      </c>
      <c r="J330" s="1692">
        <f t="shared" si="25"/>
        <v>0</v>
      </c>
      <c r="K330" s="1692">
        <f>SUM(K319:K329)</f>
        <v>42023</v>
      </c>
      <c r="L330" s="1692">
        <f>SUM(L319:L329)</f>
        <v>41593</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10063</v>
      </c>
      <c r="D342" s="1692">
        <f>SUM(D330)</f>
        <v>111</v>
      </c>
      <c r="E342" s="1692">
        <f>SUM(E330)</f>
        <v>31849</v>
      </c>
      <c r="F342" s="1692">
        <f>SUM(F330)</f>
        <v>0</v>
      </c>
      <c r="G342" s="1692">
        <f>SUM(G330)</f>
        <v>0</v>
      </c>
      <c r="H342" s="1692">
        <f>SUM(H330,H334,H340)</f>
        <v>0</v>
      </c>
      <c r="I342" s="1692">
        <f>SUM(I330)</f>
        <v>0</v>
      </c>
      <c r="J342" s="1692">
        <f>SUM(J330)</f>
        <v>0</v>
      </c>
      <c r="K342" s="1692">
        <f>SUM(K330,K334,K340)</f>
        <v>42023</v>
      </c>
      <c r="L342" s="1699">
        <f>SUM(L330,L340,L341)</f>
        <v>41593</v>
      </c>
    </row>
    <row r="343" spans="1:14" ht="12.75" customHeight="1" thickTop="1" x14ac:dyDescent="0.2">
      <c r="A343" s="2189" t="s">
        <v>1053</v>
      </c>
      <c r="B343" s="2190"/>
      <c r="C343" s="617"/>
      <c r="D343" s="617"/>
      <c r="E343" s="617"/>
      <c r="F343" s="617"/>
      <c r="G343" s="617"/>
      <c r="H343" s="617"/>
      <c r="I343" s="617"/>
      <c r="J343" s="617"/>
      <c r="K343" s="1706">
        <f>'Revenues 9-14'!J275-'Expenditures 15-22'!K342</f>
        <v>7936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f>410</f>
        <v>410</v>
      </c>
      <c r="F348" s="466">
        <v>1403</v>
      </c>
      <c r="G348" s="466"/>
      <c r="H348" s="466"/>
      <c r="I348" s="467"/>
      <c r="J348" s="467"/>
      <c r="K348" s="1693">
        <f>SUM(C348:J348)</f>
        <v>1813</v>
      </c>
      <c r="L348" s="466">
        <v>1903</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410</v>
      </c>
      <c r="F350" s="1692">
        <f t="shared" si="26"/>
        <v>1403</v>
      </c>
      <c r="G350" s="1692">
        <f t="shared" si="26"/>
        <v>0</v>
      </c>
      <c r="H350" s="1692">
        <f t="shared" si="26"/>
        <v>0</v>
      </c>
      <c r="I350" s="1692">
        <f t="shared" si="26"/>
        <v>0</v>
      </c>
      <c r="J350" s="1692">
        <f t="shared" si="26"/>
        <v>0</v>
      </c>
      <c r="K350" s="1692">
        <f t="shared" si="26"/>
        <v>1813</v>
      </c>
      <c r="L350" s="1692">
        <f t="shared" si="26"/>
        <v>1903</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410</v>
      </c>
      <c r="F352" s="1692">
        <f t="shared" si="27"/>
        <v>1403</v>
      </c>
      <c r="G352" s="1692">
        <f t="shared" si="27"/>
        <v>0</v>
      </c>
      <c r="H352" s="1692">
        <f t="shared" si="27"/>
        <v>0</v>
      </c>
      <c r="I352" s="1692">
        <f t="shared" si="27"/>
        <v>0</v>
      </c>
      <c r="J352" s="1692">
        <f t="shared" si="27"/>
        <v>0</v>
      </c>
      <c r="K352" s="1692">
        <f t="shared" si="27"/>
        <v>1813</v>
      </c>
      <c r="L352" s="1692">
        <f t="shared" si="27"/>
        <v>1903</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410</v>
      </c>
      <c r="F367" s="1692">
        <f t="shared" si="28"/>
        <v>1403</v>
      </c>
      <c r="G367" s="1692">
        <f t="shared" si="28"/>
        <v>0</v>
      </c>
      <c r="H367" s="1692">
        <f t="shared" si="28"/>
        <v>0</v>
      </c>
      <c r="I367" s="1692">
        <f t="shared" si="28"/>
        <v>0</v>
      </c>
      <c r="J367" s="1692">
        <f t="shared" si="28"/>
        <v>0</v>
      </c>
      <c r="K367" s="1692">
        <f t="shared" si="28"/>
        <v>1813</v>
      </c>
      <c r="L367" s="1692">
        <f t="shared" si="28"/>
        <v>1903</v>
      </c>
    </row>
    <row r="368" spans="1:14" ht="13.5" thickTop="1" x14ac:dyDescent="0.2">
      <c r="A368" s="2203" t="s">
        <v>1053</v>
      </c>
      <c r="B368" s="2204"/>
      <c r="C368" s="655"/>
      <c r="D368" s="655"/>
      <c r="E368" s="627"/>
      <c r="F368" s="627"/>
      <c r="G368" s="627"/>
      <c r="H368" s="627"/>
      <c r="I368" s="627"/>
      <c r="J368" s="624"/>
      <c r="K368" s="1693">
        <f>'Revenues 9-14'!K275-'Expenditures 15-22'!K367</f>
        <v>10465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schemas.microsoft.com/sharepoint/v3"/>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elements/1.1/"/>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2018-09-21T16:38:33Z</cp:lastPrinted>
  <dcterms:created xsi:type="dcterms:W3CDTF">2003-10-29T19:06:34Z</dcterms:created>
  <dcterms:modified xsi:type="dcterms:W3CDTF">2018-10-30T16:22:32Z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